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comments3.xml" ContentType="application/vnd.openxmlformats-officedocument.spreadsheetml.comments+xml"/>
  <Override PartName="/xl/comments4.xml" ContentType="application/vnd.openxmlformats-officedocument.spreadsheetml.comments+xml"/>
  <Override PartName="/xl/drawings/drawing3.xml" ContentType="application/vnd.openxmlformats-officedocument.drawing+xml"/>
  <Override PartName="/xl/comments5.xml" ContentType="application/vnd.openxmlformats-officedocument.spreadsheetml.comments+xml"/>
  <Override PartName="/xl/charts/chart5.xml" ContentType="application/vnd.openxmlformats-officedocument.drawingml.chart+xml"/>
  <Override PartName="/xl/drawings/drawing4.xml" ContentType="application/vnd.openxmlformats-officedocument.drawing+xml"/>
  <Override PartName="/xl/charts/chart6.xml" ContentType="application/vnd.openxmlformats-officedocument.drawingml.chart+xml"/>
  <Override PartName="/xl/charts/chart7.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mc:AlternateContent xmlns:mc="http://schemas.openxmlformats.org/markup-compatibility/2006">
    <mc:Choice Requires="x15">
      <x15ac:absPath xmlns:x15ac="http://schemas.microsoft.com/office/spreadsheetml/2010/11/ac" url="C:\Users\cesar_macieira\Downloads\"/>
    </mc:Choice>
  </mc:AlternateContent>
  <xr:revisionPtr revIDLastSave="0" documentId="8_{2E020E89-92B7-47FC-A927-A25D54D7A6A5}" xr6:coauthVersionLast="47" xr6:coauthVersionMax="47" xr10:uidLastSave="{00000000-0000-0000-0000-000000000000}"/>
  <bookViews>
    <workbookView xWindow="-107" yWindow="-107" windowWidth="20847" windowHeight="11111" tabRatio="500" activeTab="14" xr2:uid="{00000000-000D-0000-FFFF-FFFF00000000}"/>
  </bookViews>
  <sheets>
    <sheet name="Mapa da Corregedoria" sheetId="1" r:id="rId1"/>
    <sheet name="Justiça em Numeros CNJ" sheetId="2" r:id="rId2"/>
    <sheet name="Tabela dinâmica " sheetId="3" r:id="rId3"/>
    <sheet name="Secretaria Administrativa" sheetId="4" r:id="rId4"/>
    <sheet name="Diretoria do Foro" sheetId="5" r:id="rId5"/>
    <sheet name="Ordem de Preferência " sheetId="6" r:id="rId6"/>
    <sheet name="Cargos vagos" sheetId="7" r:id="rId7"/>
    <sheet name="Cedidos" sheetId="8" r:id="rId8"/>
    <sheet name="SIGLAS CARGOS" sheetId="9" r:id="rId9"/>
    <sheet name="PROJEÇÃO APOSENTADORIAS" sheetId="10" r:id="rId10"/>
    <sheet name="Turmas Recursais" sheetId="11" r:id="rId11"/>
    <sheet name="TR1" sheetId="12" r:id="rId12"/>
    <sheet name="TR2" sheetId="13" r:id="rId13"/>
    <sheet name="TR3" sheetId="14" r:id="rId14"/>
    <sheet name="1ªVara" sheetId="15" r:id="rId15"/>
    <sheet name="2ªVara" sheetId="16" r:id="rId16"/>
    <sheet name="3ªVara" sheetId="17" r:id="rId17"/>
    <sheet name="4ªVara" sheetId="18" r:id="rId18"/>
    <sheet name="5ªVara" sheetId="19" r:id="rId19"/>
    <sheet name="6ªVara" sheetId="20" r:id="rId20"/>
    <sheet name="7ªVara" sheetId="21" r:id="rId21"/>
    <sheet name="8ªVara" sheetId="22" r:id="rId22"/>
    <sheet name="9ªVara" sheetId="23" r:id="rId23"/>
    <sheet name="10ªVara" sheetId="24" r:id="rId24"/>
    <sheet name="11ªVara" sheetId="25" r:id="rId25"/>
    <sheet name="12ªVara" sheetId="26" r:id="rId26"/>
    <sheet name="13ªVara" sheetId="27" r:id="rId27"/>
    <sheet name="14ªVara" sheetId="28" r:id="rId28"/>
    <sheet name="Subseção de Limoeiro do Norte" sheetId="29" r:id="rId29"/>
    <sheet name="Subseção de Juazeiro do Norte" sheetId="30" r:id="rId30"/>
    <sheet name="20ªVara" sheetId="31" r:id="rId31"/>
    <sheet name="21ªVara" sheetId="32" r:id="rId32"/>
    <sheet name="Subseção de Crateús" sheetId="33" r:id="rId33"/>
    <sheet name="23ªVara - Subseção de Quixadá" sheetId="34" r:id="rId34"/>
    <sheet name="24ªVara - Subseção de Tauá" sheetId="35" r:id="rId35"/>
    <sheet name="25ªVara - Subseção de Iguatu" sheetId="36" r:id="rId36"/>
    <sheet name="Subseção de Sobral" sheetId="37" r:id="rId37"/>
    <sheet name="26ªVara" sheetId="38" r:id="rId38"/>
    <sheet name="27ªVara - Subseção de Itapipoca" sheetId="39" r:id="rId39"/>
    <sheet name="28ªVara" sheetId="40" r:id="rId40"/>
    <sheet name="32ªVara" sheetId="41" r:id="rId41"/>
    <sheet name="33ªVara" sheetId="42" r:id="rId42"/>
    <sheet name="Subseção de Maracanaú" sheetId="43" r:id="rId43"/>
    <sheet name="Estrutura Administrativa" sheetId="44" r:id="rId44"/>
    <sheet name="Equalização força de trabalho" sheetId="45" r:id="rId45"/>
    <sheet name="DASHBOARD" sheetId="46" r:id="rId46"/>
    <sheet name="BASE DE DADOS" sheetId="47" r:id="rId47"/>
  </sheets>
  <definedNames>
    <definedName name="_xlnm._FilterDatabase" localSheetId="23" hidden="1">'10ªVara'!$C$3:$G$19</definedName>
    <definedName name="_xlnm._FilterDatabase" localSheetId="24" hidden="1">'11ªVara'!$C$3:$F$21</definedName>
    <definedName name="_xlnm._FilterDatabase" localSheetId="25" hidden="1">'12ªVara'!$C$2:$F$18</definedName>
    <definedName name="_xlnm._FilterDatabase" localSheetId="26" hidden="1">'13ªVara'!$C$2:$F$75</definedName>
    <definedName name="_xlnm._FilterDatabase" localSheetId="27" hidden="1">'14ªVara'!$C$3:$F$21</definedName>
    <definedName name="_xlnm._FilterDatabase" localSheetId="14" hidden="1">'1ªVara'!$C$3:$F$28</definedName>
    <definedName name="_xlnm._FilterDatabase" localSheetId="30" hidden="1">'20ªVara'!$C$3:$F$19</definedName>
    <definedName name="_xlnm._FilterDatabase" localSheetId="31" hidden="1">'21ªVara'!$C$3:$F$20</definedName>
    <definedName name="_xlnm._FilterDatabase" localSheetId="33" hidden="1">'23ªVara - Subseção de Quixadá'!$C$3:$G$21</definedName>
    <definedName name="_xlnm._FilterDatabase" localSheetId="34" hidden="1">'24ªVara - Subseção de Tauá'!$C$3:$G$21</definedName>
    <definedName name="_xlnm._FilterDatabase" localSheetId="35" hidden="1">'25ªVara - Subseção de Iguatu'!$C$3:$G$22</definedName>
    <definedName name="_xlnm._FilterDatabase" localSheetId="37" hidden="1">'26ªVara'!$C$3:$F$21</definedName>
    <definedName name="_xlnm._FilterDatabase" localSheetId="38" hidden="1">'27ªVara - Subseção de Itapipoca'!$C$3:$G$23</definedName>
    <definedName name="_xlnm._FilterDatabase" localSheetId="39" hidden="1">'28ªVara'!$C$3:$F$19</definedName>
    <definedName name="_xlnm._FilterDatabase" localSheetId="15" hidden="1">'2ªVara'!$C$3:$F$15</definedName>
    <definedName name="_xlnm._FilterDatabase" localSheetId="40" hidden="1">'32ªVara'!$C$3:$F$21</definedName>
    <definedName name="_xlnm._FilterDatabase" localSheetId="41" hidden="1">'33ªVara'!$C$3:$F$21</definedName>
    <definedName name="_xlnm._FilterDatabase" localSheetId="16" hidden="1">'3ªVara'!$C$3:$F$48</definedName>
    <definedName name="_xlnm._FilterDatabase" localSheetId="17" hidden="1">'4ªVara'!$C$3:$F$19</definedName>
    <definedName name="_xlnm._FilterDatabase" localSheetId="18" hidden="1">'5ªVara'!$C$3:$F$20</definedName>
    <definedName name="_xlnm._FilterDatabase" localSheetId="19" hidden="1">'6ªVara'!$C$3:$F$21</definedName>
    <definedName name="_xlnm._FilterDatabase" localSheetId="20" hidden="1">'7ªVara'!$C$3:$F$18</definedName>
    <definedName name="_xlnm._FilterDatabase" localSheetId="21" hidden="1">'8ªVara'!$C$3:$F$22</definedName>
    <definedName name="_xlnm._FilterDatabase" localSheetId="22" hidden="1">'9ªVara'!$C$3:$F$19</definedName>
    <definedName name="_xlnm._FilterDatabase" localSheetId="46" hidden="1">'BASE DE DADOS'!$A$3:$G$849</definedName>
    <definedName name="_xlnm._FilterDatabase" localSheetId="6" hidden="1">'Cargos vagos'!$A$5:$N$134</definedName>
    <definedName name="_xlnm._FilterDatabase" localSheetId="7" hidden="1">Cedidos!$C$3:$G$46</definedName>
    <definedName name="_xlnm._FilterDatabase" localSheetId="4" hidden="1">'Diretoria do Foro'!$C$3:$I$20</definedName>
    <definedName name="_xlnm._FilterDatabase" localSheetId="3" hidden="1">'Secretaria Administrativa'!$C$3:$I$963</definedName>
    <definedName name="_xlnm._FilterDatabase" localSheetId="32" hidden="1">'Subseção de Crateús'!$C$3:$G$22</definedName>
    <definedName name="_xlnm._FilterDatabase" localSheetId="29" hidden="1">'Subseção de Juazeiro do Norte'!$C$2:$G$63</definedName>
    <definedName name="_xlnm._FilterDatabase" localSheetId="28" hidden="1">'Subseção de Limoeiro do Norte'!$C$3:$G$44</definedName>
    <definedName name="_xlnm._FilterDatabase" localSheetId="42" hidden="1">'Subseção de Maracanaú'!$C$3:$G$40</definedName>
    <definedName name="_xlnm._FilterDatabase" localSheetId="36" hidden="1">'Subseção de Sobral'!$C$3:$G$68</definedName>
    <definedName name="_xlnm._FilterDatabase" localSheetId="11" hidden="1">'TR1'!$C$3:$G$16</definedName>
    <definedName name="_xlnm._FilterDatabase" localSheetId="12" hidden="1">'TR2'!$C$3:$G$13</definedName>
    <definedName name="_xlnm._FilterDatabase" localSheetId="13" hidden="1">'TR3'!$C$3:$G$15</definedName>
    <definedName name="_xlnm._FilterDatabase" localSheetId="10" hidden="1">'Turmas Recursais'!$C$3:$G$40</definedName>
    <definedName name="Z_FEEF10B1_DE58_4248_8247_DFA07719E9D9_.wvu.FilterData" localSheetId="23">'10ªVara'!$C$3:$G$19</definedName>
  </definedNames>
  <calcPr calcId="191029" iterateDelta="1E-4"/>
  <pivotCaches>
    <pivotCache cacheId="1" r:id="rId48"/>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D849" i="47" l="1"/>
  <c r="F849" i="47" s="1"/>
  <c r="A849" i="47"/>
  <c r="D848" i="47"/>
  <c r="F848" i="47" s="1"/>
  <c r="A848" i="47"/>
  <c r="D847" i="47"/>
  <c r="F847" i="47" s="1"/>
  <c r="A847" i="47"/>
  <c r="F846" i="47"/>
  <c r="D846" i="47"/>
  <c r="A846" i="47"/>
  <c r="D845" i="47"/>
  <c r="A845" i="47"/>
  <c r="D844" i="47"/>
  <c r="A844" i="47"/>
  <c r="D843" i="47"/>
  <c r="A843" i="47"/>
  <c r="D842" i="47"/>
  <c r="A842" i="47"/>
  <c r="D841" i="47"/>
  <c r="A841" i="47"/>
  <c r="D840" i="47"/>
  <c r="A840" i="47"/>
  <c r="D839" i="47"/>
  <c r="A839" i="47"/>
  <c r="D838" i="47"/>
  <c r="A838" i="47"/>
  <c r="D837" i="47"/>
  <c r="A837" i="47"/>
  <c r="D836" i="47"/>
  <c r="A836" i="47"/>
  <c r="D835" i="47"/>
  <c r="A835" i="47"/>
  <c r="D834" i="47"/>
  <c r="A834" i="47"/>
  <c r="D833" i="47"/>
  <c r="A833" i="47"/>
  <c r="D832" i="47"/>
  <c r="A832" i="47"/>
  <c r="F831" i="47"/>
  <c r="D831" i="47"/>
  <c r="A831" i="47"/>
  <c r="F830" i="47"/>
  <c r="D830" i="47"/>
  <c r="A830" i="47"/>
  <c r="F829" i="47"/>
  <c r="D829" i="47"/>
  <c r="A829" i="47"/>
  <c r="F828" i="47"/>
  <c r="D828" i="47"/>
  <c r="A828" i="47"/>
  <c r="D827" i="47"/>
  <c r="A827" i="47"/>
  <c r="D826" i="47"/>
  <c r="A826" i="47"/>
  <c r="D825" i="47"/>
  <c r="A825" i="47"/>
  <c r="D824" i="47"/>
  <c r="A824" i="47"/>
  <c r="D823" i="47"/>
  <c r="A823" i="47"/>
  <c r="D822" i="47"/>
  <c r="A822" i="47"/>
  <c r="D821" i="47"/>
  <c r="A821" i="47"/>
  <c r="D820" i="47"/>
  <c r="A820" i="47"/>
  <c r="D819" i="47"/>
  <c r="A819" i="47"/>
  <c r="D818" i="47"/>
  <c r="A818" i="47"/>
  <c r="D817" i="47"/>
  <c r="A817" i="47"/>
  <c r="D816" i="47"/>
  <c r="A816" i="47"/>
  <c r="D815" i="47"/>
  <c r="A815" i="47"/>
  <c r="D814" i="47"/>
  <c r="A814" i="47"/>
  <c r="F813" i="47"/>
  <c r="D813" i="47"/>
  <c r="A813" i="47"/>
  <c r="D812" i="47"/>
  <c r="F812" i="47" s="1"/>
  <c r="A812" i="47"/>
  <c r="F811" i="47"/>
  <c r="D811" i="47"/>
  <c r="A811" i="47"/>
  <c r="D810" i="47"/>
  <c r="F810" i="47" s="1"/>
  <c r="A810" i="47"/>
  <c r="D809" i="47"/>
  <c r="A809" i="47"/>
  <c r="D808" i="47"/>
  <c r="A808" i="47"/>
  <c r="D807" i="47"/>
  <c r="A807" i="47"/>
  <c r="D806" i="47"/>
  <c r="A806" i="47"/>
  <c r="D805" i="47"/>
  <c r="A805" i="47"/>
  <c r="D804" i="47"/>
  <c r="A804" i="47"/>
  <c r="D803" i="47"/>
  <c r="A803" i="47"/>
  <c r="D802" i="47"/>
  <c r="A802" i="47"/>
  <c r="D801" i="47"/>
  <c r="A801" i="47"/>
  <c r="D800" i="47"/>
  <c r="A800" i="47"/>
  <c r="D799" i="47"/>
  <c r="A799" i="47"/>
  <c r="D798" i="47"/>
  <c r="A798" i="47"/>
  <c r="D797" i="47"/>
  <c r="A797" i="47"/>
  <c r="D796" i="47"/>
  <c r="A796" i="47"/>
  <c r="F795" i="47"/>
  <c r="D795" i="47"/>
  <c r="A795" i="47"/>
  <c r="F794" i="47"/>
  <c r="D794" i="47"/>
  <c r="A794" i="47"/>
  <c r="F793" i="47"/>
  <c r="D793" i="47"/>
  <c r="A793" i="47"/>
  <c r="F792" i="47"/>
  <c r="D792" i="47"/>
  <c r="A792" i="47"/>
  <c r="D791" i="47"/>
  <c r="A791" i="47"/>
  <c r="D790" i="47"/>
  <c r="A790" i="47"/>
  <c r="D789" i="47"/>
  <c r="A789" i="47"/>
  <c r="D788" i="47"/>
  <c r="A788" i="47"/>
  <c r="D787" i="47"/>
  <c r="A787" i="47"/>
  <c r="D786" i="47"/>
  <c r="A786" i="47"/>
  <c r="D785" i="47"/>
  <c r="A785" i="47"/>
  <c r="D784" i="47"/>
  <c r="A784" i="47"/>
  <c r="D783" i="47"/>
  <c r="A783" i="47"/>
  <c r="D782" i="47"/>
  <c r="A782" i="47"/>
  <c r="D781" i="47"/>
  <c r="A781" i="47"/>
  <c r="D780" i="47"/>
  <c r="A780" i="47"/>
  <c r="D779" i="47"/>
  <c r="A779" i="47"/>
  <c r="D778" i="47"/>
  <c r="A778" i="47"/>
  <c r="D777" i="47"/>
  <c r="F777" i="47" s="1"/>
  <c r="A777" i="47"/>
  <c r="F776" i="47"/>
  <c r="D776" i="47"/>
  <c r="A776" i="47"/>
  <c r="D775" i="47"/>
  <c r="F775" i="47" s="1"/>
  <c r="A775" i="47"/>
  <c r="F774" i="47"/>
  <c r="D774" i="47"/>
  <c r="A774" i="47"/>
  <c r="D773" i="47"/>
  <c r="A773" i="47"/>
  <c r="D772" i="47"/>
  <c r="A772" i="47"/>
  <c r="D771" i="47"/>
  <c r="A771" i="47"/>
  <c r="D770" i="47"/>
  <c r="A770" i="47"/>
  <c r="D769" i="47"/>
  <c r="A769" i="47"/>
  <c r="D768" i="47"/>
  <c r="A768" i="47"/>
  <c r="D767" i="47"/>
  <c r="A767" i="47"/>
  <c r="D766" i="47"/>
  <c r="A766" i="47"/>
  <c r="D765" i="47"/>
  <c r="A765" i="47"/>
  <c r="D764" i="47"/>
  <c r="A764" i="47"/>
  <c r="D763" i="47"/>
  <c r="A763" i="47"/>
  <c r="D762" i="47"/>
  <c r="A762" i="47"/>
  <c r="D761" i="47"/>
  <c r="A761" i="47"/>
  <c r="D760" i="47"/>
  <c r="A760" i="47"/>
  <c r="F759" i="47"/>
  <c r="D759" i="47"/>
  <c r="A759" i="47"/>
  <c r="F758" i="47"/>
  <c r="D758" i="47"/>
  <c r="A758" i="47"/>
  <c r="F757" i="47"/>
  <c r="D757" i="47"/>
  <c r="A757" i="47"/>
  <c r="F756" i="47"/>
  <c r="D756" i="47"/>
  <c r="A756" i="47"/>
  <c r="D755" i="47"/>
  <c r="A755" i="47"/>
  <c r="D754" i="47"/>
  <c r="A754" i="47"/>
  <c r="D753" i="47"/>
  <c r="A753" i="47"/>
  <c r="D752" i="47"/>
  <c r="A752" i="47"/>
  <c r="D751" i="47"/>
  <c r="A751" i="47"/>
  <c r="D750" i="47"/>
  <c r="A750" i="47"/>
  <c r="D749" i="47"/>
  <c r="A749" i="47"/>
  <c r="D748" i="47"/>
  <c r="A748" i="47"/>
  <c r="D747" i="47"/>
  <c r="A747" i="47"/>
  <c r="D746" i="47"/>
  <c r="A746" i="47"/>
  <c r="D745" i="47"/>
  <c r="A745" i="47"/>
  <c r="D744" i="47"/>
  <c r="A744" i="47"/>
  <c r="D743" i="47"/>
  <c r="A743" i="47"/>
  <c r="D742" i="47"/>
  <c r="A742" i="47"/>
  <c r="F741" i="47"/>
  <c r="D741" i="47"/>
  <c r="A741" i="47"/>
  <c r="D740" i="47"/>
  <c r="F740" i="47" s="1"/>
  <c r="A740" i="47"/>
  <c r="F739" i="47"/>
  <c r="D739" i="47"/>
  <c r="A739" i="47"/>
  <c r="D738" i="47"/>
  <c r="F738" i="47" s="1"/>
  <c r="A738" i="47"/>
  <c r="D737" i="47"/>
  <c r="A737" i="47"/>
  <c r="D736" i="47"/>
  <c r="A736" i="47"/>
  <c r="D735" i="47"/>
  <c r="A735" i="47"/>
  <c r="D734" i="47"/>
  <c r="A734" i="47"/>
  <c r="D733" i="47"/>
  <c r="A733" i="47"/>
  <c r="D732" i="47"/>
  <c r="A732" i="47"/>
  <c r="D731" i="47"/>
  <c r="A731" i="47"/>
  <c r="D730" i="47"/>
  <c r="A730" i="47"/>
  <c r="D729" i="47"/>
  <c r="A729" i="47"/>
  <c r="D728" i="47"/>
  <c r="A728" i="47"/>
  <c r="D727" i="47"/>
  <c r="A727" i="47"/>
  <c r="D726" i="47"/>
  <c r="A726" i="47"/>
  <c r="D725" i="47"/>
  <c r="A725" i="47"/>
  <c r="D724" i="47"/>
  <c r="A724" i="47"/>
  <c r="F723" i="47"/>
  <c r="D723" i="47"/>
  <c r="A723" i="47"/>
  <c r="F722" i="47"/>
  <c r="D722" i="47"/>
  <c r="A722" i="47"/>
  <c r="F721" i="47"/>
  <c r="D721" i="47"/>
  <c r="A721" i="47"/>
  <c r="F720" i="47"/>
  <c r="D720" i="47"/>
  <c r="A720" i="47"/>
  <c r="D719" i="47"/>
  <c r="A719" i="47"/>
  <c r="D718" i="47"/>
  <c r="A718" i="47"/>
  <c r="D717" i="47"/>
  <c r="A717" i="47"/>
  <c r="D716" i="47"/>
  <c r="A716" i="47"/>
  <c r="D715" i="47"/>
  <c r="A715" i="47"/>
  <c r="D714" i="47"/>
  <c r="A714" i="47"/>
  <c r="D713" i="47"/>
  <c r="A713" i="47"/>
  <c r="D712" i="47"/>
  <c r="A712" i="47"/>
  <c r="D711" i="47"/>
  <c r="A711" i="47"/>
  <c r="D710" i="47"/>
  <c r="A710" i="47"/>
  <c r="D709" i="47"/>
  <c r="A709" i="47"/>
  <c r="D708" i="47"/>
  <c r="A708" i="47"/>
  <c r="D707" i="47"/>
  <c r="A707" i="47"/>
  <c r="D706" i="47"/>
  <c r="A706" i="47"/>
  <c r="D705" i="47"/>
  <c r="F705" i="47" s="1"/>
  <c r="A705" i="47"/>
  <c r="F704" i="47"/>
  <c r="D704" i="47"/>
  <c r="A704" i="47"/>
  <c r="D703" i="47"/>
  <c r="F703" i="47" s="1"/>
  <c r="A703" i="47"/>
  <c r="F702" i="47"/>
  <c r="D702" i="47"/>
  <c r="A702" i="47"/>
  <c r="D701" i="47"/>
  <c r="A701" i="47"/>
  <c r="D700" i="47"/>
  <c r="A700" i="47"/>
  <c r="D699" i="47"/>
  <c r="A699" i="47"/>
  <c r="D698" i="47"/>
  <c r="A698" i="47"/>
  <c r="D697" i="47"/>
  <c r="A697" i="47"/>
  <c r="D696" i="47"/>
  <c r="A696" i="47"/>
  <c r="D695" i="47"/>
  <c r="A695" i="47"/>
  <c r="D694" i="47"/>
  <c r="A694" i="47"/>
  <c r="D693" i="47"/>
  <c r="A693" i="47"/>
  <c r="D692" i="47"/>
  <c r="A692" i="47"/>
  <c r="D691" i="47"/>
  <c r="A691" i="47"/>
  <c r="D690" i="47"/>
  <c r="A690" i="47"/>
  <c r="D689" i="47"/>
  <c r="A689" i="47"/>
  <c r="D688" i="47"/>
  <c r="A688" i="47"/>
  <c r="F687" i="47"/>
  <c r="D687" i="47"/>
  <c r="A687" i="47"/>
  <c r="F686" i="47"/>
  <c r="D686" i="47"/>
  <c r="A686" i="47"/>
  <c r="F685" i="47"/>
  <c r="D685" i="47"/>
  <c r="A685" i="47"/>
  <c r="F684" i="47"/>
  <c r="D684" i="47"/>
  <c r="A684" i="47"/>
  <c r="D683" i="47"/>
  <c r="A683" i="47"/>
  <c r="D682" i="47"/>
  <c r="A682" i="47"/>
  <c r="D681" i="47"/>
  <c r="A681" i="47"/>
  <c r="D680" i="47"/>
  <c r="A680" i="47"/>
  <c r="D679" i="47"/>
  <c r="A679" i="47"/>
  <c r="D678" i="47"/>
  <c r="A678" i="47"/>
  <c r="D677" i="47"/>
  <c r="A677" i="47"/>
  <c r="D676" i="47"/>
  <c r="A676" i="47"/>
  <c r="D675" i="47"/>
  <c r="A675" i="47"/>
  <c r="D674" i="47"/>
  <c r="A674" i="47"/>
  <c r="D673" i="47"/>
  <c r="A673" i="47"/>
  <c r="D672" i="47"/>
  <c r="A672" i="47"/>
  <c r="D671" i="47"/>
  <c r="A671" i="47"/>
  <c r="D670" i="47"/>
  <c r="A670" i="47"/>
  <c r="F669" i="47"/>
  <c r="D669" i="47"/>
  <c r="A669" i="47"/>
  <c r="D668" i="47"/>
  <c r="F668" i="47" s="1"/>
  <c r="A668" i="47"/>
  <c r="F667" i="47"/>
  <c r="D667" i="47"/>
  <c r="A667" i="47"/>
  <c r="D666" i="47"/>
  <c r="F666" i="47" s="1"/>
  <c r="A666" i="47"/>
  <c r="D665" i="47"/>
  <c r="A665" i="47"/>
  <c r="D664" i="47"/>
  <c r="A664" i="47"/>
  <c r="D663" i="47"/>
  <c r="A663" i="47"/>
  <c r="D662" i="47"/>
  <c r="A662" i="47"/>
  <c r="D661" i="47"/>
  <c r="A661" i="47"/>
  <c r="D660" i="47"/>
  <c r="A660" i="47"/>
  <c r="D659" i="47"/>
  <c r="A659" i="47"/>
  <c r="D658" i="47"/>
  <c r="A658" i="47"/>
  <c r="D657" i="47"/>
  <c r="A657" i="47"/>
  <c r="D656" i="47"/>
  <c r="A656" i="47"/>
  <c r="D655" i="47"/>
  <c r="A655" i="47"/>
  <c r="E654" i="47"/>
  <c r="D654" i="47"/>
  <c r="A654" i="47"/>
  <c r="D653" i="47"/>
  <c r="A653" i="47"/>
  <c r="D652" i="47"/>
  <c r="A652" i="47"/>
  <c r="F651" i="47"/>
  <c r="D651" i="47"/>
  <c r="A651" i="47"/>
  <c r="F650" i="47"/>
  <c r="D650" i="47"/>
  <c r="A650" i="47"/>
  <c r="F649" i="47"/>
  <c r="D649" i="47"/>
  <c r="A649" i="47"/>
  <c r="F648" i="47"/>
  <c r="D648" i="47"/>
  <c r="A648" i="47"/>
  <c r="D647" i="47"/>
  <c r="A647" i="47"/>
  <c r="D646" i="47"/>
  <c r="A646" i="47"/>
  <c r="D645" i="47"/>
  <c r="A645" i="47"/>
  <c r="D644" i="47"/>
  <c r="A644" i="47"/>
  <c r="D643" i="47"/>
  <c r="A643" i="47"/>
  <c r="D642" i="47"/>
  <c r="A642" i="47"/>
  <c r="D641" i="47"/>
  <c r="A641" i="47"/>
  <c r="D640" i="47"/>
  <c r="A640" i="47"/>
  <c r="D639" i="47"/>
  <c r="A639" i="47"/>
  <c r="D638" i="47"/>
  <c r="A638" i="47"/>
  <c r="D637" i="47"/>
  <c r="A637" i="47"/>
  <c r="D636" i="47"/>
  <c r="A636" i="47"/>
  <c r="D635" i="47"/>
  <c r="A635" i="47"/>
  <c r="D634" i="47"/>
  <c r="A634" i="47"/>
  <c r="D633" i="47"/>
  <c r="F633" i="47" s="1"/>
  <c r="A633" i="47"/>
  <c r="F632" i="47"/>
  <c r="D632" i="47"/>
  <c r="A632" i="47"/>
  <c r="D631" i="47"/>
  <c r="F631" i="47" s="1"/>
  <c r="A631" i="47"/>
  <c r="F630" i="47"/>
  <c r="D630" i="47"/>
  <c r="A630" i="47"/>
  <c r="D629" i="47"/>
  <c r="A629" i="47"/>
  <c r="D628" i="47"/>
  <c r="A628" i="47"/>
  <c r="D627" i="47"/>
  <c r="A627" i="47"/>
  <c r="D626" i="47"/>
  <c r="A626" i="47"/>
  <c r="D625" i="47"/>
  <c r="A625" i="47"/>
  <c r="D624" i="47"/>
  <c r="A624" i="47"/>
  <c r="D623" i="47"/>
  <c r="A623" i="47"/>
  <c r="D622" i="47"/>
  <c r="A622" i="47"/>
  <c r="D621" i="47"/>
  <c r="A621" i="47"/>
  <c r="D620" i="47"/>
  <c r="A620" i="47"/>
  <c r="D619" i="47"/>
  <c r="A619" i="47"/>
  <c r="D618" i="47"/>
  <c r="A618" i="47"/>
  <c r="D617" i="47"/>
  <c r="A617" i="47"/>
  <c r="D616" i="47"/>
  <c r="A616" i="47"/>
  <c r="F615" i="47"/>
  <c r="D615" i="47"/>
  <c r="A615" i="47"/>
  <c r="F614" i="47"/>
  <c r="D614" i="47"/>
  <c r="A614" i="47"/>
  <c r="F613" i="47"/>
  <c r="D613" i="47"/>
  <c r="A613" i="47"/>
  <c r="F612" i="47"/>
  <c r="D612" i="47"/>
  <c r="A612" i="47"/>
  <c r="D611" i="47"/>
  <c r="A611" i="47"/>
  <c r="D610" i="47"/>
  <c r="A610" i="47"/>
  <c r="D609" i="47"/>
  <c r="A609" i="47"/>
  <c r="D608" i="47"/>
  <c r="A608" i="47"/>
  <c r="D607" i="47"/>
  <c r="A607" i="47"/>
  <c r="D606" i="47"/>
  <c r="A606" i="47"/>
  <c r="D605" i="47"/>
  <c r="A605" i="47"/>
  <c r="D604" i="47"/>
  <c r="A604" i="47"/>
  <c r="D603" i="47"/>
  <c r="A603" i="47"/>
  <c r="D602" i="47"/>
  <c r="A602" i="47"/>
  <c r="D601" i="47"/>
  <c r="A601" i="47"/>
  <c r="D600" i="47"/>
  <c r="A600" i="47"/>
  <c r="D599" i="47"/>
  <c r="A599" i="47"/>
  <c r="D598" i="47"/>
  <c r="A598" i="47"/>
  <c r="F597" i="47"/>
  <c r="D597" i="47"/>
  <c r="A597" i="47"/>
  <c r="D596" i="47"/>
  <c r="F596" i="47" s="1"/>
  <c r="A596" i="47"/>
  <c r="F595" i="47"/>
  <c r="D595" i="47"/>
  <c r="A595" i="47"/>
  <c r="D594" i="47"/>
  <c r="F594" i="47" s="1"/>
  <c r="A594" i="47"/>
  <c r="D593" i="47"/>
  <c r="A593" i="47"/>
  <c r="D592" i="47"/>
  <c r="A592" i="47"/>
  <c r="D591" i="47"/>
  <c r="A591" i="47"/>
  <c r="D590" i="47"/>
  <c r="A590" i="47"/>
  <c r="D589" i="47"/>
  <c r="A589" i="47"/>
  <c r="D588" i="47"/>
  <c r="A588" i="47"/>
  <c r="D587" i="47"/>
  <c r="A587" i="47"/>
  <c r="D586" i="47"/>
  <c r="A586" i="47"/>
  <c r="D585" i="47"/>
  <c r="A585" i="47"/>
  <c r="D584" i="47"/>
  <c r="A584" i="47"/>
  <c r="D583" i="47"/>
  <c r="A583" i="47"/>
  <c r="D582" i="47"/>
  <c r="A582" i="47"/>
  <c r="D581" i="47"/>
  <c r="A581" i="47"/>
  <c r="D580" i="47"/>
  <c r="A580" i="47"/>
  <c r="F579" i="47"/>
  <c r="D579" i="47"/>
  <c r="A579" i="47"/>
  <c r="F578" i="47"/>
  <c r="D578" i="47"/>
  <c r="A578" i="47"/>
  <c r="F577" i="47"/>
  <c r="D577" i="47"/>
  <c r="A577" i="47"/>
  <c r="F576" i="47"/>
  <c r="D576" i="47"/>
  <c r="A576" i="47"/>
  <c r="D575" i="47"/>
  <c r="A575" i="47"/>
  <c r="D574" i="47"/>
  <c r="A574" i="47"/>
  <c r="D573" i="47"/>
  <c r="A573" i="47"/>
  <c r="D572" i="47"/>
  <c r="A572" i="47"/>
  <c r="D571" i="47"/>
  <c r="A571" i="47"/>
  <c r="D570" i="47"/>
  <c r="A570" i="47"/>
  <c r="D569" i="47"/>
  <c r="A569" i="47"/>
  <c r="D568" i="47"/>
  <c r="A568" i="47"/>
  <c r="D567" i="47"/>
  <c r="A567" i="47"/>
  <c r="D566" i="47"/>
  <c r="A566" i="47"/>
  <c r="D565" i="47"/>
  <c r="A565" i="47"/>
  <c r="D564" i="47"/>
  <c r="A564" i="47"/>
  <c r="D563" i="47"/>
  <c r="A563" i="47"/>
  <c r="D562" i="47"/>
  <c r="A562" i="47"/>
  <c r="D561" i="47"/>
  <c r="F561" i="47" s="1"/>
  <c r="A561" i="47"/>
  <c r="F560" i="47"/>
  <c r="D560" i="47"/>
  <c r="A560" i="47"/>
  <c r="D559" i="47"/>
  <c r="F559" i="47" s="1"/>
  <c r="A559" i="47"/>
  <c r="F558" i="47"/>
  <c r="D558" i="47"/>
  <c r="A558" i="47"/>
  <c r="D557" i="47"/>
  <c r="A557" i="47"/>
  <c r="D556" i="47"/>
  <c r="A556" i="47"/>
  <c r="D555" i="47"/>
  <c r="A555" i="47"/>
  <c r="D554" i="47"/>
  <c r="A554" i="47"/>
  <c r="D553" i="47"/>
  <c r="A553" i="47"/>
  <c r="D552" i="47"/>
  <c r="A552" i="47"/>
  <c r="D551" i="47"/>
  <c r="A551" i="47"/>
  <c r="D550" i="47"/>
  <c r="A550" i="47"/>
  <c r="D549" i="47"/>
  <c r="A549" i="47"/>
  <c r="D548" i="47"/>
  <c r="A548" i="47"/>
  <c r="D547" i="47"/>
  <c r="A547" i="47"/>
  <c r="D546" i="47"/>
  <c r="A546" i="47"/>
  <c r="D545" i="47"/>
  <c r="A545" i="47"/>
  <c r="D544" i="47"/>
  <c r="A544" i="47"/>
  <c r="F543" i="47"/>
  <c r="D543" i="47"/>
  <c r="A543" i="47"/>
  <c r="F542" i="47"/>
  <c r="D542" i="47"/>
  <c r="A542" i="47"/>
  <c r="F541" i="47"/>
  <c r="D541" i="47"/>
  <c r="A541" i="47"/>
  <c r="F540" i="47"/>
  <c r="D540" i="47"/>
  <c r="A540" i="47"/>
  <c r="D539" i="47"/>
  <c r="A539" i="47"/>
  <c r="D538" i="47"/>
  <c r="A538" i="47"/>
  <c r="D537" i="47"/>
  <c r="A537" i="47"/>
  <c r="D536" i="47"/>
  <c r="A536" i="47"/>
  <c r="D535" i="47"/>
  <c r="A535" i="47"/>
  <c r="D534" i="47"/>
  <c r="A534" i="47"/>
  <c r="D533" i="47"/>
  <c r="A533" i="47"/>
  <c r="D532" i="47"/>
  <c r="A532" i="47"/>
  <c r="D531" i="47"/>
  <c r="A531" i="47"/>
  <c r="D530" i="47"/>
  <c r="A530" i="47"/>
  <c r="D529" i="47"/>
  <c r="A529" i="47"/>
  <c r="D528" i="47"/>
  <c r="A528" i="47"/>
  <c r="D527" i="47"/>
  <c r="A527" i="47"/>
  <c r="D526" i="47"/>
  <c r="A526" i="47"/>
  <c r="F525" i="47"/>
  <c r="D525" i="47"/>
  <c r="A525" i="47"/>
  <c r="D524" i="47"/>
  <c r="F524" i="47" s="1"/>
  <c r="A524" i="47"/>
  <c r="F523" i="47"/>
  <c r="D523" i="47"/>
  <c r="A523" i="47"/>
  <c r="D522" i="47"/>
  <c r="F522" i="47" s="1"/>
  <c r="A522" i="47"/>
  <c r="D521" i="47"/>
  <c r="A521" i="47"/>
  <c r="D520" i="47"/>
  <c r="A520" i="47"/>
  <c r="D519" i="47"/>
  <c r="A519" i="47"/>
  <c r="D518" i="47"/>
  <c r="A518" i="47"/>
  <c r="D517" i="47"/>
  <c r="A517" i="47"/>
  <c r="D516" i="47"/>
  <c r="A516" i="47"/>
  <c r="D515" i="47"/>
  <c r="A515" i="47"/>
  <c r="D514" i="47"/>
  <c r="A514" i="47"/>
  <c r="D513" i="47"/>
  <c r="A513" i="47"/>
  <c r="D512" i="47"/>
  <c r="A512" i="47"/>
  <c r="D511" i="47"/>
  <c r="A511" i="47"/>
  <c r="D510" i="47"/>
  <c r="A510" i="47"/>
  <c r="D509" i="47"/>
  <c r="A509" i="47"/>
  <c r="D508" i="47"/>
  <c r="A508" i="47"/>
  <c r="F507" i="47"/>
  <c r="D507" i="47"/>
  <c r="A507" i="47"/>
  <c r="F506" i="47"/>
  <c r="D506" i="47"/>
  <c r="A506" i="47"/>
  <c r="F505" i="47"/>
  <c r="D505" i="47"/>
  <c r="A505" i="47"/>
  <c r="F504" i="47"/>
  <c r="D504" i="47"/>
  <c r="A504" i="47"/>
  <c r="D503" i="47"/>
  <c r="A503" i="47"/>
  <c r="D502" i="47"/>
  <c r="A502" i="47"/>
  <c r="D501" i="47"/>
  <c r="A501" i="47"/>
  <c r="D500" i="47"/>
  <c r="A500" i="47"/>
  <c r="D499" i="47"/>
  <c r="A499" i="47"/>
  <c r="D498" i="47"/>
  <c r="A498" i="47"/>
  <c r="D497" i="47"/>
  <c r="A497" i="47"/>
  <c r="D496" i="47"/>
  <c r="A496" i="47"/>
  <c r="D495" i="47"/>
  <c r="A495" i="47"/>
  <c r="D494" i="47"/>
  <c r="A494" i="47"/>
  <c r="D493" i="47"/>
  <c r="A493" i="47"/>
  <c r="D492" i="47"/>
  <c r="A492" i="47"/>
  <c r="D491" i="47"/>
  <c r="A491" i="47"/>
  <c r="D490" i="47"/>
  <c r="A490" i="47"/>
  <c r="D489" i="47"/>
  <c r="F489" i="47" s="1"/>
  <c r="A489" i="47"/>
  <c r="F488" i="47"/>
  <c r="D488" i="47"/>
  <c r="A488" i="47"/>
  <c r="D487" i="47"/>
  <c r="F487" i="47" s="1"/>
  <c r="A487" i="47"/>
  <c r="F486" i="47"/>
  <c r="D486" i="47"/>
  <c r="A486" i="47"/>
  <c r="D485" i="47"/>
  <c r="A485" i="47"/>
  <c r="D484" i="47"/>
  <c r="A484" i="47"/>
  <c r="D483" i="47"/>
  <c r="A483" i="47"/>
  <c r="D482" i="47"/>
  <c r="A482" i="47"/>
  <c r="D481" i="47"/>
  <c r="A481" i="47"/>
  <c r="D480" i="47"/>
  <c r="A480" i="47"/>
  <c r="D479" i="47"/>
  <c r="A479" i="47"/>
  <c r="D478" i="47"/>
  <c r="A478" i="47"/>
  <c r="D477" i="47"/>
  <c r="A477" i="47"/>
  <c r="D476" i="47"/>
  <c r="A476" i="47"/>
  <c r="D475" i="47"/>
  <c r="A475" i="47"/>
  <c r="D474" i="47"/>
  <c r="A474" i="47"/>
  <c r="D473" i="47"/>
  <c r="A473" i="47"/>
  <c r="D472" i="47"/>
  <c r="A472" i="47"/>
  <c r="F471" i="47"/>
  <c r="D471" i="47"/>
  <c r="A471" i="47"/>
  <c r="F470" i="47"/>
  <c r="D470" i="47"/>
  <c r="A470" i="47"/>
  <c r="F469" i="47"/>
  <c r="D469" i="47"/>
  <c r="A469" i="47"/>
  <c r="F468" i="47"/>
  <c r="D468" i="47"/>
  <c r="A468" i="47"/>
  <c r="D467" i="47"/>
  <c r="A467" i="47"/>
  <c r="D466" i="47"/>
  <c r="A466" i="47"/>
  <c r="D465" i="47"/>
  <c r="A465" i="47"/>
  <c r="D464" i="47"/>
  <c r="A464" i="47"/>
  <c r="D463" i="47"/>
  <c r="A463" i="47"/>
  <c r="D462" i="47"/>
  <c r="A462" i="47"/>
  <c r="D461" i="47"/>
  <c r="A461" i="47"/>
  <c r="D460" i="47"/>
  <c r="A460" i="47"/>
  <c r="D459" i="47"/>
  <c r="A459" i="47"/>
  <c r="D458" i="47"/>
  <c r="A458" i="47"/>
  <c r="D457" i="47"/>
  <c r="A457" i="47"/>
  <c r="D456" i="47"/>
  <c r="A456" i="47"/>
  <c r="D455" i="47"/>
  <c r="A455" i="47"/>
  <c r="D454" i="47"/>
  <c r="A454" i="47"/>
  <c r="F453" i="47"/>
  <c r="D453" i="47"/>
  <c r="A453" i="47"/>
  <c r="D452" i="47"/>
  <c r="F452" i="47" s="1"/>
  <c r="A452" i="47"/>
  <c r="F451" i="47"/>
  <c r="D451" i="47"/>
  <c r="A451" i="47"/>
  <c r="D450" i="47"/>
  <c r="F450" i="47" s="1"/>
  <c r="A450" i="47"/>
  <c r="D449" i="47"/>
  <c r="A449" i="47"/>
  <c r="D448" i="47"/>
  <c r="A448" i="47"/>
  <c r="D447" i="47"/>
  <c r="A447" i="47"/>
  <c r="D446" i="47"/>
  <c r="A446" i="47"/>
  <c r="D445" i="47"/>
  <c r="A445" i="47"/>
  <c r="D444" i="47"/>
  <c r="A444" i="47"/>
  <c r="D443" i="47"/>
  <c r="A443" i="47"/>
  <c r="D442" i="47"/>
  <c r="A442" i="47"/>
  <c r="D441" i="47"/>
  <c r="A441" i="47"/>
  <c r="D440" i="47"/>
  <c r="A440" i="47"/>
  <c r="D439" i="47"/>
  <c r="A439" i="47"/>
  <c r="D438" i="47"/>
  <c r="A438" i="47"/>
  <c r="D437" i="47"/>
  <c r="A437" i="47"/>
  <c r="D436" i="47"/>
  <c r="A436" i="47"/>
  <c r="F435" i="47"/>
  <c r="D435" i="47"/>
  <c r="A435" i="47"/>
  <c r="F434" i="47"/>
  <c r="D434" i="47"/>
  <c r="A434" i="47"/>
  <c r="F433" i="47"/>
  <c r="D433" i="47"/>
  <c r="A433" i="47"/>
  <c r="F432" i="47"/>
  <c r="D432" i="47"/>
  <c r="A432" i="47"/>
  <c r="D431" i="47"/>
  <c r="A431" i="47"/>
  <c r="D430" i="47"/>
  <c r="A430" i="47"/>
  <c r="D429" i="47"/>
  <c r="A429" i="47"/>
  <c r="D428" i="47"/>
  <c r="A428" i="47"/>
  <c r="D427" i="47"/>
  <c r="A427" i="47"/>
  <c r="D426" i="47"/>
  <c r="A426" i="47"/>
  <c r="D425" i="47"/>
  <c r="A425" i="47"/>
  <c r="D424" i="47"/>
  <c r="A424" i="47"/>
  <c r="D423" i="47"/>
  <c r="A423" i="47"/>
  <c r="D422" i="47"/>
  <c r="A422" i="47"/>
  <c r="D421" i="47"/>
  <c r="A421" i="47"/>
  <c r="E420" i="47"/>
  <c r="D420" i="47"/>
  <c r="A420" i="47"/>
  <c r="D419" i="47"/>
  <c r="A419" i="47"/>
  <c r="D418" i="47"/>
  <c r="A418" i="47"/>
  <c r="D417" i="47"/>
  <c r="F417" i="47" s="1"/>
  <c r="A417" i="47"/>
  <c r="F416" i="47"/>
  <c r="D416" i="47"/>
  <c r="A416" i="47"/>
  <c r="D415" i="47"/>
  <c r="F415" i="47" s="1"/>
  <c r="A415" i="47"/>
  <c r="F414" i="47"/>
  <c r="D414" i="47"/>
  <c r="A414" i="47"/>
  <c r="D413" i="47"/>
  <c r="A413" i="47"/>
  <c r="D412" i="47"/>
  <c r="A412" i="47"/>
  <c r="D411" i="47"/>
  <c r="A411" i="47"/>
  <c r="D410" i="47"/>
  <c r="A410" i="47"/>
  <c r="D409" i="47"/>
  <c r="A409" i="47"/>
  <c r="D408" i="47"/>
  <c r="A408" i="47"/>
  <c r="D407" i="47"/>
  <c r="A407" i="47"/>
  <c r="D406" i="47"/>
  <c r="A406" i="47"/>
  <c r="D405" i="47"/>
  <c r="A405" i="47"/>
  <c r="D404" i="47"/>
  <c r="A404" i="47"/>
  <c r="D403" i="47"/>
  <c r="A403" i="47"/>
  <c r="D402" i="47"/>
  <c r="A402" i="47"/>
  <c r="D401" i="47"/>
  <c r="A401" i="47"/>
  <c r="D400" i="47"/>
  <c r="A400" i="47"/>
  <c r="F399" i="47"/>
  <c r="D399" i="47"/>
  <c r="A399" i="47"/>
  <c r="F398" i="47"/>
  <c r="D398" i="47"/>
  <c r="A398" i="47"/>
  <c r="F397" i="47"/>
  <c r="D397" i="47"/>
  <c r="A397" i="47"/>
  <c r="F396" i="47"/>
  <c r="D396" i="47"/>
  <c r="A396" i="47"/>
  <c r="D395" i="47"/>
  <c r="A395" i="47"/>
  <c r="D394" i="47"/>
  <c r="A394" i="47"/>
  <c r="D393" i="47"/>
  <c r="A393" i="47"/>
  <c r="D392" i="47"/>
  <c r="A392" i="47"/>
  <c r="D391" i="47"/>
  <c r="A391" i="47"/>
  <c r="D390" i="47"/>
  <c r="A390" i="47"/>
  <c r="D389" i="47"/>
  <c r="A389" i="47"/>
  <c r="D388" i="47"/>
  <c r="A388" i="47"/>
  <c r="D387" i="47"/>
  <c r="A387" i="47"/>
  <c r="D386" i="47"/>
  <c r="A386" i="47"/>
  <c r="D385" i="47"/>
  <c r="A385" i="47"/>
  <c r="D384" i="47"/>
  <c r="A384" i="47"/>
  <c r="D383" i="47"/>
  <c r="A383" i="47"/>
  <c r="D382" i="47"/>
  <c r="A382" i="47"/>
  <c r="F381" i="47"/>
  <c r="D381" i="47"/>
  <c r="A381" i="47"/>
  <c r="D380" i="47"/>
  <c r="F380" i="47" s="1"/>
  <c r="A380" i="47"/>
  <c r="F379" i="47"/>
  <c r="D379" i="47"/>
  <c r="A379" i="47"/>
  <c r="D378" i="47"/>
  <c r="F378" i="47" s="1"/>
  <c r="A378" i="47"/>
  <c r="D377" i="47"/>
  <c r="A377" i="47"/>
  <c r="D376" i="47"/>
  <c r="A376" i="47"/>
  <c r="D375" i="47"/>
  <c r="A375" i="47"/>
  <c r="D374" i="47"/>
  <c r="A374" i="47"/>
  <c r="D373" i="47"/>
  <c r="A373" i="47"/>
  <c r="D372" i="47"/>
  <c r="A372" i="47"/>
  <c r="D371" i="47"/>
  <c r="A371" i="47"/>
  <c r="D370" i="47"/>
  <c r="A370" i="47"/>
  <c r="D369" i="47"/>
  <c r="A369" i="47"/>
  <c r="D368" i="47"/>
  <c r="A368" i="47"/>
  <c r="D367" i="47"/>
  <c r="A367" i="47"/>
  <c r="D366" i="47"/>
  <c r="A366" i="47"/>
  <c r="D365" i="47"/>
  <c r="A365" i="47"/>
  <c r="D364" i="47"/>
  <c r="A364" i="47"/>
  <c r="F363" i="47"/>
  <c r="D363" i="47"/>
  <c r="A363" i="47"/>
  <c r="F362" i="47"/>
  <c r="D362" i="47"/>
  <c r="A362" i="47"/>
  <c r="F361" i="47"/>
  <c r="D361" i="47"/>
  <c r="A361" i="47"/>
  <c r="F360" i="47"/>
  <c r="D360" i="47"/>
  <c r="A360" i="47"/>
  <c r="D359" i="47"/>
  <c r="A359" i="47"/>
  <c r="D358" i="47"/>
  <c r="A358" i="47"/>
  <c r="D357" i="47"/>
  <c r="A357" i="47"/>
  <c r="D356" i="47"/>
  <c r="A356" i="47"/>
  <c r="D355" i="47"/>
  <c r="A355" i="47"/>
  <c r="D354" i="47"/>
  <c r="A354" i="47"/>
  <c r="D353" i="47"/>
  <c r="A353" i="47"/>
  <c r="D352" i="47"/>
  <c r="A352" i="47"/>
  <c r="D351" i="47"/>
  <c r="A351" i="47"/>
  <c r="D350" i="47"/>
  <c r="A350" i="47"/>
  <c r="D349" i="47"/>
  <c r="A349" i="47"/>
  <c r="D348" i="47"/>
  <c r="A348" i="47"/>
  <c r="D347" i="47"/>
  <c r="A347" i="47"/>
  <c r="D346" i="47"/>
  <c r="A346" i="47"/>
  <c r="D345" i="47"/>
  <c r="F345" i="47" s="1"/>
  <c r="A345" i="47"/>
  <c r="F344" i="47"/>
  <c r="D344" i="47"/>
  <c r="A344" i="47"/>
  <c r="D343" i="47"/>
  <c r="F343" i="47" s="1"/>
  <c r="A343" i="47"/>
  <c r="F342" i="47"/>
  <c r="D342" i="47"/>
  <c r="A342" i="47"/>
  <c r="D341" i="47"/>
  <c r="A341" i="47"/>
  <c r="D340" i="47"/>
  <c r="A340" i="47"/>
  <c r="D339" i="47"/>
  <c r="A339" i="47"/>
  <c r="D338" i="47"/>
  <c r="A338" i="47"/>
  <c r="D337" i="47"/>
  <c r="A337" i="47"/>
  <c r="D336" i="47"/>
  <c r="A336" i="47"/>
  <c r="D335" i="47"/>
  <c r="A335" i="47"/>
  <c r="D334" i="47"/>
  <c r="A334" i="47"/>
  <c r="D333" i="47"/>
  <c r="A333" i="47"/>
  <c r="D332" i="47"/>
  <c r="A332" i="47"/>
  <c r="D331" i="47"/>
  <c r="A331" i="47"/>
  <c r="D330" i="47"/>
  <c r="A330" i="47"/>
  <c r="D329" i="47"/>
  <c r="A329" i="47"/>
  <c r="D328" i="47"/>
  <c r="A328" i="47"/>
  <c r="F327" i="47"/>
  <c r="D327" i="47"/>
  <c r="A327" i="47"/>
  <c r="F326" i="47"/>
  <c r="D326" i="47"/>
  <c r="A326" i="47"/>
  <c r="F325" i="47"/>
  <c r="D325" i="47"/>
  <c r="A325" i="47"/>
  <c r="F324" i="47"/>
  <c r="D324" i="47"/>
  <c r="A324" i="47"/>
  <c r="D323" i="47"/>
  <c r="A323" i="47"/>
  <c r="D322" i="47"/>
  <c r="A322" i="47"/>
  <c r="D321" i="47"/>
  <c r="A321" i="47"/>
  <c r="D320" i="47"/>
  <c r="A320" i="47"/>
  <c r="D319" i="47"/>
  <c r="A319" i="47"/>
  <c r="D318" i="47"/>
  <c r="A318" i="47"/>
  <c r="D317" i="47"/>
  <c r="A317" i="47"/>
  <c r="D316" i="47"/>
  <c r="A316" i="47"/>
  <c r="D315" i="47"/>
  <c r="A315" i="47"/>
  <c r="D314" i="47"/>
  <c r="A314" i="47"/>
  <c r="D313" i="47"/>
  <c r="A313" i="47"/>
  <c r="D312" i="47"/>
  <c r="A312" i="47"/>
  <c r="D311" i="47"/>
  <c r="A311" i="47"/>
  <c r="D310" i="47"/>
  <c r="A310" i="47"/>
  <c r="F309" i="47"/>
  <c r="D309" i="47"/>
  <c r="A309" i="47"/>
  <c r="D308" i="47"/>
  <c r="F308" i="47" s="1"/>
  <c r="A308" i="47"/>
  <c r="F307" i="47"/>
  <c r="D307" i="47"/>
  <c r="A307" i="47"/>
  <c r="D306" i="47"/>
  <c r="F306" i="47" s="1"/>
  <c r="A306" i="47"/>
  <c r="D305" i="47"/>
  <c r="A305" i="47"/>
  <c r="D304" i="47"/>
  <c r="A304" i="47"/>
  <c r="D303" i="47"/>
  <c r="A303" i="47"/>
  <c r="D302" i="47"/>
  <c r="A302" i="47"/>
  <c r="D301" i="47"/>
  <c r="A301" i="47"/>
  <c r="D300" i="47"/>
  <c r="A300" i="47"/>
  <c r="D299" i="47"/>
  <c r="A299" i="47"/>
  <c r="D298" i="47"/>
  <c r="A298" i="47"/>
  <c r="D297" i="47"/>
  <c r="A297" i="47"/>
  <c r="D296" i="47"/>
  <c r="A296" i="47"/>
  <c r="D295" i="47"/>
  <c r="A295" i="47"/>
  <c r="E294" i="47"/>
  <c r="D294" i="47"/>
  <c r="A294" i="47"/>
  <c r="D293" i="47"/>
  <c r="A293" i="47"/>
  <c r="D292" i="47"/>
  <c r="A292" i="47"/>
  <c r="D291" i="47"/>
  <c r="F291" i="47" s="1"/>
  <c r="A291" i="47"/>
  <c r="F290" i="47"/>
  <c r="D290" i="47"/>
  <c r="A290" i="47"/>
  <c r="D289" i="47"/>
  <c r="F289" i="47" s="1"/>
  <c r="A289" i="47"/>
  <c r="F288" i="47"/>
  <c r="D288" i="47"/>
  <c r="A288" i="47"/>
  <c r="D287" i="47"/>
  <c r="A287" i="47"/>
  <c r="D286" i="47"/>
  <c r="A286" i="47"/>
  <c r="D285" i="47"/>
  <c r="A285" i="47"/>
  <c r="D284" i="47"/>
  <c r="A284" i="47"/>
  <c r="D283" i="47"/>
  <c r="A283" i="47"/>
  <c r="D282" i="47"/>
  <c r="A282" i="47"/>
  <c r="D281" i="47"/>
  <c r="A281" i="47"/>
  <c r="D280" i="47"/>
  <c r="A280" i="47"/>
  <c r="D279" i="47"/>
  <c r="A279" i="47"/>
  <c r="D278" i="47"/>
  <c r="A278" i="47"/>
  <c r="D277" i="47"/>
  <c r="A277" i="47"/>
  <c r="D276" i="47"/>
  <c r="A276" i="47"/>
  <c r="D275" i="47"/>
  <c r="A275" i="47"/>
  <c r="D274" i="47"/>
  <c r="A274" i="47"/>
  <c r="F273" i="47"/>
  <c r="D273" i="47"/>
  <c r="A273" i="47"/>
  <c r="F272" i="47"/>
  <c r="D272" i="47"/>
  <c r="A272" i="47"/>
  <c r="F271" i="47"/>
  <c r="D271" i="47"/>
  <c r="A271" i="47"/>
  <c r="F270" i="47"/>
  <c r="D270" i="47"/>
  <c r="A270" i="47"/>
  <c r="D269" i="47"/>
  <c r="A269" i="47"/>
  <c r="D268" i="47"/>
  <c r="A268" i="47"/>
  <c r="D267" i="47"/>
  <c r="A267" i="47"/>
  <c r="D266" i="47"/>
  <c r="A266" i="47"/>
  <c r="D265" i="47"/>
  <c r="A265" i="47"/>
  <c r="D264" i="47"/>
  <c r="A264" i="47"/>
  <c r="D263" i="47"/>
  <c r="A263" i="47"/>
  <c r="D262" i="47"/>
  <c r="A262" i="47"/>
  <c r="D261" i="47"/>
  <c r="A261" i="47"/>
  <c r="D260" i="47"/>
  <c r="A260" i="47"/>
  <c r="D259" i="47"/>
  <c r="A259" i="47"/>
  <c r="D258" i="47"/>
  <c r="A258" i="47"/>
  <c r="D257" i="47"/>
  <c r="A257" i="47"/>
  <c r="D256" i="47"/>
  <c r="A256" i="47"/>
  <c r="F255" i="47"/>
  <c r="D255" i="47"/>
  <c r="A255" i="47"/>
  <c r="D254" i="47"/>
  <c r="F254" i="47" s="1"/>
  <c r="A254" i="47"/>
  <c r="F253" i="47"/>
  <c r="D253" i="47"/>
  <c r="A253" i="47"/>
  <c r="D252" i="47"/>
  <c r="F252" i="47" s="1"/>
  <c r="A252" i="47"/>
  <c r="D251" i="47"/>
  <c r="A251" i="47"/>
  <c r="D250" i="47"/>
  <c r="A250" i="47"/>
  <c r="D249" i="47"/>
  <c r="A249" i="47"/>
  <c r="D248" i="47"/>
  <c r="A248" i="47"/>
  <c r="D247" i="47"/>
  <c r="A247" i="47"/>
  <c r="D246" i="47"/>
  <c r="A246" i="47"/>
  <c r="D245" i="47"/>
  <c r="A245" i="47"/>
  <c r="D244" i="47"/>
  <c r="A244" i="47"/>
  <c r="D243" i="47"/>
  <c r="A243" i="47"/>
  <c r="D242" i="47"/>
  <c r="A242" i="47"/>
  <c r="D241" i="47"/>
  <c r="A241" i="47"/>
  <c r="D240" i="47"/>
  <c r="A240" i="47"/>
  <c r="D239" i="47"/>
  <c r="A239" i="47"/>
  <c r="D238" i="47"/>
  <c r="A238" i="47"/>
  <c r="F237" i="47"/>
  <c r="D237" i="47"/>
  <c r="A237" i="47"/>
  <c r="F236" i="47"/>
  <c r="D236" i="47"/>
  <c r="A236" i="47"/>
  <c r="F235" i="47"/>
  <c r="D235" i="47"/>
  <c r="A235" i="47"/>
  <c r="F234" i="47"/>
  <c r="D234" i="47"/>
  <c r="A234" i="47"/>
  <c r="D233" i="47"/>
  <c r="A233" i="47"/>
  <c r="D232" i="47"/>
  <c r="A232" i="47"/>
  <c r="D231" i="47"/>
  <c r="A231" i="47"/>
  <c r="D230" i="47"/>
  <c r="A230" i="47"/>
  <c r="D229" i="47"/>
  <c r="A229" i="47"/>
  <c r="D228" i="47"/>
  <c r="A228" i="47"/>
  <c r="D227" i="47"/>
  <c r="A227" i="47"/>
  <c r="D226" i="47"/>
  <c r="A226" i="47"/>
  <c r="D225" i="47"/>
  <c r="A225" i="47"/>
  <c r="D224" i="47"/>
  <c r="A224" i="47"/>
  <c r="D223" i="47"/>
  <c r="A223" i="47"/>
  <c r="D222" i="47"/>
  <c r="A222" i="47"/>
  <c r="D221" i="47"/>
  <c r="A221" i="47"/>
  <c r="D220" i="47"/>
  <c r="A220" i="47"/>
  <c r="D219" i="47"/>
  <c r="F219" i="47" s="1"/>
  <c r="A219" i="47"/>
  <c r="F218" i="47"/>
  <c r="D218" i="47"/>
  <c r="A218" i="47"/>
  <c r="D217" i="47"/>
  <c r="F217" i="47" s="1"/>
  <c r="A217" i="47"/>
  <c r="F216" i="47"/>
  <c r="D216" i="47"/>
  <c r="A216" i="47"/>
  <c r="D215" i="47"/>
  <c r="A215" i="47"/>
  <c r="D214" i="47"/>
  <c r="A214" i="47"/>
  <c r="D213" i="47"/>
  <c r="A213" i="47"/>
  <c r="D212" i="47"/>
  <c r="A212" i="47"/>
  <c r="D211" i="47"/>
  <c r="A211" i="47"/>
  <c r="D210" i="47"/>
  <c r="A210" i="47"/>
  <c r="D209" i="47"/>
  <c r="A209" i="47"/>
  <c r="D208" i="47"/>
  <c r="A208" i="47"/>
  <c r="D207" i="47"/>
  <c r="A207" i="47"/>
  <c r="D206" i="47"/>
  <c r="A206" i="47"/>
  <c r="D205" i="47"/>
  <c r="A205" i="47"/>
  <c r="D204" i="47"/>
  <c r="A204" i="47"/>
  <c r="D203" i="47"/>
  <c r="A203" i="47"/>
  <c r="D202" i="47"/>
  <c r="A202" i="47"/>
  <c r="F201" i="47"/>
  <c r="D201" i="47"/>
  <c r="A201" i="47"/>
  <c r="F200" i="47"/>
  <c r="D200" i="47"/>
  <c r="A200" i="47"/>
  <c r="F199" i="47"/>
  <c r="D199" i="47"/>
  <c r="A199" i="47"/>
  <c r="F198" i="47"/>
  <c r="D198" i="47"/>
  <c r="A198" i="47"/>
  <c r="D197" i="47"/>
  <c r="A197" i="47"/>
  <c r="D196" i="47"/>
  <c r="A196" i="47"/>
  <c r="D195" i="47"/>
  <c r="A195" i="47"/>
  <c r="D194" i="47"/>
  <c r="A194" i="47"/>
  <c r="D193" i="47"/>
  <c r="A193" i="47"/>
  <c r="D192" i="47"/>
  <c r="A192" i="47"/>
  <c r="D191" i="47"/>
  <c r="A191" i="47"/>
  <c r="D190" i="47"/>
  <c r="A190" i="47"/>
  <c r="D189" i="47"/>
  <c r="A189" i="47"/>
  <c r="D188" i="47"/>
  <c r="A188" i="47"/>
  <c r="D187" i="47"/>
  <c r="A187" i="47"/>
  <c r="D186" i="47"/>
  <c r="A186" i="47"/>
  <c r="D185" i="47"/>
  <c r="A185" i="47"/>
  <c r="D184" i="47"/>
  <c r="A184" i="47"/>
  <c r="F183" i="47"/>
  <c r="D183" i="47"/>
  <c r="A183" i="47"/>
  <c r="D182" i="47"/>
  <c r="F182" i="47" s="1"/>
  <c r="A182" i="47"/>
  <c r="F181" i="47"/>
  <c r="D181" i="47"/>
  <c r="A181" i="47"/>
  <c r="D180" i="47"/>
  <c r="F180" i="47" s="1"/>
  <c r="A180" i="47"/>
  <c r="D179" i="47"/>
  <c r="A179" i="47"/>
  <c r="D178" i="47"/>
  <c r="A178" i="47"/>
  <c r="D177" i="47"/>
  <c r="A177" i="47"/>
  <c r="D176" i="47"/>
  <c r="A176" i="47"/>
  <c r="D175" i="47"/>
  <c r="A175" i="47"/>
  <c r="D174" i="47"/>
  <c r="A174" i="47"/>
  <c r="D173" i="47"/>
  <c r="A173" i="47"/>
  <c r="D172" i="47"/>
  <c r="A172" i="47"/>
  <c r="D171" i="47"/>
  <c r="A171" i="47"/>
  <c r="D170" i="47"/>
  <c r="A170" i="47"/>
  <c r="D169" i="47"/>
  <c r="A169" i="47"/>
  <c r="D168" i="47"/>
  <c r="A168" i="47"/>
  <c r="D167" i="47"/>
  <c r="A167" i="47"/>
  <c r="D166" i="47"/>
  <c r="A166" i="47"/>
  <c r="F165" i="47"/>
  <c r="D165" i="47"/>
  <c r="A165" i="47"/>
  <c r="F164" i="47"/>
  <c r="D164" i="47"/>
  <c r="A164" i="47"/>
  <c r="F163" i="47"/>
  <c r="D163" i="47"/>
  <c r="A163" i="47"/>
  <c r="F162" i="47"/>
  <c r="D162" i="47"/>
  <c r="A162" i="47"/>
  <c r="D161" i="47"/>
  <c r="A161" i="47"/>
  <c r="D160" i="47"/>
  <c r="A160" i="47"/>
  <c r="D159" i="47"/>
  <c r="A159" i="47"/>
  <c r="D158" i="47"/>
  <c r="A158" i="47"/>
  <c r="D157" i="47"/>
  <c r="A157" i="47"/>
  <c r="D156" i="47"/>
  <c r="A156" i="47"/>
  <c r="D155" i="47"/>
  <c r="A155" i="47"/>
  <c r="D154" i="47"/>
  <c r="A154" i="47"/>
  <c r="D153" i="47"/>
  <c r="A153" i="47"/>
  <c r="D152" i="47"/>
  <c r="A152" i="47"/>
  <c r="D151" i="47"/>
  <c r="A151" i="47"/>
  <c r="D150" i="47"/>
  <c r="A150" i="47"/>
  <c r="D149" i="47"/>
  <c r="A149" i="47"/>
  <c r="D148" i="47"/>
  <c r="A148" i="47"/>
  <c r="D147" i="47"/>
  <c r="F147" i="47" s="1"/>
  <c r="A147" i="47"/>
  <c r="F146" i="47"/>
  <c r="D146" i="47"/>
  <c r="A146" i="47"/>
  <c r="D145" i="47"/>
  <c r="F145" i="47" s="1"/>
  <c r="A145" i="47"/>
  <c r="F144" i="47"/>
  <c r="D144" i="47"/>
  <c r="A144" i="47"/>
  <c r="D143" i="47"/>
  <c r="A143" i="47"/>
  <c r="D142" i="47"/>
  <c r="A142" i="47"/>
  <c r="D141" i="47"/>
  <c r="A141" i="47"/>
  <c r="D140" i="47"/>
  <c r="A140" i="47"/>
  <c r="D139" i="47"/>
  <c r="A139" i="47"/>
  <c r="D138" i="47"/>
  <c r="A138" i="47"/>
  <c r="D137" i="47"/>
  <c r="A137" i="47"/>
  <c r="D136" i="47"/>
  <c r="A136" i="47"/>
  <c r="D135" i="47"/>
  <c r="A135" i="47"/>
  <c r="D134" i="47"/>
  <c r="A134" i="47"/>
  <c r="D133" i="47"/>
  <c r="A133" i="47"/>
  <c r="D132" i="47"/>
  <c r="A132" i="47"/>
  <c r="D131" i="47"/>
  <c r="A131" i="47"/>
  <c r="D130" i="47"/>
  <c r="A130" i="47"/>
  <c r="F129" i="47"/>
  <c r="D129" i="47"/>
  <c r="A129" i="47"/>
  <c r="F128" i="47"/>
  <c r="D128" i="47"/>
  <c r="A128" i="47"/>
  <c r="F127" i="47"/>
  <c r="D127" i="47"/>
  <c r="A127" i="47"/>
  <c r="F126" i="47"/>
  <c r="D126" i="47"/>
  <c r="A126" i="47"/>
  <c r="D125" i="47"/>
  <c r="A125" i="47"/>
  <c r="D124" i="47"/>
  <c r="A124" i="47"/>
  <c r="D123" i="47"/>
  <c r="A123" i="47"/>
  <c r="D122" i="47"/>
  <c r="A122" i="47"/>
  <c r="D121" i="47"/>
  <c r="A121" i="47"/>
  <c r="D120" i="47"/>
  <c r="A120" i="47"/>
  <c r="D119" i="47"/>
  <c r="A119" i="47"/>
  <c r="D118" i="47"/>
  <c r="A118" i="47"/>
  <c r="D117" i="47"/>
  <c r="A117" i="47"/>
  <c r="D116" i="47"/>
  <c r="A116" i="47"/>
  <c r="D115" i="47"/>
  <c r="A115" i="47"/>
  <c r="D114" i="47"/>
  <c r="A114" i="47"/>
  <c r="D113" i="47"/>
  <c r="A113" i="47"/>
  <c r="D112" i="47"/>
  <c r="A112" i="47"/>
  <c r="F111" i="47"/>
  <c r="D111" i="47"/>
  <c r="A111" i="47"/>
  <c r="D110" i="47"/>
  <c r="F110" i="47" s="1"/>
  <c r="A110" i="47"/>
  <c r="F109" i="47"/>
  <c r="D109" i="47"/>
  <c r="A109" i="47"/>
  <c r="D108" i="47"/>
  <c r="F108" i="47" s="1"/>
  <c r="A108" i="47"/>
  <c r="D107" i="47"/>
  <c r="A107" i="47"/>
  <c r="D106" i="47"/>
  <c r="A106" i="47"/>
  <c r="D105" i="47"/>
  <c r="A105" i="47"/>
  <c r="D104" i="47"/>
  <c r="A104" i="47"/>
  <c r="D103" i="47"/>
  <c r="A103" i="47"/>
  <c r="D102" i="47"/>
  <c r="A102" i="47"/>
  <c r="D101" i="47"/>
  <c r="A101" i="47"/>
  <c r="D100" i="47"/>
  <c r="A100" i="47"/>
  <c r="D99" i="47"/>
  <c r="A99" i="47"/>
  <c r="D98" i="47"/>
  <c r="A98" i="47"/>
  <c r="D97" i="47"/>
  <c r="A97" i="47"/>
  <c r="D96" i="47"/>
  <c r="A96" i="47"/>
  <c r="D95" i="47"/>
  <c r="A95" i="47"/>
  <c r="D94" i="47"/>
  <c r="A94" i="47"/>
  <c r="D93" i="47"/>
  <c r="F93" i="47" s="1"/>
  <c r="A93" i="47"/>
  <c r="F92" i="47"/>
  <c r="D92" i="47"/>
  <c r="A92" i="47"/>
  <c r="D91" i="47"/>
  <c r="F91" i="47" s="1"/>
  <c r="A91" i="47"/>
  <c r="F90" i="47"/>
  <c r="D90" i="47"/>
  <c r="A90" i="47"/>
  <c r="D89" i="47"/>
  <c r="A89" i="47"/>
  <c r="D88" i="47"/>
  <c r="A88" i="47"/>
  <c r="D87" i="47"/>
  <c r="A87" i="47"/>
  <c r="D86" i="47"/>
  <c r="A86" i="47"/>
  <c r="D85" i="47"/>
  <c r="A85" i="47"/>
  <c r="D84" i="47"/>
  <c r="A84" i="47"/>
  <c r="D83" i="47"/>
  <c r="A83" i="47"/>
  <c r="D82" i="47"/>
  <c r="A82" i="47"/>
  <c r="D81" i="47"/>
  <c r="A81" i="47"/>
  <c r="D80" i="47"/>
  <c r="A80" i="47"/>
  <c r="D79" i="47"/>
  <c r="A79" i="47"/>
  <c r="D78" i="47"/>
  <c r="A78" i="47"/>
  <c r="D77" i="47"/>
  <c r="A77" i="47"/>
  <c r="D76" i="47"/>
  <c r="A76" i="47"/>
  <c r="F75" i="47"/>
  <c r="D75" i="47"/>
  <c r="A75" i="47"/>
  <c r="F74" i="47"/>
  <c r="D74" i="47"/>
  <c r="A74" i="47"/>
  <c r="F73" i="47"/>
  <c r="D73" i="47"/>
  <c r="A73" i="47"/>
  <c r="F72" i="47"/>
  <c r="D72" i="47"/>
  <c r="A72" i="47"/>
  <c r="D71" i="47"/>
  <c r="A71" i="47"/>
  <c r="D70" i="47"/>
  <c r="A70" i="47"/>
  <c r="D69" i="47"/>
  <c r="A69" i="47"/>
  <c r="D68" i="47"/>
  <c r="A68" i="47"/>
  <c r="D67" i="47"/>
  <c r="A67" i="47"/>
  <c r="D66" i="47"/>
  <c r="A66" i="47"/>
  <c r="D65" i="47"/>
  <c r="A65" i="47"/>
  <c r="D64" i="47"/>
  <c r="A64" i="47"/>
  <c r="D63" i="47"/>
  <c r="A63" i="47"/>
  <c r="D62" i="47"/>
  <c r="A62" i="47"/>
  <c r="D61" i="47"/>
  <c r="A61" i="47"/>
  <c r="D60" i="47"/>
  <c r="A60" i="47"/>
  <c r="D59" i="47"/>
  <c r="A59" i="47"/>
  <c r="D58" i="47"/>
  <c r="A58" i="47"/>
  <c r="F57" i="47"/>
  <c r="D57" i="47"/>
  <c r="A57" i="47"/>
  <c r="D56" i="47"/>
  <c r="F56" i="47" s="1"/>
  <c r="A56" i="47"/>
  <c r="F55" i="47"/>
  <c r="D55" i="47"/>
  <c r="A55" i="47"/>
  <c r="D54" i="47"/>
  <c r="F54" i="47" s="1"/>
  <c r="A54" i="47"/>
  <c r="D53" i="47"/>
  <c r="A53" i="47"/>
  <c r="D52" i="47"/>
  <c r="A52" i="47"/>
  <c r="D51" i="47"/>
  <c r="A51" i="47"/>
  <c r="D50" i="47"/>
  <c r="A50" i="47"/>
  <c r="D49" i="47"/>
  <c r="A49" i="47"/>
  <c r="D48" i="47"/>
  <c r="A48" i="47"/>
  <c r="D47" i="47"/>
  <c r="A47" i="47"/>
  <c r="D46" i="47"/>
  <c r="A46" i="47"/>
  <c r="D45" i="47"/>
  <c r="A45" i="47"/>
  <c r="D44" i="47"/>
  <c r="A44" i="47"/>
  <c r="D43" i="47"/>
  <c r="A43" i="47"/>
  <c r="D42" i="47"/>
  <c r="A42" i="47"/>
  <c r="D41" i="47"/>
  <c r="A41" i="47"/>
  <c r="D40" i="47"/>
  <c r="A40" i="47"/>
  <c r="F39" i="47"/>
  <c r="D39" i="47"/>
  <c r="A39" i="47"/>
  <c r="D38" i="47"/>
  <c r="F38" i="47" s="1"/>
  <c r="A38" i="47"/>
  <c r="F37" i="47"/>
  <c r="D37" i="47"/>
  <c r="A37" i="47"/>
  <c r="D36" i="47"/>
  <c r="F36" i="47" s="1"/>
  <c r="A36" i="47"/>
  <c r="D35" i="47"/>
  <c r="A35" i="47"/>
  <c r="D34" i="47"/>
  <c r="A34" i="47"/>
  <c r="D33" i="47"/>
  <c r="A33" i="47"/>
  <c r="D32" i="47"/>
  <c r="A32" i="47"/>
  <c r="D31" i="47"/>
  <c r="A31" i="47"/>
  <c r="D30" i="47"/>
  <c r="A30" i="47"/>
  <c r="D29" i="47"/>
  <c r="A29" i="47"/>
  <c r="D28" i="47"/>
  <c r="A28" i="47"/>
  <c r="D27" i="47"/>
  <c r="A27" i="47"/>
  <c r="D26" i="47"/>
  <c r="A26" i="47"/>
  <c r="D25" i="47"/>
  <c r="A25" i="47"/>
  <c r="D24" i="47"/>
  <c r="A24" i="47"/>
  <c r="D23" i="47"/>
  <c r="A23" i="47"/>
  <c r="D22" i="47"/>
  <c r="A22" i="47"/>
  <c r="F21" i="47"/>
  <c r="D21" i="47"/>
  <c r="A21" i="47"/>
  <c r="F20" i="47"/>
  <c r="D20" i="47"/>
  <c r="A20" i="47"/>
  <c r="F19" i="47"/>
  <c r="D19" i="47"/>
  <c r="A19" i="47"/>
  <c r="F18" i="47"/>
  <c r="D18" i="47"/>
  <c r="A18" i="47"/>
  <c r="D17" i="47"/>
  <c r="A17" i="47"/>
  <c r="D16" i="47"/>
  <c r="A16" i="47"/>
  <c r="D15" i="47"/>
  <c r="A15" i="47"/>
  <c r="D14" i="47"/>
  <c r="A14" i="47"/>
  <c r="D13" i="47"/>
  <c r="A13" i="47"/>
  <c r="D12" i="47"/>
  <c r="A12" i="47"/>
  <c r="D11" i="47"/>
  <c r="A11" i="47"/>
  <c r="D10" i="47"/>
  <c r="A10" i="47"/>
  <c r="D9" i="47"/>
  <c r="A9" i="47"/>
  <c r="D8" i="47"/>
  <c r="A8" i="47"/>
  <c r="D7" i="47"/>
  <c r="A7" i="47"/>
  <c r="D6" i="47"/>
  <c r="A6" i="47"/>
  <c r="D5" i="47"/>
  <c r="A5" i="47"/>
  <c r="D4" i="47"/>
  <c r="A4" i="47"/>
  <c r="C62" i="44"/>
  <c r="C61" i="44"/>
  <c r="C60" i="44" s="1"/>
  <c r="C59" i="44"/>
  <c r="C58" i="44"/>
  <c r="C57" i="44"/>
  <c r="C56" i="44"/>
  <c r="C55" i="44"/>
  <c r="C54" i="44" s="1"/>
  <c r="C53" i="44"/>
  <c r="C52" i="44"/>
  <c r="C51" i="44"/>
  <c r="C50" i="44"/>
  <c r="C49" i="44"/>
  <c r="C48" i="44"/>
  <c r="C47" i="44"/>
  <c r="C46" i="44"/>
  <c r="C45" i="44" s="1"/>
  <c r="C44" i="44"/>
  <c r="C43" i="44"/>
  <c r="C42" i="44"/>
  <c r="C41" i="44"/>
  <c r="C40" i="44"/>
  <c r="C39" i="44"/>
  <c r="C38" i="44"/>
  <c r="C37" i="44" s="1"/>
  <c r="C36" i="44"/>
  <c r="C35" i="44"/>
  <c r="C34" i="44"/>
  <c r="C33" i="44"/>
  <c r="C30" i="44" s="1"/>
  <c r="C32" i="44"/>
  <c r="C31" i="44"/>
  <c r="C29" i="44"/>
  <c r="C28" i="44"/>
  <c r="C26" i="44" s="1"/>
  <c r="C27" i="44"/>
  <c r="C25" i="44"/>
  <c r="C24" i="44"/>
  <c r="C23" i="44"/>
  <c r="C22" i="44"/>
  <c r="C20" i="44" s="1"/>
  <c r="C21" i="44"/>
  <c r="C19" i="44"/>
  <c r="C18" i="44"/>
  <c r="C17" i="44"/>
  <c r="C16" i="44" s="1"/>
  <c r="C15" i="44"/>
  <c r="C14" i="44"/>
  <c r="C12" i="44" s="1"/>
  <c r="C13" i="44"/>
  <c r="C11" i="44"/>
  <c r="C10" i="44"/>
  <c r="C9" i="44"/>
  <c r="C7" i="44" s="1"/>
  <c r="C8" i="44"/>
  <c r="Q8" i="10"/>
  <c r="Q9" i="10" s="1"/>
  <c r="Q10" i="10" s="1"/>
  <c r="Q11" i="10" s="1"/>
  <c r="Q12" i="10" s="1"/>
  <c r="D5" i="10"/>
  <c r="D6" i="10" s="1"/>
  <c r="D7" i="10" s="1"/>
  <c r="D8" i="10" s="1"/>
  <c r="D4" i="10"/>
  <c r="C169" i="7"/>
  <c r="C168" i="7"/>
  <c r="C167" i="7"/>
  <c r="C156" i="7"/>
  <c r="C154" i="7"/>
  <c r="C153" i="7"/>
  <c r="C152" i="7"/>
  <c r="C151" i="7"/>
  <c r="C150" i="7"/>
  <c r="C148" i="7"/>
  <c r="C147" i="7"/>
  <c r="C146" i="7"/>
  <c r="C155" i="7" s="1"/>
  <c r="C157" i="7" s="1"/>
  <c r="C143" i="7"/>
  <c r="C142" i="7"/>
  <c r="M28" i="6"/>
  <c r="N28" i="6" s="1"/>
  <c r="I28" i="6"/>
  <c r="F28" i="6"/>
  <c r="E28" i="6"/>
  <c r="D28" i="6"/>
  <c r="M27" i="6"/>
  <c r="F27" i="6"/>
  <c r="E27" i="6"/>
  <c r="I27" i="6" s="1"/>
  <c r="M26" i="6"/>
  <c r="N26" i="6" s="1"/>
  <c r="I26" i="6"/>
  <c r="F26" i="6"/>
  <c r="M25" i="6"/>
  <c r="F25" i="6"/>
  <c r="E25" i="6"/>
  <c r="I25" i="6" s="1"/>
  <c r="M24" i="6"/>
  <c r="I24" i="6"/>
  <c r="F24" i="6"/>
  <c r="E24" i="6"/>
  <c r="M23" i="6"/>
  <c r="F23" i="6"/>
  <c r="E23" i="6"/>
  <c r="I23" i="6" s="1"/>
  <c r="M22" i="6"/>
  <c r="I22" i="6"/>
  <c r="F22" i="6"/>
  <c r="E22" i="6"/>
  <c r="M21" i="6"/>
  <c r="N21" i="6" s="1"/>
  <c r="I21" i="6"/>
  <c r="F21" i="6"/>
  <c r="E21" i="6"/>
  <c r="M20" i="6"/>
  <c r="N20" i="6" s="1"/>
  <c r="F20" i="6"/>
  <c r="E20" i="6"/>
  <c r="I20" i="6" s="1"/>
  <c r="N19" i="6"/>
  <c r="M19" i="6"/>
  <c r="I19" i="6"/>
  <c r="F19" i="6"/>
  <c r="E19" i="6"/>
  <c r="M18" i="6"/>
  <c r="N18" i="6" s="1"/>
  <c r="F18" i="6"/>
  <c r="E18" i="6"/>
  <c r="I18" i="6" s="1"/>
  <c r="M17" i="6"/>
  <c r="N17" i="6" s="1"/>
  <c r="F17" i="6"/>
  <c r="E17" i="6"/>
  <c r="I17" i="6" s="1"/>
  <c r="M16" i="6"/>
  <c r="N16" i="6" s="1"/>
  <c r="F16" i="6"/>
  <c r="E16" i="6"/>
  <c r="I16" i="6" s="1"/>
  <c r="D16" i="6"/>
  <c r="M15" i="6"/>
  <c r="N15" i="6" s="1"/>
  <c r="F15" i="6"/>
  <c r="E15" i="6"/>
  <c r="I15" i="6" s="1"/>
  <c r="M14" i="6"/>
  <c r="N14" i="6" s="1"/>
  <c r="F14" i="6"/>
  <c r="E14" i="6"/>
  <c r="I14" i="6" s="1"/>
  <c r="D14" i="6"/>
  <c r="N13" i="6"/>
  <c r="M13" i="6"/>
  <c r="I13" i="6"/>
  <c r="F13" i="6"/>
  <c r="E13" i="6"/>
  <c r="D13" i="6"/>
  <c r="M12" i="6"/>
  <c r="N12" i="6" s="1"/>
  <c r="I12" i="6"/>
  <c r="F12" i="6"/>
  <c r="E12" i="6"/>
  <c r="M11" i="6"/>
  <c r="N11" i="6" s="1"/>
  <c r="F11" i="6"/>
  <c r="E11" i="6"/>
  <c r="I11" i="6" s="1"/>
  <c r="M10" i="6"/>
  <c r="N10" i="6" s="1"/>
  <c r="I10" i="6"/>
  <c r="F10" i="6"/>
  <c r="E10" i="6"/>
  <c r="M9" i="6"/>
  <c r="N9" i="6" s="1"/>
  <c r="F9" i="6"/>
  <c r="E9" i="6"/>
  <c r="I9" i="6" s="1"/>
  <c r="M8" i="6"/>
  <c r="N8" i="6" s="1"/>
  <c r="F8" i="6"/>
  <c r="E8" i="6"/>
  <c r="I8" i="6" s="1"/>
  <c r="M7" i="6"/>
  <c r="N7" i="6" s="1"/>
  <c r="F7" i="6"/>
  <c r="E7" i="6"/>
  <c r="I7" i="6" s="1"/>
  <c r="D7" i="6"/>
  <c r="M6" i="6"/>
  <c r="N6" i="6" s="1"/>
  <c r="F6" i="6"/>
  <c r="E6" i="6"/>
  <c r="I6" i="6" s="1"/>
  <c r="BE30" i="1"/>
  <c r="E849" i="47" s="1"/>
  <c r="BD30" i="1"/>
  <c r="E831" i="47" s="1"/>
  <c r="BC30" i="1"/>
  <c r="E813" i="47" s="1"/>
  <c r="BB30" i="1"/>
  <c r="BA30" i="1"/>
  <c r="E795" i="47" s="1"/>
  <c r="AZ30" i="1"/>
  <c r="E777" i="47" s="1"/>
  <c r="AY30" i="1"/>
  <c r="AX30" i="1"/>
  <c r="E759" i="47" s="1"/>
  <c r="AW30" i="1"/>
  <c r="E741" i="47" s="1"/>
  <c r="AU30" i="1"/>
  <c r="E723" i="47" s="1"/>
  <c r="AT30" i="1"/>
  <c r="E705" i="47" s="1"/>
  <c r="AR30" i="1"/>
  <c r="E687" i="47" s="1"/>
  <c r="AQ30" i="1"/>
  <c r="E669" i="47" s="1"/>
  <c r="AO30" i="1"/>
  <c r="E651" i="47" s="1"/>
  <c r="AN30" i="1"/>
  <c r="E633" i="47" s="1"/>
  <c r="AL30" i="1"/>
  <c r="E615" i="47" s="1"/>
  <c r="AK30" i="1"/>
  <c r="E597" i="47" s="1"/>
  <c r="AJ30" i="1"/>
  <c r="E579" i="47" s="1"/>
  <c r="AI30" i="1"/>
  <c r="E561" i="47" s="1"/>
  <c r="AG30" i="1"/>
  <c r="E543" i="47" s="1"/>
  <c r="AF30" i="1"/>
  <c r="E525" i="47" s="1"/>
  <c r="AE30" i="1"/>
  <c r="E507" i="47" s="1"/>
  <c r="AD30" i="1"/>
  <c r="E489" i="47" s="1"/>
  <c r="AB30" i="1"/>
  <c r="E471" i="47" s="1"/>
  <c r="AA30" i="1"/>
  <c r="E453" i="47" s="1"/>
  <c r="Z30" i="1"/>
  <c r="E435" i="47" s="1"/>
  <c r="X30" i="1"/>
  <c r="E417" i="47" s="1"/>
  <c r="W30" i="1"/>
  <c r="E399" i="47" s="1"/>
  <c r="V30" i="1"/>
  <c r="E381" i="47" s="1"/>
  <c r="U30" i="1"/>
  <c r="E363" i="47" s="1"/>
  <c r="T30" i="1"/>
  <c r="E345" i="47" s="1"/>
  <c r="S30" i="1"/>
  <c r="E327" i="47" s="1"/>
  <c r="R30" i="1"/>
  <c r="E309" i="47" s="1"/>
  <c r="Q30" i="1"/>
  <c r="E291" i="47" s="1"/>
  <c r="P30" i="1"/>
  <c r="E273" i="47" s="1"/>
  <c r="O30" i="1"/>
  <c r="E255" i="47" s="1"/>
  <c r="N30" i="1"/>
  <c r="E237" i="47" s="1"/>
  <c r="M30" i="1"/>
  <c r="E219" i="47" s="1"/>
  <c r="L30" i="1"/>
  <c r="E201" i="47" s="1"/>
  <c r="K30" i="1"/>
  <c r="E183" i="47" s="1"/>
  <c r="J30" i="1"/>
  <c r="E165" i="47" s="1"/>
  <c r="I30" i="1"/>
  <c r="E147" i="47" s="1"/>
  <c r="H30" i="1"/>
  <c r="E129" i="47" s="1"/>
  <c r="G30" i="1"/>
  <c r="E111" i="47" s="1"/>
  <c r="F30" i="1"/>
  <c r="E93" i="47" s="1"/>
  <c r="E30" i="1"/>
  <c r="E75" i="47" s="1"/>
  <c r="D30" i="1"/>
  <c r="E57" i="47" s="1"/>
  <c r="C30" i="1"/>
  <c r="E39" i="47" s="1"/>
  <c r="B30" i="1"/>
  <c r="E21" i="47" s="1"/>
  <c r="BE29" i="1"/>
  <c r="E848" i="47" s="1"/>
  <c r="BD29" i="1"/>
  <c r="E830" i="47" s="1"/>
  <c r="BC29" i="1"/>
  <c r="E812" i="47" s="1"/>
  <c r="BA29" i="1"/>
  <c r="E794" i="47" s="1"/>
  <c r="AZ29" i="1"/>
  <c r="E776" i="47" s="1"/>
  <c r="AX29" i="1"/>
  <c r="E758" i="47" s="1"/>
  <c r="AW29" i="1"/>
  <c r="E740" i="47" s="1"/>
  <c r="AV29" i="1"/>
  <c r="AU29" i="1"/>
  <c r="E722" i="47" s="1"/>
  <c r="AT29" i="1"/>
  <c r="E704" i="47" s="1"/>
  <c r="AS29" i="1"/>
  <c r="AR29" i="1"/>
  <c r="E686" i="47" s="1"/>
  <c r="AQ29" i="1"/>
  <c r="E668" i="47" s="1"/>
  <c r="AO29" i="1"/>
  <c r="E650" i="47" s="1"/>
  <c r="AN29" i="1"/>
  <c r="E632" i="47" s="1"/>
  <c r="AL29" i="1"/>
  <c r="E614" i="47" s="1"/>
  <c r="AK29" i="1"/>
  <c r="E596" i="47" s="1"/>
  <c r="AJ29" i="1"/>
  <c r="E578" i="47" s="1"/>
  <c r="AI29" i="1"/>
  <c r="E560" i="47" s="1"/>
  <c r="AG29" i="1"/>
  <c r="E542" i="47" s="1"/>
  <c r="AF29" i="1"/>
  <c r="E524" i="47" s="1"/>
  <c r="AE29" i="1"/>
  <c r="E506" i="47" s="1"/>
  <c r="AD29" i="1"/>
  <c r="E488" i="47" s="1"/>
  <c r="AC29" i="1"/>
  <c r="AB29" i="1"/>
  <c r="E470" i="47" s="1"/>
  <c r="AA29" i="1"/>
  <c r="E452" i="47" s="1"/>
  <c r="Z29" i="1"/>
  <c r="E434" i="47" s="1"/>
  <c r="X29" i="1"/>
  <c r="E416" i="47" s="1"/>
  <c r="W29" i="1"/>
  <c r="E398" i="47" s="1"/>
  <c r="V29" i="1"/>
  <c r="E380" i="47" s="1"/>
  <c r="U29" i="1"/>
  <c r="E362" i="47" s="1"/>
  <c r="T29" i="1"/>
  <c r="E344" i="47" s="1"/>
  <c r="S29" i="1"/>
  <c r="E326" i="47" s="1"/>
  <c r="R29" i="1"/>
  <c r="E308" i="47" s="1"/>
  <c r="Q29" i="1"/>
  <c r="E290" i="47" s="1"/>
  <c r="P29" i="1"/>
  <c r="E272" i="47" s="1"/>
  <c r="O29" i="1"/>
  <c r="E254" i="47" s="1"/>
  <c r="N29" i="1"/>
  <c r="E236" i="47" s="1"/>
  <c r="M29" i="1"/>
  <c r="E218" i="47" s="1"/>
  <c r="L29" i="1"/>
  <c r="E200" i="47" s="1"/>
  <c r="K29" i="1"/>
  <c r="E182" i="47" s="1"/>
  <c r="J29" i="1"/>
  <c r="E164" i="47" s="1"/>
  <c r="I29" i="1"/>
  <c r="E146" i="47" s="1"/>
  <c r="H29" i="1"/>
  <c r="E128" i="47" s="1"/>
  <c r="G29" i="1"/>
  <c r="E110" i="47" s="1"/>
  <c r="F29" i="1"/>
  <c r="E92" i="47" s="1"/>
  <c r="E29" i="1"/>
  <c r="E74" i="47" s="1"/>
  <c r="D29" i="1"/>
  <c r="E56" i="47" s="1"/>
  <c r="C29" i="1"/>
  <c r="Y29" i="1" s="1"/>
  <c r="B29" i="1"/>
  <c r="E20" i="47" s="1"/>
  <c r="BE28" i="1"/>
  <c r="E847" i="47" s="1"/>
  <c r="BD28" i="1"/>
  <c r="E829" i="47" s="1"/>
  <c r="BC28" i="1"/>
  <c r="E811" i="47" s="1"/>
  <c r="BA28" i="1"/>
  <c r="E793" i="47" s="1"/>
  <c r="AZ28" i="1"/>
  <c r="E775" i="47" s="1"/>
  <c r="AX28" i="1"/>
  <c r="E757" i="47" s="1"/>
  <c r="AW28" i="1"/>
  <c r="E739" i="47" s="1"/>
  <c r="AU28" i="1"/>
  <c r="E721" i="47" s="1"/>
  <c r="AT28" i="1"/>
  <c r="E703" i="47" s="1"/>
  <c r="AS28" i="1"/>
  <c r="AR28" i="1"/>
  <c r="E685" i="47" s="1"/>
  <c r="AQ28" i="1"/>
  <c r="E667" i="47" s="1"/>
  <c r="AP28" i="1"/>
  <c r="AO28" i="1"/>
  <c r="E649" i="47" s="1"/>
  <c r="AN28" i="1"/>
  <c r="E631" i="47" s="1"/>
  <c r="AM28" i="1"/>
  <c r="AL28" i="1"/>
  <c r="E613" i="47" s="1"/>
  <c r="AK28" i="1"/>
  <c r="E595" i="47" s="1"/>
  <c r="AJ28" i="1"/>
  <c r="E577" i="47" s="1"/>
  <c r="AI28" i="1"/>
  <c r="E559" i="47" s="1"/>
  <c r="AG28" i="1"/>
  <c r="E541" i="47" s="1"/>
  <c r="AF28" i="1"/>
  <c r="E523" i="47" s="1"/>
  <c r="AE28" i="1"/>
  <c r="E505" i="47" s="1"/>
  <c r="AD28" i="1"/>
  <c r="E487" i="47" s="1"/>
  <c r="AC28" i="1"/>
  <c r="AB28" i="1"/>
  <c r="E469" i="47" s="1"/>
  <c r="AA28" i="1"/>
  <c r="E451" i="47" s="1"/>
  <c r="Z28" i="1"/>
  <c r="E433" i="47" s="1"/>
  <c r="X28" i="1"/>
  <c r="E415" i="47" s="1"/>
  <c r="W28" i="1"/>
  <c r="E397" i="47" s="1"/>
  <c r="V28" i="1"/>
  <c r="E379" i="47" s="1"/>
  <c r="U28" i="1"/>
  <c r="E361" i="47" s="1"/>
  <c r="T28" i="1"/>
  <c r="E343" i="47" s="1"/>
  <c r="S28" i="1"/>
  <c r="E325" i="47" s="1"/>
  <c r="R28" i="1"/>
  <c r="E307" i="47" s="1"/>
  <c r="Q28" i="1"/>
  <c r="E289" i="47" s="1"/>
  <c r="P28" i="1"/>
  <c r="E271" i="47" s="1"/>
  <c r="O28" i="1"/>
  <c r="E253" i="47" s="1"/>
  <c r="N28" i="1"/>
  <c r="E235" i="47" s="1"/>
  <c r="M28" i="1"/>
  <c r="E217" i="47" s="1"/>
  <c r="L28" i="1"/>
  <c r="E199" i="47" s="1"/>
  <c r="K28" i="1"/>
  <c r="E181" i="47" s="1"/>
  <c r="J28" i="1"/>
  <c r="E163" i="47" s="1"/>
  <c r="I28" i="1"/>
  <c r="E145" i="47" s="1"/>
  <c r="H28" i="1"/>
  <c r="E127" i="47" s="1"/>
  <c r="G28" i="1"/>
  <c r="E109" i="47" s="1"/>
  <c r="F28" i="1"/>
  <c r="E91" i="47" s="1"/>
  <c r="E28" i="1"/>
  <c r="E73" i="47" s="1"/>
  <c r="D28" i="1"/>
  <c r="E55" i="47" s="1"/>
  <c r="C28" i="1"/>
  <c r="E37" i="47" s="1"/>
  <c r="B28" i="1"/>
  <c r="E19" i="47" s="1"/>
  <c r="BE27" i="1"/>
  <c r="E846" i="47" s="1"/>
  <c r="BD27" i="1"/>
  <c r="E828" i="47" s="1"/>
  <c r="BC27" i="1"/>
  <c r="E810" i="47" s="1"/>
  <c r="BA27" i="1"/>
  <c r="E792" i="47" s="1"/>
  <c r="AZ27" i="1"/>
  <c r="E774" i="47" s="1"/>
  <c r="AX27" i="1"/>
  <c r="E756" i="47" s="1"/>
  <c r="AW27" i="1"/>
  <c r="E738" i="47" s="1"/>
  <c r="AU27" i="1"/>
  <c r="E720" i="47" s="1"/>
  <c r="AT27" i="1"/>
  <c r="E702" i="47" s="1"/>
  <c r="AS27" i="1"/>
  <c r="AR27" i="1"/>
  <c r="E684" i="47" s="1"/>
  <c r="AQ27" i="1"/>
  <c r="E666" i="47" s="1"/>
  <c r="AO27" i="1"/>
  <c r="E648" i="47" s="1"/>
  <c r="AN27" i="1"/>
  <c r="E630" i="47" s="1"/>
  <c r="AM27" i="1"/>
  <c r="AL27" i="1"/>
  <c r="E612" i="47" s="1"/>
  <c r="AK27" i="1"/>
  <c r="E594" i="47" s="1"/>
  <c r="AJ27" i="1"/>
  <c r="E576" i="47" s="1"/>
  <c r="AI27" i="1"/>
  <c r="E558" i="47" s="1"/>
  <c r="AG27" i="1"/>
  <c r="E540" i="47" s="1"/>
  <c r="AF27" i="1"/>
  <c r="E522" i="47" s="1"/>
  <c r="AE27" i="1"/>
  <c r="E504" i="47" s="1"/>
  <c r="AD27" i="1"/>
  <c r="E486" i="47" s="1"/>
  <c r="AC27" i="1"/>
  <c r="AB27" i="1"/>
  <c r="E468" i="47" s="1"/>
  <c r="AA27" i="1"/>
  <c r="E450" i="47" s="1"/>
  <c r="Z27" i="1"/>
  <c r="E432" i="47" s="1"/>
  <c r="X27" i="1"/>
  <c r="E414" i="47" s="1"/>
  <c r="W27" i="1"/>
  <c r="E396" i="47" s="1"/>
  <c r="V27" i="1"/>
  <c r="E378" i="47" s="1"/>
  <c r="U27" i="1"/>
  <c r="E360" i="47" s="1"/>
  <c r="T27" i="1"/>
  <c r="E342" i="47" s="1"/>
  <c r="S27" i="1"/>
  <c r="E324" i="47" s="1"/>
  <c r="R27" i="1"/>
  <c r="E306" i="47" s="1"/>
  <c r="Q27" i="1"/>
  <c r="Q31" i="1" s="1"/>
  <c r="P27" i="1"/>
  <c r="E270" i="47" s="1"/>
  <c r="O27" i="1"/>
  <c r="E252" i="47" s="1"/>
  <c r="N27" i="1"/>
  <c r="N31" i="1" s="1"/>
  <c r="M27" i="1"/>
  <c r="M31" i="1" s="1"/>
  <c r="L27" i="1"/>
  <c r="E198" i="47" s="1"/>
  <c r="K27" i="1"/>
  <c r="E180" i="47" s="1"/>
  <c r="J27" i="1"/>
  <c r="E162" i="47" s="1"/>
  <c r="I27" i="1"/>
  <c r="Y27" i="1" s="1"/>
  <c r="H27" i="1"/>
  <c r="H31" i="1" s="1"/>
  <c r="G27" i="1"/>
  <c r="E108" i="47" s="1"/>
  <c r="F27" i="1"/>
  <c r="F31" i="1" s="1"/>
  <c r="E27" i="1"/>
  <c r="E31" i="1" s="1"/>
  <c r="D27" i="1"/>
  <c r="E54" i="47" s="1"/>
  <c r="C27" i="1"/>
  <c r="C31" i="1" s="1"/>
  <c r="B27" i="1"/>
  <c r="C6" i="2" s="1"/>
  <c r="BE25" i="1"/>
  <c r="E845" i="47" s="1"/>
  <c r="BD25" i="1"/>
  <c r="E827" i="47" s="1"/>
  <c r="BC25" i="1"/>
  <c r="E809" i="47" s="1"/>
  <c r="BA25" i="1"/>
  <c r="E791" i="47" s="1"/>
  <c r="AZ25" i="1"/>
  <c r="E773" i="47" s="1"/>
  <c r="AX25" i="1"/>
  <c r="E755" i="47" s="1"/>
  <c r="AW25" i="1"/>
  <c r="E737" i="47" s="1"/>
  <c r="AU25" i="1"/>
  <c r="E719" i="47" s="1"/>
  <c r="AT25" i="1"/>
  <c r="E701" i="47" s="1"/>
  <c r="AR25" i="1"/>
  <c r="E683" i="47" s="1"/>
  <c r="AQ25" i="1"/>
  <c r="E665" i="47" s="1"/>
  <c r="AO25" i="1"/>
  <c r="E647" i="47" s="1"/>
  <c r="AN25" i="1"/>
  <c r="E629" i="47" s="1"/>
  <c r="AL25" i="1"/>
  <c r="E611" i="47" s="1"/>
  <c r="AK25" i="1"/>
  <c r="E593" i="47" s="1"/>
  <c r="AJ25" i="1"/>
  <c r="E575" i="47" s="1"/>
  <c r="AI25" i="1"/>
  <c r="E557" i="47" s="1"/>
  <c r="AG25" i="1"/>
  <c r="E539" i="47" s="1"/>
  <c r="AF25" i="1"/>
  <c r="E521" i="47" s="1"/>
  <c r="AE25" i="1"/>
  <c r="E503" i="47" s="1"/>
  <c r="AD25" i="1"/>
  <c r="E485" i="47" s="1"/>
  <c r="AB25" i="1"/>
  <c r="E467" i="47" s="1"/>
  <c r="AA25" i="1"/>
  <c r="E449" i="47" s="1"/>
  <c r="Z25" i="1"/>
  <c r="E431" i="47" s="1"/>
  <c r="X25" i="1"/>
  <c r="E413" i="47" s="1"/>
  <c r="W25" i="1"/>
  <c r="E395" i="47" s="1"/>
  <c r="V25" i="1"/>
  <c r="E377" i="47" s="1"/>
  <c r="U25" i="1"/>
  <c r="E359" i="47" s="1"/>
  <c r="T25" i="1"/>
  <c r="E341" i="47" s="1"/>
  <c r="S25" i="1"/>
  <c r="E323" i="47" s="1"/>
  <c r="R25" i="1"/>
  <c r="E305" i="47" s="1"/>
  <c r="Q25" i="1"/>
  <c r="E287" i="47" s="1"/>
  <c r="P25" i="1"/>
  <c r="E269" i="47" s="1"/>
  <c r="O25" i="1"/>
  <c r="E251" i="47" s="1"/>
  <c r="N25" i="1"/>
  <c r="E233" i="47" s="1"/>
  <c r="M25" i="1"/>
  <c r="E215" i="47" s="1"/>
  <c r="L25" i="1"/>
  <c r="E197" i="47" s="1"/>
  <c r="K25" i="1"/>
  <c r="E179" i="47" s="1"/>
  <c r="J25" i="1"/>
  <c r="E161" i="47" s="1"/>
  <c r="I25" i="1"/>
  <c r="E143" i="47" s="1"/>
  <c r="H25" i="1"/>
  <c r="E125" i="47" s="1"/>
  <c r="G25" i="1"/>
  <c r="E107" i="47" s="1"/>
  <c r="F25" i="1"/>
  <c r="E89" i="47" s="1"/>
  <c r="E25" i="1"/>
  <c r="E71" i="47" s="1"/>
  <c r="D25" i="1"/>
  <c r="Y25" i="1" s="1"/>
  <c r="C25" i="1"/>
  <c r="E35" i="47" s="1"/>
  <c r="B25" i="1"/>
  <c r="E17" i="47" s="1"/>
  <c r="BI24" i="1"/>
  <c r="BH24" i="1"/>
  <c r="BE24" i="1"/>
  <c r="E844" i="47" s="1"/>
  <c r="BD24" i="1"/>
  <c r="E826" i="47" s="1"/>
  <c r="BC24" i="1"/>
  <c r="E808" i="47" s="1"/>
  <c r="BA24" i="1"/>
  <c r="E790" i="47" s="1"/>
  <c r="AZ24" i="1"/>
  <c r="E772" i="47" s="1"/>
  <c r="AY24" i="1"/>
  <c r="AX24" i="1"/>
  <c r="E754" i="47" s="1"/>
  <c r="AW24" i="1"/>
  <c r="E736" i="47" s="1"/>
  <c r="AU24" i="1"/>
  <c r="E718" i="47" s="1"/>
  <c r="AT24" i="1"/>
  <c r="E700" i="47" s="1"/>
  <c r="AR24" i="1"/>
  <c r="E682" i="47" s="1"/>
  <c r="AQ24" i="1"/>
  <c r="E664" i="47" s="1"/>
  <c r="AO24" i="1"/>
  <c r="E646" i="47" s="1"/>
  <c r="AN24" i="1"/>
  <c r="E628" i="47" s="1"/>
  <c r="AL24" i="1"/>
  <c r="E610" i="47" s="1"/>
  <c r="AK24" i="1"/>
  <c r="E592" i="47" s="1"/>
  <c r="AJ24" i="1"/>
  <c r="E574" i="47" s="1"/>
  <c r="AI24" i="1"/>
  <c r="E556" i="47" s="1"/>
  <c r="AG24" i="1"/>
  <c r="E538" i="47" s="1"/>
  <c r="AF24" i="1"/>
  <c r="E520" i="47" s="1"/>
  <c r="AE24" i="1"/>
  <c r="E502" i="47" s="1"/>
  <c r="AD24" i="1"/>
  <c r="E484" i="47" s="1"/>
  <c r="AB24" i="1"/>
  <c r="E466" i="47" s="1"/>
  <c r="AA24" i="1"/>
  <c r="E448" i="47" s="1"/>
  <c r="Z24" i="1"/>
  <c r="E430" i="47" s="1"/>
  <c r="X24" i="1"/>
  <c r="E412" i="47" s="1"/>
  <c r="W24" i="1"/>
  <c r="E394" i="47" s="1"/>
  <c r="V24" i="1"/>
  <c r="E376" i="47" s="1"/>
  <c r="U24" i="1"/>
  <c r="E358" i="47" s="1"/>
  <c r="T24" i="1"/>
  <c r="E340" i="47" s="1"/>
  <c r="S24" i="1"/>
  <c r="E322" i="47" s="1"/>
  <c r="R24" i="1"/>
  <c r="E304" i="47" s="1"/>
  <c r="Q24" i="1"/>
  <c r="E286" i="47" s="1"/>
  <c r="P24" i="1"/>
  <c r="E268" i="47" s="1"/>
  <c r="O24" i="1"/>
  <c r="E250" i="47" s="1"/>
  <c r="N24" i="1"/>
  <c r="E232" i="47" s="1"/>
  <c r="M24" i="1"/>
  <c r="E214" i="47" s="1"/>
  <c r="L24" i="1"/>
  <c r="E196" i="47" s="1"/>
  <c r="K24" i="1"/>
  <c r="E178" i="47" s="1"/>
  <c r="J24" i="1"/>
  <c r="E160" i="47" s="1"/>
  <c r="I24" i="1"/>
  <c r="E142" i="47" s="1"/>
  <c r="H24" i="1"/>
  <c r="E124" i="47" s="1"/>
  <c r="G24" i="1"/>
  <c r="E106" i="47" s="1"/>
  <c r="F24" i="1"/>
  <c r="E88" i="47" s="1"/>
  <c r="E24" i="1"/>
  <c r="E70" i="47" s="1"/>
  <c r="D24" i="1"/>
  <c r="E52" i="47" s="1"/>
  <c r="C24" i="1"/>
  <c r="E34" i="47" s="1"/>
  <c r="B24" i="1"/>
  <c r="E16" i="47" s="1"/>
  <c r="Y23" i="1"/>
  <c r="C23" i="1"/>
  <c r="C22" i="1"/>
  <c r="Y22" i="1" s="1"/>
  <c r="BH21" i="1"/>
  <c r="BE21" i="1"/>
  <c r="E843" i="47" s="1"/>
  <c r="BD21" i="1"/>
  <c r="E825" i="47" s="1"/>
  <c r="BC21" i="1"/>
  <c r="E807" i="47" s="1"/>
  <c r="BA21" i="1"/>
  <c r="E789" i="47" s="1"/>
  <c r="AZ21" i="1"/>
  <c r="E771" i="47" s="1"/>
  <c r="AX21" i="1"/>
  <c r="E753" i="47" s="1"/>
  <c r="AW21" i="1"/>
  <c r="E735" i="47" s="1"/>
  <c r="AU21" i="1"/>
  <c r="E717" i="47" s="1"/>
  <c r="AT21" i="1"/>
  <c r="E699" i="47" s="1"/>
  <c r="AR21" i="1"/>
  <c r="E681" i="47" s="1"/>
  <c r="AQ21" i="1"/>
  <c r="E663" i="47" s="1"/>
  <c r="AO21" i="1"/>
  <c r="E645" i="47" s="1"/>
  <c r="AN21" i="1"/>
  <c r="E627" i="47" s="1"/>
  <c r="AL21" i="1"/>
  <c r="E609" i="47" s="1"/>
  <c r="AK21" i="1"/>
  <c r="E591" i="47" s="1"/>
  <c r="AJ21" i="1"/>
  <c r="E573" i="47" s="1"/>
  <c r="AI21" i="1"/>
  <c r="E555" i="47" s="1"/>
  <c r="AG21" i="1"/>
  <c r="E537" i="47" s="1"/>
  <c r="AF21" i="1"/>
  <c r="E519" i="47" s="1"/>
  <c r="AE21" i="1"/>
  <c r="E501" i="47" s="1"/>
  <c r="AD21" i="1"/>
  <c r="E483" i="47" s="1"/>
  <c r="AB21" i="1"/>
  <c r="E465" i="47" s="1"/>
  <c r="AA21" i="1"/>
  <c r="E447" i="47" s="1"/>
  <c r="Z21" i="1"/>
  <c r="E429" i="47" s="1"/>
  <c r="X21" i="1"/>
  <c r="E411" i="47" s="1"/>
  <c r="W21" i="1"/>
  <c r="E393" i="47" s="1"/>
  <c r="V21" i="1"/>
  <c r="E375" i="47" s="1"/>
  <c r="U21" i="1"/>
  <c r="E357" i="47" s="1"/>
  <c r="T21" i="1"/>
  <c r="E339" i="47" s="1"/>
  <c r="S21" i="1"/>
  <c r="E321" i="47" s="1"/>
  <c r="R21" i="1"/>
  <c r="E303" i="47" s="1"/>
  <c r="Q21" i="1"/>
  <c r="E285" i="47" s="1"/>
  <c r="P21" i="1"/>
  <c r="E267" i="47" s="1"/>
  <c r="O21" i="1"/>
  <c r="E249" i="47" s="1"/>
  <c r="N21" i="1"/>
  <c r="E231" i="47" s="1"/>
  <c r="M21" i="1"/>
  <c r="E213" i="47" s="1"/>
  <c r="L21" i="1"/>
  <c r="E195" i="47" s="1"/>
  <c r="K21" i="1"/>
  <c r="E177" i="47" s="1"/>
  <c r="J21" i="1"/>
  <c r="E159" i="47" s="1"/>
  <c r="I21" i="1"/>
  <c r="E141" i="47" s="1"/>
  <c r="H21" i="1"/>
  <c r="E123" i="47" s="1"/>
  <c r="G21" i="1"/>
  <c r="E105" i="47" s="1"/>
  <c r="F21" i="1"/>
  <c r="E87" i="47" s="1"/>
  <c r="E21" i="1"/>
  <c r="E69" i="47" s="1"/>
  <c r="D21" i="1"/>
  <c r="E51" i="47" s="1"/>
  <c r="C21" i="1"/>
  <c r="E33" i="47" s="1"/>
  <c r="B21" i="1"/>
  <c r="E15" i="47" s="1"/>
  <c r="BI20" i="1"/>
  <c r="BH20" i="1"/>
  <c r="BE20" i="1"/>
  <c r="E842" i="47" s="1"/>
  <c r="BD20" i="1"/>
  <c r="E824" i="47" s="1"/>
  <c r="BC20" i="1"/>
  <c r="E806" i="47" s="1"/>
  <c r="BB20" i="1"/>
  <c r="BA20" i="1"/>
  <c r="E788" i="47" s="1"/>
  <c r="AZ20" i="1"/>
  <c r="E770" i="47" s="1"/>
  <c r="AX20" i="1"/>
  <c r="E752" i="47" s="1"/>
  <c r="AW20" i="1"/>
  <c r="E734" i="47" s="1"/>
  <c r="AV20" i="1"/>
  <c r="AU20" i="1"/>
  <c r="E716" i="47" s="1"/>
  <c r="AT20" i="1"/>
  <c r="E698" i="47" s="1"/>
  <c r="AR20" i="1"/>
  <c r="E680" i="47" s="1"/>
  <c r="AQ20" i="1"/>
  <c r="E662" i="47" s="1"/>
  <c r="AO20" i="1"/>
  <c r="E644" i="47" s="1"/>
  <c r="AN20" i="1"/>
  <c r="E626" i="47" s="1"/>
  <c r="AL20" i="1"/>
  <c r="E608" i="47" s="1"/>
  <c r="AK20" i="1"/>
  <c r="E590" i="47" s="1"/>
  <c r="AJ20" i="1"/>
  <c r="E572" i="47" s="1"/>
  <c r="AI20" i="1"/>
  <c r="E554" i="47" s="1"/>
  <c r="AG20" i="1"/>
  <c r="E536" i="47" s="1"/>
  <c r="AF20" i="1"/>
  <c r="E518" i="47" s="1"/>
  <c r="AE20" i="1"/>
  <c r="E500" i="47" s="1"/>
  <c r="AD20" i="1"/>
  <c r="E482" i="47" s="1"/>
  <c r="AB20" i="1"/>
  <c r="E464" i="47" s="1"/>
  <c r="AA20" i="1"/>
  <c r="E446" i="47" s="1"/>
  <c r="Z20" i="1"/>
  <c r="E428" i="47" s="1"/>
  <c r="X20" i="1"/>
  <c r="E410" i="47" s="1"/>
  <c r="W20" i="1"/>
  <c r="E392" i="47" s="1"/>
  <c r="V20" i="1"/>
  <c r="E374" i="47" s="1"/>
  <c r="U20" i="1"/>
  <c r="E356" i="47" s="1"/>
  <c r="T20" i="1"/>
  <c r="E338" i="47" s="1"/>
  <c r="S20" i="1"/>
  <c r="E320" i="47" s="1"/>
  <c r="R20" i="1"/>
  <c r="E302" i="47" s="1"/>
  <c r="Q20" i="1"/>
  <c r="E284" i="47" s="1"/>
  <c r="P20" i="1"/>
  <c r="E266" i="47" s="1"/>
  <c r="O20" i="1"/>
  <c r="E248" i="47" s="1"/>
  <c r="N20" i="1"/>
  <c r="E230" i="47" s="1"/>
  <c r="M20" i="1"/>
  <c r="E212" i="47" s="1"/>
  <c r="L20" i="1"/>
  <c r="E194" i="47" s="1"/>
  <c r="K20" i="1"/>
  <c r="E176" i="47" s="1"/>
  <c r="J20" i="1"/>
  <c r="E158" i="47" s="1"/>
  <c r="I20" i="1"/>
  <c r="E140" i="47" s="1"/>
  <c r="H20" i="1"/>
  <c r="E122" i="47" s="1"/>
  <c r="G20" i="1"/>
  <c r="E104" i="47" s="1"/>
  <c r="F20" i="1"/>
  <c r="E86" i="47" s="1"/>
  <c r="E20" i="1"/>
  <c r="E68" i="47" s="1"/>
  <c r="D20" i="1"/>
  <c r="E50" i="47" s="1"/>
  <c r="C20" i="1"/>
  <c r="E32" i="47" s="1"/>
  <c r="B20" i="1"/>
  <c r="E14" i="47" s="1"/>
  <c r="C19" i="1"/>
  <c r="Y19" i="1" s="1"/>
  <c r="BE17" i="1"/>
  <c r="E841" i="47" s="1"/>
  <c r="BD17" i="1"/>
  <c r="E823" i="47" s="1"/>
  <c r="BC17" i="1"/>
  <c r="E805" i="47" s="1"/>
  <c r="BA17" i="1"/>
  <c r="E787" i="47" s="1"/>
  <c r="AZ17" i="1"/>
  <c r="E769" i="47" s="1"/>
  <c r="AX17" i="1"/>
  <c r="E751" i="47" s="1"/>
  <c r="AW17" i="1"/>
  <c r="E733" i="47" s="1"/>
  <c r="AU17" i="1"/>
  <c r="E715" i="47" s="1"/>
  <c r="AT17" i="1"/>
  <c r="E697" i="47" s="1"/>
  <c r="AR17" i="1"/>
  <c r="E679" i="47" s="1"/>
  <c r="AQ17" i="1"/>
  <c r="E661" i="47" s="1"/>
  <c r="AO17" i="1"/>
  <c r="E643" i="47" s="1"/>
  <c r="AN17" i="1"/>
  <c r="E625" i="47" s="1"/>
  <c r="AL17" i="1"/>
  <c r="E607" i="47" s="1"/>
  <c r="AK17" i="1"/>
  <c r="E589" i="47" s="1"/>
  <c r="AJ17" i="1"/>
  <c r="E571" i="47" s="1"/>
  <c r="AI17" i="1"/>
  <c r="E553" i="47" s="1"/>
  <c r="AG17" i="1"/>
  <c r="E535" i="47" s="1"/>
  <c r="AF17" i="1"/>
  <c r="E517" i="47" s="1"/>
  <c r="AE17" i="1"/>
  <c r="E499" i="47" s="1"/>
  <c r="AD17" i="1"/>
  <c r="E481" i="47" s="1"/>
  <c r="AB17" i="1"/>
  <c r="E463" i="47" s="1"/>
  <c r="AA17" i="1"/>
  <c r="E445" i="47" s="1"/>
  <c r="Z17" i="1"/>
  <c r="E427" i="47" s="1"/>
  <c r="X17" i="1"/>
  <c r="E409" i="47" s="1"/>
  <c r="W17" i="1"/>
  <c r="E391" i="47" s="1"/>
  <c r="V17" i="1"/>
  <c r="E373" i="47" s="1"/>
  <c r="U17" i="1"/>
  <c r="E355" i="47" s="1"/>
  <c r="T17" i="1"/>
  <c r="E337" i="47" s="1"/>
  <c r="S17" i="1"/>
  <c r="E319" i="47" s="1"/>
  <c r="R17" i="1"/>
  <c r="E301" i="47" s="1"/>
  <c r="Q17" i="1"/>
  <c r="E283" i="47" s="1"/>
  <c r="P17" i="1"/>
  <c r="E265" i="47" s="1"/>
  <c r="O17" i="1"/>
  <c r="E247" i="47" s="1"/>
  <c r="N17" i="1"/>
  <c r="E229" i="47" s="1"/>
  <c r="M17" i="1"/>
  <c r="E211" i="47" s="1"/>
  <c r="L17" i="1"/>
  <c r="E193" i="47" s="1"/>
  <c r="K17" i="1"/>
  <c r="E175" i="47" s="1"/>
  <c r="J17" i="1"/>
  <c r="E157" i="47" s="1"/>
  <c r="I17" i="1"/>
  <c r="E139" i="47" s="1"/>
  <c r="H17" i="1"/>
  <c r="E121" i="47" s="1"/>
  <c r="G17" i="1"/>
  <c r="E103" i="47" s="1"/>
  <c r="F17" i="1"/>
  <c r="E85" i="47" s="1"/>
  <c r="E17" i="1"/>
  <c r="E67" i="47" s="1"/>
  <c r="D17" i="1"/>
  <c r="E49" i="47" s="1"/>
  <c r="C17" i="1"/>
  <c r="E31" i="47" s="1"/>
  <c r="B17" i="1"/>
  <c r="E13" i="47" s="1"/>
  <c r="BE16" i="1"/>
  <c r="E840" i="47" s="1"/>
  <c r="BD16" i="1"/>
  <c r="E822" i="47" s="1"/>
  <c r="BC16" i="1"/>
  <c r="E804" i="47" s="1"/>
  <c r="BA16" i="1"/>
  <c r="E786" i="47" s="1"/>
  <c r="AZ16" i="1"/>
  <c r="E768" i="47" s="1"/>
  <c r="AX16" i="1"/>
  <c r="E750" i="47" s="1"/>
  <c r="AW16" i="1"/>
  <c r="E732" i="47" s="1"/>
  <c r="AU16" i="1"/>
  <c r="E714" i="47" s="1"/>
  <c r="AT16" i="1"/>
  <c r="E696" i="47" s="1"/>
  <c r="AR16" i="1"/>
  <c r="E678" i="47" s="1"/>
  <c r="AQ16" i="1"/>
  <c r="E660" i="47" s="1"/>
  <c r="AO16" i="1"/>
  <c r="E642" i="47" s="1"/>
  <c r="AN16" i="1"/>
  <c r="E624" i="47" s="1"/>
  <c r="AL16" i="1"/>
  <c r="E606" i="47" s="1"/>
  <c r="AK16" i="1"/>
  <c r="E588" i="47" s="1"/>
  <c r="AJ16" i="1"/>
  <c r="E570" i="47" s="1"/>
  <c r="AI16" i="1"/>
  <c r="E552" i="47" s="1"/>
  <c r="AG16" i="1"/>
  <c r="E534" i="47" s="1"/>
  <c r="AF16" i="1"/>
  <c r="E516" i="47" s="1"/>
  <c r="AE16" i="1"/>
  <c r="E498" i="47" s="1"/>
  <c r="AD16" i="1"/>
  <c r="E480" i="47" s="1"/>
  <c r="AB16" i="1"/>
  <c r="E462" i="47" s="1"/>
  <c r="AA16" i="1"/>
  <c r="E444" i="47" s="1"/>
  <c r="Z16" i="1"/>
  <c r="E426" i="47" s="1"/>
  <c r="X16" i="1"/>
  <c r="E408" i="47" s="1"/>
  <c r="W16" i="1"/>
  <c r="E390" i="47" s="1"/>
  <c r="V16" i="1"/>
  <c r="E372" i="47" s="1"/>
  <c r="U16" i="1"/>
  <c r="E354" i="47" s="1"/>
  <c r="T16" i="1"/>
  <c r="E336" i="47" s="1"/>
  <c r="S16" i="1"/>
  <c r="E318" i="47" s="1"/>
  <c r="R16" i="1"/>
  <c r="E300" i="47" s="1"/>
  <c r="Q16" i="1"/>
  <c r="E282" i="47" s="1"/>
  <c r="P16" i="1"/>
  <c r="E264" i="47" s="1"/>
  <c r="O16" i="1"/>
  <c r="E246" i="47" s="1"/>
  <c r="N16" i="1"/>
  <c r="E228" i="47" s="1"/>
  <c r="M16" i="1"/>
  <c r="E210" i="47" s="1"/>
  <c r="L16" i="1"/>
  <c r="E192" i="47" s="1"/>
  <c r="K16" i="1"/>
  <c r="E174" i="47" s="1"/>
  <c r="J16" i="1"/>
  <c r="E156" i="47" s="1"/>
  <c r="I16" i="1"/>
  <c r="E138" i="47" s="1"/>
  <c r="H16" i="1"/>
  <c r="E120" i="47" s="1"/>
  <c r="G16" i="1"/>
  <c r="E102" i="47" s="1"/>
  <c r="F16" i="1"/>
  <c r="E84" i="47" s="1"/>
  <c r="E16" i="1"/>
  <c r="E66" i="47" s="1"/>
  <c r="D16" i="1"/>
  <c r="E48" i="47" s="1"/>
  <c r="C16" i="1"/>
  <c r="E30" i="47" s="1"/>
  <c r="B16" i="1"/>
  <c r="E12" i="47" s="1"/>
  <c r="BE15" i="1"/>
  <c r="E839" i="47" s="1"/>
  <c r="BD15" i="1"/>
  <c r="E821" i="47" s="1"/>
  <c r="BC15" i="1"/>
  <c r="E803" i="47" s="1"/>
  <c r="BA15" i="1"/>
  <c r="E785" i="47" s="1"/>
  <c r="AZ15" i="1"/>
  <c r="E767" i="47" s="1"/>
  <c r="AX15" i="1"/>
  <c r="E749" i="47" s="1"/>
  <c r="AW15" i="1"/>
  <c r="E731" i="47" s="1"/>
  <c r="AU15" i="1"/>
  <c r="E713" i="47" s="1"/>
  <c r="AT15" i="1"/>
  <c r="E695" i="47" s="1"/>
  <c r="AR15" i="1"/>
  <c r="E677" i="47" s="1"/>
  <c r="AQ15" i="1"/>
  <c r="E659" i="47" s="1"/>
  <c r="AO15" i="1"/>
  <c r="E641" i="47" s="1"/>
  <c r="AN15" i="1"/>
  <c r="E623" i="47" s="1"/>
  <c r="AL15" i="1"/>
  <c r="E605" i="47" s="1"/>
  <c r="AK15" i="1"/>
  <c r="E587" i="47" s="1"/>
  <c r="AJ15" i="1"/>
  <c r="E569" i="47" s="1"/>
  <c r="AI15" i="1"/>
  <c r="E551" i="47" s="1"/>
  <c r="AG15" i="1"/>
  <c r="E533" i="47" s="1"/>
  <c r="AF15" i="1"/>
  <c r="E515" i="47" s="1"/>
  <c r="AE15" i="1"/>
  <c r="E497" i="47" s="1"/>
  <c r="AD15" i="1"/>
  <c r="E479" i="47" s="1"/>
  <c r="AB15" i="1"/>
  <c r="E461" i="47" s="1"/>
  <c r="AA15" i="1"/>
  <c r="E443" i="47" s="1"/>
  <c r="Z15" i="1"/>
  <c r="E425" i="47" s="1"/>
  <c r="X15" i="1"/>
  <c r="E407" i="47" s="1"/>
  <c r="W15" i="1"/>
  <c r="E389" i="47" s="1"/>
  <c r="V15" i="1"/>
  <c r="E371" i="47" s="1"/>
  <c r="U15" i="1"/>
  <c r="E353" i="47" s="1"/>
  <c r="T15" i="1"/>
  <c r="E335" i="47" s="1"/>
  <c r="S15" i="1"/>
  <c r="E317" i="47" s="1"/>
  <c r="R15" i="1"/>
  <c r="E299" i="47" s="1"/>
  <c r="Q15" i="1"/>
  <c r="E281" i="47" s="1"/>
  <c r="P15" i="1"/>
  <c r="E263" i="47" s="1"/>
  <c r="O15" i="1"/>
  <c r="E245" i="47" s="1"/>
  <c r="N15" i="1"/>
  <c r="E227" i="47" s="1"/>
  <c r="M15" i="1"/>
  <c r="E209" i="47" s="1"/>
  <c r="L15" i="1"/>
  <c r="E191" i="47" s="1"/>
  <c r="K15" i="1"/>
  <c r="E173" i="47" s="1"/>
  <c r="J15" i="1"/>
  <c r="E155" i="47" s="1"/>
  <c r="I15" i="1"/>
  <c r="E137" i="47" s="1"/>
  <c r="H15" i="1"/>
  <c r="E119" i="47" s="1"/>
  <c r="G15" i="1"/>
  <c r="E101" i="47" s="1"/>
  <c r="F15" i="1"/>
  <c r="E83" i="47" s="1"/>
  <c r="E15" i="1"/>
  <c r="E65" i="47" s="1"/>
  <c r="D15" i="1"/>
  <c r="E47" i="47" s="1"/>
  <c r="C15" i="1"/>
  <c r="E29" i="47" s="1"/>
  <c r="B15" i="1"/>
  <c r="E11" i="47" s="1"/>
  <c r="BE14" i="1"/>
  <c r="E838" i="47" s="1"/>
  <c r="BD14" i="1"/>
  <c r="E820" i="47" s="1"/>
  <c r="BC14" i="1"/>
  <c r="E802" i="47" s="1"/>
  <c r="BA14" i="1"/>
  <c r="E784" i="47" s="1"/>
  <c r="AZ14" i="1"/>
  <c r="E766" i="47" s="1"/>
  <c r="AX14" i="1"/>
  <c r="E748" i="47" s="1"/>
  <c r="AW14" i="1"/>
  <c r="E730" i="47" s="1"/>
  <c r="AU14" i="1"/>
  <c r="E712" i="47" s="1"/>
  <c r="AT14" i="1"/>
  <c r="E694" i="47" s="1"/>
  <c r="AR14" i="1"/>
  <c r="E676" i="47" s="1"/>
  <c r="AQ14" i="1"/>
  <c r="E658" i="47" s="1"/>
  <c r="AO14" i="1"/>
  <c r="E640" i="47" s="1"/>
  <c r="AN14" i="1"/>
  <c r="E622" i="47" s="1"/>
  <c r="AL14" i="1"/>
  <c r="E604" i="47" s="1"/>
  <c r="AK14" i="1"/>
  <c r="E586" i="47" s="1"/>
  <c r="AJ14" i="1"/>
  <c r="E568" i="47" s="1"/>
  <c r="AI14" i="1"/>
  <c r="E550" i="47" s="1"/>
  <c r="AG14" i="1"/>
  <c r="E532" i="47" s="1"/>
  <c r="AF14" i="1"/>
  <c r="E514" i="47" s="1"/>
  <c r="AE14" i="1"/>
  <c r="E496" i="47" s="1"/>
  <c r="AD14" i="1"/>
  <c r="E478" i="47" s="1"/>
  <c r="AB14" i="1"/>
  <c r="E460" i="47" s="1"/>
  <c r="AA14" i="1"/>
  <c r="E442" i="47" s="1"/>
  <c r="Z14" i="1"/>
  <c r="E424" i="47" s="1"/>
  <c r="X14" i="1"/>
  <c r="E406" i="47" s="1"/>
  <c r="W14" i="1"/>
  <c r="E388" i="47" s="1"/>
  <c r="V14" i="1"/>
  <c r="E370" i="47" s="1"/>
  <c r="U14" i="1"/>
  <c r="E352" i="47" s="1"/>
  <c r="T14" i="1"/>
  <c r="E334" i="47" s="1"/>
  <c r="S14" i="1"/>
  <c r="E316" i="47" s="1"/>
  <c r="R14" i="1"/>
  <c r="E298" i="47" s="1"/>
  <c r="Q14" i="1"/>
  <c r="E280" i="47" s="1"/>
  <c r="P14" i="1"/>
  <c r="E262" i="47" s="1"/>
  <c r="O14" i="1"/>
  <c r="E244" i="47" s="1"/>
  <c r="N14" i="1"/>
  <c r="E226" i="47" s="1"/>
  <c r="M14" i="1"/>
  <c r="E208" i="47" s="1"/>
  <c r="L14" i="1"/>
  <c r="E190" i="47" s="1"/>
  <c r="K14" i="1"/>
  <c r="E172" i="47" s="1"/>
  <c r="J14" i="1"/>
  <c r="E154" i="47" s="1"/>
  <c r="I14" i="1"/>
  <c r="E136" i="47" s="1"/>
  <c r="H14" i="1"/>
  <c r="E118" i="47" s="1"/>
  <c r="G14" i="1"/>
  <c r="E100" i="47" s="1"/>
  <c r="F14" i="1"/>
  <c r="E82" i="47" s="1"/>
  <c r="E14" i="1"/>
  <c r="E64" i="47" s="1"/>
  <c r="D14" i="1"/>
  <c r="E46" i="47" s="1"/>
  <c r="C14" i="1"/>
  <c r="E28" i="47" s="1"/>
  <c r="B14" i="1"/>
  <c r="Y14" i="1" s="1"/>
  <c r="BH13" i="1"/>
  <c r="BE13" i="1"/>
  <c r="E837" i="47" s="1"/>
  <c r="BD13" i="1"/>
  <c r="E819" i="47" s="1"/>
  <c r="BC13" i="1"/>
  <c r="E801" i="47" s="1"/>
  <c r="BA13" i="1"/>
  <c r="E783" i="47" s="1"/>
  <c r="AZ13" i="1"/>
  <c r="E765" i="47" s="1"/>
  <c r="AX13" i="1"/>
  <c r="E747" i="47" s="1"/>
  <c r="AW13" i="1"/>
  <c r="E729" i="47" s="1"/>
  <c r="AU13" i="1"/>
  <c r="E711" i="47" s="1"/>
  <c r="AT13" i="1"/>
  <c r="E693" i="47" s="1"/>
  <c r="AR13" i="1"/>
  <c r="E675" i="47" s="1"/>
  <c r="AQ13" i="1"/>
  <c r="E657" i="47" s="1"/>
  <c r="AO13" i="1"/>
  <c r="E639" i="47" s="1"/>
  <c r="AN13" i="1"/>
  <c r="E621" i="47" s="1"/>
  <c r="AL13" i="1"/>
  <c r="E603" i="47" s="1"/>
  <c r="AK13" i="1"/>
  <c r="E585" i="47" s="1"/>
  <c r="AJ13" i="1"/>
  <c r="E567" i="47" s="1"/>
  <c r="AI13" i="1"/>
  <c r="E549" i="47" s="1"/>
  <c r="AG13" i="1"/>
  <c r="E531" i="47" s="1"/>
  <c r="AF13" i="1"/>
  <c r="E513" i="47" s="1"/>
  <c r="AE13" i="1"/>
  <c r="E495" i="47" s="1"/>
  <c r="AD13" i="1"/>
  <c r="E477" i="47" s="1"/>
  <c r="AB13" i="1"/>
  <c r="E459" i="47" s="1"/>
  <c r="AA13" i="1"/>
  <c r="E441" i="47" s="1"/>
  <c r="Z13" i="1"/>
  <c r="E423" i="47" s="1"/>
  <c r="X13" i="1"/>
  <c r="E405" i="47" s="1"/>
  <c r="W13" i="1"/>
  <c r="E387" i="47" s="1"/>
  <c r="V13" i="1"/>
  <c r="E369" i="47" s="1"/>
  <c r="U13" i="1"/>
  <c r="E351" i="47" s="1"/>
  <c r="T13" i="1"/>
  <c r="E333" i="47" s="1"/>
  <c r="S13" i="1"/>
  <c r="E315" i="47" s="1"/>
  <c r="R13" i="1"/>
  <c r="E297" i="47" s="1"/>
  <c r="Q13" i="1"/>
  <c r="E279" i="47" s="1"/>
  <c r="P13" i="1"/>
  <c r="E261" i="47" s="1"/>
  <c r="O13" i="1"/>
  <c r="E243" i="47" s="1"/>
  <c r="N13" i="1"/>
  <c r="E225" i="47" s="1"/>
  <c r="M13" i="1"/>
  <c r="E207" i="47" s="1"/>
  <c r="L13" i="1"/>
  <c r="E189" i="47" s="1"/>
  <c r="K13" i="1"/>
  <c r="E171" i="47" s="1"/>
  <c r="J13" i="1"/>
  <c r="E153" i="47" s="1"/>
  <c r="I13" i="1"/>
  <c r="E135" i="47" s="1"/>
  <c r="H13" i="1"/>
  <c r="E117" i="47" s="1"/>
  <c r="G13" i="1"/>
  <c r="E99" i="47" s="1"/>
  <c r="F13" i="1"/>
  <c r="E81" i="47" s="1"/>
  <c r="E13" i="1"/>
  <c r="E63" i="47" s="1"/>
  <c r="D13" i="1"/>
  <c r="E45" i="47" s="1"/>
  <c r="C13" i="1"/>
  <c r="E27" i="47" s="1"/>
  <c r="B13" i="1"/>
  <c r="E9" i="47" s="1"/>
  <c r="BE12" i="1"/>
  <c r="E836" i="47" s="1"/>
  <c r="BD12" i="1"/>
  <c r="E818" i="47" s="1"/>
  <c r="BC12" i="1"/>
  <c r="E800" i="47" s="1"/>
  <c r="BA12" i="1"/>
  <c r="E782" i="47" s="1"/>
  <c r="AZ12" i="1"/>
  <c r="E764" i="47" s="1"/>
  <c r="AX12" i="1"/>
  <c r="E746" i="47" s="1"/>
  <c r="AW12" i="1"/>
  <c r="E728" i="47" s="1"/>
  <c r="AU12" i="1"/>
  <c r="E710" i="47" s="1"/>
  <c r="AT12" i="1"/>
  <c r="E692" i="47" s="1"/>
  <c r="AR12" i="1"/>
  <c r="E674" i="47" s="1"/>
  <c r="AQ12" i="1"/>
  <c r="E656" i="47" s="1"/>
  <c r="AO12" i="1"/>
  <c r="E638" i="47" s="1"/>
  <c r="AN12" i="1"/>
  <c r="E620" i="47" s="1"/>
  <c r="AL12" i="1"/>
  <c r="E602" i="47" s="1"/>
  <c r="AK12" i="1"/>
  <c r="E584" i="47" s="1"/>
  <c r="AJ12" i="1"/>
  <c r="E566" i="47" s="1"/>
  <c r="AI12" i="1"/>
  <c r="E548" i="47" s="1"/>
  <c r="AG12" i="1"/>
  <c r="E530" i="47" s="1"/>
  <c r="AF12" i="1"/>
  <c r="E512" i="47" s="1"/>
  <c r="AE12" i="1"/>
  <c r="E494" i="47" s="1"/>
  <c r="AD12" i="1"/>
  <c r="E476" i="47" s="1"/>
  <c r="AB12" i="1"/>
  <c r="E458" i="47" s="1"/>
  <c r="AA12" i="1"/>
  <c r="E440" i="47" s="1"/>
  <c r="Z12" i="1"/>
  <c r="E422" i="47" s="1"/>
  <c r="X12" i="1"/>
  <c r="E404" i="47" s="1"/>
  <c r="W12" i="1"/>
  <c r="E386" i="47" s="1"/>
  <c r="V12" i="1"/>
  <c r="E368" i="47" s="1"/>
  <c r="U12" i="1"/>
  <c r="E350" i="47" s="1"/>
  <c r="T12" i="1"/>
  <c r="E332" i="47" s="1"/>
  <c r="S12" i="1"/>
  <c r="E314" i="47" s="1"/>
  <c r="R12" i="1"/>
  <c r="E296" i="47" s="1"/>
  <c r="Q12" i="1"/>
  <c r="E278" i="47" s="1"/>
  <c r="P12" i="1"/>
  <c r="E260" i="47" s="1"/>
  <c r="O12" i="1"/>
  <c r="E242" i="47" s="1"/>
  <c r="N12" i="1"/>
  <c r="E224" i="47" s="1"/>
  <c r="M12" i="1"/>
  <c r="E206" i="47" s="1"/>
  <c r="L12" i="1"/>
  <c r="E188" i="47" s="1"/>
  <c r="K12" i="1"/>
  <c r="E170" i="47" s="1"/>
  <c r="J12" i="1"/>
  <c r="E152" i="47" s="1"/>
  <c r="I12" i="1"/>
  <c r="E134" i="47" s="1"/>
  <c r="H12" i="1"/>
  <c r="E116" i="47" s="1"/>
  <c r="G12" i="1"/>
  <c r="E98" i="47" s="1"/>
  <c r="F12" i="1"/>
  <c r="E80" i="47" s="1"/>
  <c r="E12" i="1"/>
  <c r="E62" i="47" s="1"/>
  <c r="D12" i="1"/>
  <c r="E44" i="47" s="1"/>
  <c r="C12" i="1"/>
  <c r="E26" i="47" s="1"/>
  <c r="B12" i="1"/>
  <c r="E8" i="47" s="1"/>
  <c r="BE11" i="1"/>
  <c r="E835" i="47" s="1"/>
  <c r="BD11" i="1"/>
  <c r="E817" i="47" s="1"/>
  <c r="BC11" i="1"/>
  <c r="E799" i="47" s="1"/>
  <c r="BB11" i="1"/>
  <c r="BA11" i="1"/>
  <c r="E781" i="47" s="1"/>
  <c r="AZ11" i="1"/>
  <c r="E763" i="47" s="1"/>
  <c r="AX11" i="1"/>
  <c r="E745" i="47" s="1"/>
  <c r="AW11" i="1"/>
  <c r="E727" i="47" s="1"/>
  <c r="AU11" i="1"/>
  <c r="E709" i="47" s="1"/>
  <c r="AT11" i="1"/>
  <c r="E691" i="47" s="1"/>
  <c r="AR11" i="1"/>
  <c r="E673" i="47" s="1"/>
  <c r="AQ11" i="1"/>
  <c r="E655" i="47" s="1"/>
  <c r="AO11" i="1"/>
  <c r="E637" i="47" s="1"/>
  <c r="AN11" i="1"/>
  <c r="E619" i="47" s="1"/>
  <c r="AL11" i="1"/>
  <c r="E601" i="47" s="1"/>
  <c r="AK11" i="1"/>
  <c r="E583" i="47" s="1"/>
  <c r="AJ11" i="1"/>
  <c r="E565" i="47" s="1"/>
  <c r="AI11" i="1"/>
  <c r="E547" i="47" s="1"/>
  <c r="AG11" i="1"/>
  <c r="E529" i="47" s="1"/>
  <c r="AF11" i="1"/>
  <c r="E511" i="47" s="1"/>
  <c r="AE11" i="1"/>
  <c r="E493" i="47" s="1"/>
  <c r="AD11" i="1"/>
  <c r="E475" i="47" s="1"/>
  <c r="AB11" i="1"/>
  <c r="E457" i="47" s="1"/>
  <c r="AA11" i="1"/>
  <c r="E439" i="47" s="1"/>
  <c r="Z11" i="1"/>
  <c r="E421" i="47" s="1"/>
  <c r="X11" i="1"/>
  <c r="E403" i="47" s="1"/>
  <c r="W11" i="1"/>
  <c r="E385" i="47" s="1"/>
  <c r="V11" i="1"/>
  <c r="E367" i="47" s="1"/>
  <c r="U11" i="1"/>
  <c r="E349" i="47" s="1"/>
  <c r="T11" i="1"/>
  <c r="E331" i="47" s="1"/>
  <c r="S11" i="1"/>
  <c r="E313" i="47" s="1"/>
  <c r="R11" i="1"/>
  <c r="E295" i="47" s="1"/>
  <c r="Q11" i="1"/>
  <c r="E277" i="47" s="1"/>
  <c r="P11" i="1"/>
  <c r="E259" i="47" s="1"/>
  <c r="O11" i="1"/>
  <c r="E241" i="47" s="1"/>
  <c r="N11" i="1"/>
  <c r="E223" i="47" s="1"/>
  <c r="M11" i="1"/>
  <c r="E205" i="47" s="1"/>
  <c r="L11" i="1"/>
  <c r="E187" i="47" s="1"/>
  <c r="K11" i="1"/>
  <c r="E169" i="47" s="1"/>
  <c r="J11" i="1"/>
  <c r="E151" i="47" s="1"/>
  <c r="I11" i="1"/>
  <c r="E133" i="47" s="1"/>
  <c r="H11" i="1"/>
  <c r="E115" i="47" s="1"/>
  <c r="G11" i="1"/>
  <c r="E97" i="47" s="1"/>
  <c r="F11" i="1"/>
  <c r="E79" i="47" s="1"/>
  <c r="E11" i="1"/>
  <c r="E61" i="47" s="1"/>
  <c r="D11" i="1"/>
  <c r="Y11" i="1" s="1"/>
  <c r="C11" i="1"/>
  <c r="E25" i="47" s="1"/>
  <c r="B11" i="1"/>
  <c r="E7" i="47" s="1"/>
  <c r="BI10" i="1"/>
  <c r="BH10" i="1"/>
  <c r="BE10" i="1"/>
  <c r="E834" i="47" s="1"/>
  <c r="BD10" i="1"/>
  <c r="E816" i="47" s="1"/>
  <c r="BC10" i="1"/>
  <c r="E798" i="47" s="1"/>
  <c r="BB10" i="1"/>
  <c r="BA10" i="1"/>
  <c r="E780" i="47" s="1"/>
  <c r="AZ10" i="1"/>
  <c r="E762" i="47" s="1"/>
  <c r="AY10" i="1"/>
  <c r="AX10" i="1"/>
  <c r="E744" i="47" s="1"/>
  <c r="AW10" i="1"/>
  <c r="E726" i="47" s="1"/>
  <c r="AU10" i="1"/>
  <c r="E708" i="47" s="1"/>
  <c r="AT10" i="1"/>
  <c r="E690" i="47" s="1"/>
  <c r="AS10" i="1"/>
  <c r="AR10" i="1"/>
  <c r="E672" i="47" s="1"/>
  <c r="AP10" i="1"/>
  <c r="AO10" i="1"/>
  <c r="E636" i="47" s="1"/>
  <c r="AN10" i="1"/>
  <c r="E618" i="47" s="1"/>
  <c r="AL10" i="1"/>
  <c r="E600" i="47" s="1"/>
  <c r="AK10" i="1"/>
  <c r="E582" i="47" s="1"/>
  <c r="AJ10" i="1"/>
  <c r="E564" i="47" s="1"/>
  <c r="AI10" i="1"/>
  <c r="E546" i="47" s="1"/>
  <c r="AH10" i="1"/>
  <c r="AG10" i="1"/>
  <c r="E528" i="47" s="1"/>
  <c r="AF10" i="1"/>
  <c r="E510" i="47" s="1"/>
  <c r="AE10" i="1"/>
  <c r="E492" i="47" s="1"/>
  <c r="AD10" i="1"/>
  <c r="E474" i="47" s="1"/>
  <c r="AC10" i="1"/>
  <c r="AB10" i="1"/>
  <c r="E456" i="47" s="1"/>
  <c r="AA10" i="1"/>
  <c r="E438" i="47" s="1"/>
  <c r="X10" i="1"/>
  <c r="E402" i="47" s="1"/>
  <c r="W10" i="1"/>
  <c r="E384" i="47" s="1"/>
  <c r="V10" i="1"/>
  <c r="E366" i="47" s="1"/>
  <c r="U10" i="1"/>
  <c r="E348" i="47" s="1"/>
  <c r="T10" i="1"/>
  <c r="E330" i="47" s="1"/>
  <c r="S10" i="1"/>
  <c r="E312" i="47" s="1"/>
  <c r="Q10" i="1"/>
  <c r="E276" i="47" s="1"/>
  <c r="P10" i="1"/>
  <c r="E258" i="47" s="1"/>
  <c r="O10" i="1"/>
  <c r="E240" i="47" s="1"/>
  <c r="N10" i="1"/>
  <c r="E222" i="47" s="1"/>
  <c r="M10" i="1"/>
  <c r="E204" i="47" s="1"/>
  <c r="L10" i="1"/>
  <c r="E186" i="47" s="1"/>
  <c r="K10" i="1"/>
  <c r="E168" i="47" s="1"/>
  <c r="J10" i="1"/>
  <c r="E150" i="47" s="1"/>
  <c r="I10" i="1"/>
  <c r="E132" i="47" s="1"/>
  <c r="H10" i="1"/>
  <c r="Y10" i="1" s="1"/>
  <c r="G10" i="1"/>
  <c r="E96" i="47" s="1"/>
  <c r="F10" i="1"/>
  <c r="E78" i="47" s="1"/>
  <c r="E10" i="1"/>
  <c r="E60" i="47" s="1"/>
  <c r="D10" i="1"/>
  <c r="E42" i="47" s="1"/>
  <c r="C10" i="1"/>
  <c r="E24" i="47" s="1"/>
  <c r="B10" i="1"/>
  <c r="E6" i="47" s="1"/>
  <c r="BI9" i="1"/>
  <c r="BH9" i="1"/>
  <c r="BE9" i="1"/>
  <c r="E833" i="47" s="1"/>
  <c r="BD9" i="1"/>
  <c r="E815" i="47" s="1"/>
  <c r="BC9" i="1"/>
  <c r="E797" i="47" s="1"/>
  <c r="BA9" i="1"/>
  <c r="E779" i="47" s="1"/>
  <c r="AZ9" i="1"/>
  <c r="E761" i="47" s="1"/>
  <c r="AY9" i="1"/>
  <c r="AX9" i="1"/>
  <c r="E743" i="47" s="1"/>
  <c r="AW9" i="1"/>
  <c r="E725" i="47" s="1"/>
  <c r="AU9" i="1"/>
  <c r="E707" i="47" s="1"/>
  <c r="AT9" i="1"/>
  <c r="E689" i="47" s="1"/>
  <c r="AS9" i="1"/>
  <c r="AR9" i="1"/>
  <c r="E671" i="47" s="1"/>
  <c r="AQ9" i="1"/>
  <c r="E653" i="47" s="1"/>
  <c r="AO9" i="1"/>
  <c r="E635" i="47" s="1"/>
  <c r="AN9" i="1"/>
  <c r="E617" i="47" s="1"/>
  <c r="AL9" i="1"/>
  <c r="E599" i="47" s="1"/>
  <c r="AK9" i="1"/>
  <c r="E581" i="47" s="1"/>
  <c r="AJ9" i="1"/>
  <c r="E563" i="47" s="1"/>
  <c r="AI9" i="1"/>
  <c r="E545" i="47" s="1"/>
  <c r="AG9" i="1"/>
  <c r="E527" i="47" s="1"/>
  <c r="AF9" i="1"/>
  <c r="E509" i="47" s="1"/>
  <c r="AE9" i="1"/>
  <c r="E491" i="47" s="1"/>
  <c r="AD9" i="1"/>
  <c r="E473" i="47" s="1"/>
  <c r="AC9" i="1"/>
  <c r="AB9" i="1"/>
  <c r="E455" i="47" s="1"/>
  <c r="AA9" i="1"/>
  <c r="E437" i="47" s="1"/>
  <c r="Z9" i="1"/>
  <c r="E419" i="47" s="1"/>
  <c r="X9" i="1"/>
  <c r="E401" i="47" s="1"/>
  <c r="W9" i="1"/>
  <c r="E383" i="47" s="1"/>
  <c r="V9" i="1"/>
  <c r="E365" i="47" s="1"/>
  <c r="U9" i="1"/>
  <c r="E347" i="47" s="1"/>
  <c r="T9" i="1"/>
  <c r="E329" i="47" s="1"/>
  <c r="S9" i="1"/>
  <c r="E311" i="47" s="1"/>
  <c r="R9" i="1"/>
  <c r="E293" i="47" s="1"/>
  <c r="Q9" i="1"/>
  <c r="E275" i="47" s="1"/>
  <c r="P9" i="1"/>
  <c r="E257" i="47" s="1"/>
  <c r="O9" i="1"/>
  <c r="E239" i="47" s="1"/>
  <c r="N9" i="1"/>
  <c r="E221" i="47" s="1"/>
  <c r="M9" i="1"/>
  <c r="E203" i="47" s="1"/>
  <c r="L9" i="1"/>
  <c r="E185" i="47" s="1"/>
  <c r="K9" i="1"/>
  <c r="E167" i="47" s="1"/>
  <c r="J9" i="1"/>
  <c r="E149" i="47" s="1"/>
  <c r="I9" i="1"/>
  <c r="E131" i="47" s="1"/>
  <c r="H9" i="1"/>
  <c r="E113" i="47" s="1"/>
  <c r="G9" i="1"/>
  <c r="E95" i="47" s="1"/>
  <c r="F9" i="1"/>
  <c r="E77" i="47" s="1"/>
  <c r="E9" i="1"/>
  <c r="E59" i="47" s="1"/>
  <c r="D9" i="1"/>
  <c r="E41" i="47" s="1"/>
  <c r="C9" i="1"/>
  <c r="E23" i="47" s="1"/>
  <c r="B9" i="1"/>
  <c r="Y9" i="1" s="1"/>
  <c r="BI8" i="1"/>
  <c r="BI26" i="1" s="1"/>
  <c r="BH8" i="1"/>
  <c r="BH26" i="1" s="1"/>
  <c r="BF8" i="1"/>
  <c r="BE8" i="1"/>
  <c r="E832" i="47" s="1"/>
  <c r="BD8" i="1"/>
  <c r="E814" i="47" s="1"/>
  <c r="BC8" i="1"/>
  <c r="E796" i="47" s="1"/>
  <c r="BA8" i="1"/>
  <c r="E778" i="47" s="1"/>
  <c r="AZ8" i="1"/>
  <c r="E760" i="47" s="1"/>
  <c r="AX8" i="1"/>
  <c r="E742" i="47" s="1"/>
  <c r="AW8" i="1"/>
  <c r="E724" i="47" s="1"/>
  <c r="AV8" i="1"/>
  <c r="AU8" i="1"/>
  <c r="E706" i="47" s="1"/>
  <c r="AT8" i="1"/>
  <c r="E688" i="47" s="1"/>
  <c r="AR8" i="1"/>
  <c r="E670" i="47" s="1"/>
  <c r="AQ8" i="1"/>
  <c r="E652" i="47" s="1"/>
  <c r="AP8" i="1"/>
  <c r="AO8" i="1"/>
  <c r="E634" i="47" s="1"/>
  <c r="AN8" i="1"/>
  <c r="E616" i="47" s="1"/>
  <c r="AL8" i="1"/>
  <c r="E598" i="47" s="1"/>
  <c r="AK8" i="1"/>
  <c r="E580" i="47" s="1"/>
  <c r="AJ8" i="1"/>
  <c r="E562" i="47" s="1"/>
  <c r="AI8" i="1"/>
  <c r="E544" i="47" s="1"/>
  <c r="AH8" i="1"/>
  <c r="AG8" i="1"/>
  <c r="E526" i="47" s="1"/>
  <c r="AF8" i="1"/>
  <c r="E508" i="47" s="1"/>
  <c r="AE8" i="1"/>
  <c r="E490" i="47" s="1"/>
  <c r="AD8" i="1"/>
  <c r="E472" i="47" s="1"/>
  <c r="AB8" i="1"/>
  <c r="E454" i="47" s="1"/>
  <c r="AA8" i="1"/>
  <c r="E436" i="47" s="1"/>
  <c r="Z8" i="1"/>
  <c r="E418" i="47" s="1"/>
  <c r="X8" i="1"/>
  <c r="E400" i="47" s="1"/>
  <c r="W8" i="1"/>
  <c r="E382" i="47" s="1"/>
  <c r="V8" i="1"/>
  <c r="E364" i="47" s="1"/>
  <c r="U8" i="1"/>
  <c r="E346" i="47" s="1"/>
  <c r="T8" i="1"/>
  <c r="E328" i="47" s="1"/>
  <c r="S8" i="1"/>
  <c r="E310" i="47" s="1"/>
  <c r="R8" i="1"/>
  <c r="E292" i="47" s="1"/>
  <c r="Q8" i="1"/>
  <c r="E274" i="47" s="1"/>
  <c r="P8" i="1"/>
  <c r="P26" i="1" s="1"/>
  <c r="O8" i="1"/>
  <c r="E238" i="47" s="1"/>
  <c r="N8" i="1"/>
  <c r="E220" i="47" s="1"/>
  <c r="M8" i="1"/>
  <c r="E202" i="47" s="1"/>
  <c r="L8" i="1"/>
  <c r="E184" i="47" s="1"/>
  <c r="K8" i="1"/>
  <c r="E166" i="47" s="1"/>
  <c r="J8" i="1"/>
  <c r="J26" i="1" s="1"/>
  <c r="I8" i="1"/>
  <c r="I26" i="1" s="1"/>
  <c r="H8" i="1"/>
  <c r="H26" i="1" s="1"/>
  <c r="H32" i="1" s="1"/>
  <c r="G8" i="1"/>
  <c r="E94" i="47" s="1"/>
  <c r="F8" i="1"/>
  <c r="E76" i="47" s="1"/>
  <c r="E8" i="1"/>
  <c r="E58" i="47" s="1"/>
  <c r="D8" i="1"/>
  <c r="E40" i="47" s="1"/>
  <c r="C8" i="1"/>
  <c r="C26" i="1" s="1"/>
  <c r="C32" i="1" s="1"/>
  <c r="B8" i="1"/>
  <c r="B26" i="1" s="1"/>
  <c r="C63" i="44" l="1"/>
  <c r="P32" i="1"/>
  <c r="AS31" i="1"/>
  <c r="Y12" i="1"/>
  <c r="AH14" i="1"/>
  <c r="AM15" i="1"/>
  <c r="Y17" i="1"/>
  <c r="BG17" i="1" s="1"/>
  <c r="Y21" i="1"/>
  <c r="Y24" i="1"/>
  <c r="D26" i="1"/>
  <c r="L26" i="1"/>
  <c r="T26" i="1"/>
  <c r="AB26" i="1"/>
  <c r="AJ26" i="1"/>
  <c r="AR26" i="1"/>
  <c r="AR32" i="1" s="1"/>
  <c r="AZ26" i="1"/>
  <c r="AY29" i="1"/>
  <c r="Y30" i="1"/>
  <c r="G31" i="1"/>
  <c r="O31" i="1"/>
  <c r="W31" i="1"/>
  <c r="AE31" i="1"/>
  <c r="AN31" i="1"/>
  <c r="AX31" i="1"/>
  <c r="C7" i="2"/>
  <c r="C11" i="2" s="1"/>
  <c r="E36" i="47"/>
  <c r="E38" i="47"/>
  <c r="E43" i="47"/>
  <c r="E114" i="47"/>
  <c r="E126" i="47"/>
  <c r="E130" i="47"/>
  <c r="Y15" i="1"/>
  <c r="Y8" i="1"/>
  <c r="BF10" i="1"/>
  <c r="AC11" i="1"/>
  <c r="BG11" i="1" s="1"/>
  <c r="BJ11" i="1" s="1"/>
  <c r="AS11" i="1"/>
  <c r="AH12" i="1"/>
  <c r="AM13" i="1"/>
  <c r="AP13" i="1" s="1"/>
  <c r="AS13" i="1" s="1"/>
  <c r="AV13" i="1" s="1"/>
  <c r="AY13" i="1" s="1"/>
  <c r="BB13" i="1" s="1"/>
  <c r="BF13" i="1" s="1"/>
  <c r="AC16" i="1"/>
  <c r="AM20" i="1"/>
  <c r="AH21" i="1"/>
  <c r="AH24" i="1"/>
  <c r="AP24" i="1"/>
  <c r="BF24" i="1"/>
  <c r="AC25" i="1"/>
  <c r="BG25" i="1" s="1"/>
  <c r="BJ25" i="1" s="1"/>
  <c r="AS25" i="1"/>
  <c r="E26" i="1"/>
  <c r="E32" i="1" s="1"/>
  <c r="M26" i="1"/>
  <c r="M32" i="1" s="1"/>
  <c r="U26" i="1"/>
  <c r="AK26" i="1"/>
  <c r="BA26" i="1"/>
  <c r="AV27" i="1"/>
  <c r="AV31" i="1" s="1"/>
  <c r="BB28" i="1"/>
  <c r="AH30" i="1"/>
  <c r="AP30" i="1"/>
  <c r="BF30" i="1"/>
  <c r="P31" i="1"/>
  <c r="X31" i="1"/>
  <c r="AF31" i="1"/>
  <c r="C8" i="2"/>
  <c r="E4" i="47"/>
  <c r="E18" i="47"/>
  <c r="E22" i="47"/>
  <c r="E90" i="47"/>
  <c r="E256" i="47"/>
  <c r="E288" i="47"/>
  <c r="I31" i="1"/>
  <c r="I32" i="1" s="1"/>
  <c r="AG31" i="1"/>
  <c r="AQ31" i="1"/>
  <c r="AZ31" i="1"/>
  <c r="C10" i="2"/>
  <c r="E10" i="47"/>
  <c r="E148" i="47"/>
  <c r="F26" i="1"/>
  <c r="F32" i="1" s="1"/>
  <c r="AY8" i="1"/>
  <c r="BB9" i="1"/>
  <c r="AM11" i="1"/>
  <c r="Y13" i="1"/>
  <c r="AC14" i="1"/>
  <c r="AH15" i="1"/>
  <c r="AP15" i="1"/>
  <c r="AS15" i="1" s="1"/>
  <c r="AV15" i="1" s="1"/>
  <c r="AY15" i="1" s="1"/>
  <c r="BB15" i="1" s="1"/>
  <c r="BF15" i="1" s="1"/>
  <c r="AM16" i="1"/>
  <c r="AP16" i="1" s="1"/>
  <c r="AS16" i="1" s="1"/>
  <c r="AV16" i="1" s="1"/>
  <c r="AY16" i="1" s="1"/>
  <c r="BB16" i="1" s="1"/>
  <c r="BF16" i="1" s="1"/>
  <c r="Y20" i="1"/>
  <c r="AM25" i="1"/>
  <c r="BF25" i="1"/>
  <c r="G26" i="1"/>
  <c r="G32" i="1" s="1"/>
  <c r="O26" i="1"/>
  <c r="O32" i="1" s="1"/>
  <c r="W26" i="1"/>
  <c r="W32" i="1" s="1"/>
  <c r="AE26" i="1"/>
  <c r="AE32" i="1" s="1"/>
  <c r="AU26" i="1"/>
  <c r="BC26" i="1"/>
  <c r="AH27" i="1"/>
  <c r="AP27" i="1"/>
  <c r="AP31" i="1" s="1"/>
  <c r="BF27" i="1"/>
  <c r="AV28" i="1"/>
  <c r="BB29" i="1"/>
  <c r="B31" i="1"/>
  <c r="B32" i="1" s="1"/>
  <c r="J31" i="1"/>
  <c r="J32" i="1" s="1"/>
  <c r="R31" i="1"/>
  <c r="Z31" i="1"/>
  <c r="AR31" i="1"/>
  <c r="BA31" i="1"/>
  <c r="E72" i="47"/>
  <c r="E112" i="47"/>
  <c r="E216" i="47"/>
  <c r="AL26" i="1"/>
  <c r="AM9" i="1"/>
  <c r="AV11" i="1"/>
  <c r="AC12" i="1"/>
  <c r="AH13" i="1"/>
  <c r="AH20" i="1"/>
  <c r="AP20" i="1"/>
  <c r="BF20" i="1"/>
  <c r="AC21" i="1"/>
  <c r="AC24" i="1"/>
  <c r="AS24" i="1"/>
  <c r="X26" i="1"/>
  <c r="AF26" i="1"/>
  <c r="AF32" i="1" s="1"/>
  <c r="AN26" i="1"/>
  <c r="BD26" i="1"/>
  <c r="AY27" i="1"/>
  <c r="Y28" i="1"/>
  <c r="AM29" i="1"/>
  <c r="AM31" i="1" s="1"/>
  <c r="AC30" i="1"/>
  <c r="AS30" i="1"/>
  <c r="K31" i="1"/>
  <c r="S31" i="1"/>
  <c r="AA31" i="1"/>
  <c r="AJ31" i="1"/>
  <c r="E5" i="47"/>
  <c r="E53" i="47"/>
  <c r="E144" i="47"/>
  <c r="AD26" i="1"/>
  <c r="AV9" i="1"/>
  <c r="AM14" i="1"/>
  <c r="AP14" i="1" s="1"/>
  <c r="AS14" i="1" s="1"/>
  <c r="AV14" i="1" s="1"/>
  <c r="AY14" i="1" s="1"/>
  <c r="BB14" i="1" s="1"/>
  <c r="BF14" i="1" s="1"/>
  <c r="Y16" i="1"/>
  <c r="AY20" i="1"/>
  <c r="BB24" i="1"/>
  <c r="Q26" i="1"/>
  <c r="Q32" i="1" s="1"/>
  <c r="AG26" i="1"/>
  <c r="AO26" i="1"/>
  <c r="AO32" i="1" s="1"/>
  <c r="AW26" i="1"/>
  <c r="BE26" i="1"/>
  <c r="AH28" i="1"/>
  <c r="BF28" i="1"/>
  <c r="D31" i="1"/>
  <c r="L31" i="1"/>
  <c r="T31" i="1"/>
  <c r="AB31" i="1"/>
  <c r="AK31" i="1"/>
  <c r="AT31" i="1"/>
  <c r="BC31" i="1"/>
  <c r="N26" i="1"/>
  <c r="N32" i="1" s="1"/>
  <c r="V26" i="1"/>
  <c r="AT26" i="1"/>
  <c r="AC8" i="1"/>
  <c r="AS8" i="1"/>
  <c r="BB8" i="1"/>
  <c r="AH11" i="1"/>
  <c r="AP11" i="1"/>
  <c r="BF11" i="1"/>
  <c r="AM12" i="1"/>
  <c r="AP12" i="1" s="1"/>
  <c r="AS12" i="1" s="1"/>
  <c r="AV12" i="1" s="1"/>
  <c r="AY12" i="1" s="1"/>
  <c r="BB12" i="1" s="1"/>
  <c r="BF12" i="1" s="1"/>
  <c r="AC15" i="1"/>
  <c r="AH16" i="1"/>
  <c r="AM21" i="1"/>
  <c r="AP21" i="1" s="1"/>
  <c r="AS21" i="1" s="1"/>
  <c r="AV21" i="1" s="1"/>
  <c r="AY21" i="1" s="1"/>
  <c r="BB21" i="1" s="1"/>
  <c r="BF21" i="1" s="1"/>
  <c r="AM24" i="1"/>
  <c r="AH25" i="1"/>
  <c r="AP25" i="1"/>
  <c r="R26" i="1"/>
  <c r="Z26" i="1"/>
  <c r="AX26" i="1"/>
  <c r="AX32" i="1" s="1"/>
  <c r="AY28" i="1"/>
  <c r="AM30" i="1"/>
  <c r="U31" i="1"/>
  <c r="AL31" i="1"/>
  <c r="BD31" i="1"/>
  <c r="E234" i="47"/>
  <c r="AM8" i="1"/>
  <c r="AH9" i="1"/>
  <c r="AH26" i="1" s="1"/>
  <c r="AP9" i="1"/>
  <c r="BF9" i="1"/>
  <c r="AM10" i="1"/>
  <c r="BG10" i="1" s="1"/>
  <c r="BJ10" i="1" s="1"/>
  <c r="AV10" i="1"/>
  <c r="AY11" i="1"/>
  <c r="AC13" i="1"/>
  <c r="AC20" i="1"/>
  <c r="AS20" i="1"/>
  <c r="AV24" i="1"/>
  <c r="K26" i="1"/>
  <c r="S26" i="1"/>
  <c r="S32" i="1" s="1"/>
  <c r="AA26" i="1"/>
  <c r="AI26" i="1"/>
  <c r="AI32" i="1" s="1"/>
  <c r="AQ26" i="1"/>
  <c r="AQ32" i="1" s="1"/>
  <c r="BB27" i="1"/>
  <c r="BB31" i="1" s="1"/>
  <c r="AH29" i="1"/>
  <c r="BG29" i="1" s="1"/>
  <c r="AP29" i="1"/>
  <c r="BF29" i="1"/>
  <c r="AV30" i="1"/>
  <c r="V31" i="1"/>
  <c r="AD31" i="1"/>
  <c r="AW31" i="1"/>
  <c r="BE31" i="1"/>
  <c r="AU32" i="1"/>
  <c r="BG14" i="1" l="1"/>
  <c r="BJ14" i="1" s="1"/>
  <c r="AY26" i="1"/>
  <c r="AW32" i="1"/>
  <c r="BC32" i="1"/>
  <c r="BF26" i="1"/>
  <c r="BG24" i="1"/>
  <c r="BJ24" i="1" s="1"/>
  <c r="AM26" i="1"/>
  <c r="Z32" i="1"/>
  <c r="AC26" i="1"/>
  <c r="AS26" i="1"/>
  <c r="AS32" i="1" s="1"/>
  <c r="AD32" i="1"/>
  <c r="X32" i="1"/>
  <c r="AL32" i="1"/>
  <c r="AM32" i="1" s="1"/>
  <c r="BA32" i="1"/>
  <c r="BG15" i="1"/>
  <c r="BJ15" i="1" s="1"/>
  <c r="BB26" i="1"/>
  <c r="BB32" i="1" s="1"/>
  <c r="AZ32" i="1"/>
  <c r="BG21" i="1"/>
  <c r="BJ21" i="1" s="1"/>
  <c r="BG9" i="1"/>
  <c r="BJ9" i="1" s="1"/>
  <c r="AT32" i="1"/>
  <c r="AV26" i="1"/>
  <c r="AV32" i="1" s="1"/>
  <c r="U32" i="1"/>
  <c r="AJ32" i="1"/>
  <c r="BG27" i="1"/>
  <c r="AA32" i="1"/>
  <c r="V32" i="1"/>
  <c r="BG28" i="1"/>
  <c r="AB32" i="1"/>
  <c r="AY31" i="1"/>
  <c r="T32" i="1"/>
  <c r="BG16" i="1"/>
  <c r="BJ16" i="1" s="1"/>
  <c r="BD32" i="1"/>
  <c r="L32" i="1"/>
  <c r="B52" i="1" s="1"/>
  <c r="BG20" i="1"/>
  <c r="Y26" i="1"/>
  <c r="BG8" i="1"/>
  <c r="R32" i="1"/>
  <c r="AG32" i="1"/>
  <c r="Y31" i="1"/>
  <c r="AK32" i="1"/>
  <c r="K32" i="1"/>
  <c r="BF31" i="1"/>
  <c r="BG13" i="1"/>
  <c r="BJ13" i="1" s="1"/>
  <c r="BE32" i="1"/>
  <c r="AP26" i="1"/>
  <c r="AP32" i="1" s="1"/>
  <c r="AN32" i="1"/>
  <c r="AC31" i="1"/>
  <c r="AH31" i="1"/>
  <c r="BG30" i="1"/>
  <c r="D32" i="1"/>
  <c r="B51" i="1" s="1"/>
  <c r="BG12" i="1"/>
  <c r="BJ12" i="1" s="1"/>
  <c r="BG33" i="1" l="1"/>
  <c r="BJ20" i="1"/>
  <c r="AH32" i="1"/>
  <c r="AY32" i="1"/>
  <c r="BG26" i="1"/>
  <c r="BJ8" i="1"/>
  <c r="BJ26" i="1" s="1"/>
  <c r="BG31" i="1"/>
  <c r="BF32" i="1"/>
  <c r="AC32" i="1"/>
  <c r="Y32" i="1"/>
  <c r="BG32" i="1" l="1"/>
  <c r="C3" i="45" l="1"/>
  <c r="C175" i="7" l="1"/>
  <c r="C4" i="45"/>
  <c r="C174" i="7" s="1"/>
  <c r="C176" i="7" l="1"/>
  <c r="C5" i="4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Autor desconhecido</author>
  </authors>
  <commentList>
    <comment ref="D38" authorId="0" shapeId="0" xr:uid="{00000000-0006-0000-0300-000001000000}">
      <text>
        <r>
          <rPr>
            <sz val="10"/>
            <rFont val="Arial"/>
            <family val="2"/>
          </rPr>
          <t xml:space="preserve">rodrigo.aprigio:
</t>
        </r>
        <r>
          <rPr>
            <sz val="9"/>
            <color rgb="FF000000"/>
            <rFont val="Tahoma"/>
            <family val="2"/>
            <charset val="1"/>
          </rPr>
          <t>Relotação Provisória. Requalificação Profissional</t>
        </r>
      </text>
    </comment>
    <comment ref="D120" authorId="0" shapeId="0" xr:uid="{00000000-0006-0000-0300-000002000000}">
      <text>
        <r>
          <rPr>
            <sz val="10"/>
            <rFont val="Arial"/>
            <family val="2"/>
          </rPr>
          <t xml:space="preserve">rodrigo.aprigio:
</t>
        </r>
        <r>
          <rPr>
            <sz val="9"/>
            <color rgb="FF000000"/>
            <rFont val="Tahoma"/>
            <family val="2"/>
            <charset val="1"/>
          </rPr>
          <t>Relotação Provisória. Requalificação Profissional</t>
        </r>
      </text>
    </comment>
    <comment ref="E492" authorId="0" shapeId="0" xr:uid="{00000000-0006-0000-0300-000003000000}">
      <text>
        <r>
          <rPr>
            <sz val="10"/>
            <rFont val="Arial"/>
            <family val="2"/>
          </rPr>
          <t xml:space="preserve">rodrigo.aprigio:
</t>
        </r>
        <r>
          <rPr>
            <sz val="9"/>
            <color rgb="FF000000"/>
            <rFont val="Tahoma"/>
            <family val="2"/>
            <charset val="1"/>
          </rPr>
          <t>Relotação Provisória. Requalificação Profissional</t>
        </r>
      </text>
    </comment>
    <comment ref="E493" authorId="0" shapeId="0" xr:uid="{00000000-0006-0000-0300-000004000000}">
      <text>
        <r>
          <rPr>
            <sz val="10"/>
            <rFont val="Arial"/>
            <family val="2"/>
          </rPr>
          <t xml:space="preserve">rodrigo.aprigio:
</t>
        </r>
        <r>
          <rPr>
            <sz val="9"/>
            <color rgb="FF000000"/>
            <rFont val="Tahoma"/>
            <family val="2"/>
            <charset val="1"/>
          </rPr>
          <t>Relotação Provisória. Requalificação Profissional</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Autor desconhecido</author>
  </authors>
  <commentList>
    <comment ref="F5" authorId="0" shapeId="0" xr:uid="{00000000-0006-0000-0500-000003000000}">
      <text>
        <r>
          <rPr>
            <sz val="10"/>
            <rFont val="Arial"/>
            <family val="2"/>
          </rPr>
          <t>======
ID#AAAAsVIxcjE
justiça federalcadastro    (2023-03-01 19:38:34)
Observação referente à coluna "F", de acordo com o Art 2º, § 3º da Portaria 138/2022 e Art 2º, § 2º da Portaria 481/2016, em que limita-se a 02 (dois ) AJOJ, por Unidade Judiciária, acima desse valor, inclui-se na soma dos servidores da respectiva Unidade.</t>
        </r>
      </text>
    </comment>
    <comment ref="G5" authorId="0" shapeId="0" xr:uid="{00000000-0006-0000-0500-000005000000}">
      <text>
        <r>
          <rPr>
            <sz val="10"/>
            <rFont val="Arial"/>
            <family val="2"/>
          </rPr>
          <t>Art. 14. A recusa da unidade de lotação do(a) servidor(a) de participar do procedimento de requalificação profissional disciplinado nesta portaria ensejará, automaticamente, o
bloqueio de novas movimentações e lotações de servidores(as) do quadro próprio da JFCE na unidade, pelo período de 30 (trinta) meses, contados do dia em que o(a)
servidor(a) for movimentado(a).
======</t>
        </r>
      </text>
    </comment>
    <comment ref="I5" authorId="0" shapeId="0" xr:uid="{00000000-0006-0000-0500-000007000000}">
      <text>
        <r>
          <rPr>
            <sz val="10"/>
            <rFont val="Arial"/>
            <family val="2"/>
          </rPr>
          <t>I – a unidade que tiver o maior déficit proporcional de força de trabalho, assim
considerado o menor índice encontrado a partir da divisão do número de servidores(as)lotados(as) pelo número mínimo de servidores(as) para a unidade tipo, conforme a seguinte equação:
a) Para unidades de varas: (número de servidores(as) lotados(as))/16;
b) Para as unidades de Turmas Recursais: (número de servidores(as) lotados(as))/13
III – a unidade que estiver há mais tempo com o menor índice de carência de
servidores(as);
======</t>
        </r>
      </text>
    </comment>
    <comment ref="K5" authorId="0" shapeId="0" xr:uid="{00000000-0006-0000-0500-000008000000}">
      <text>
        <r>
          <rPr>
            <sz val="10"/>
            <rFont val="Arial"/>
            <family val="2"/>
          </rPr>
          <t>Art. 5º. Consideram-se situações de VINCULAÇÃO TEMPORÁRIA EXCEPCIONAL, aptas a gerar
precedência da unidade para fins de lotação do(a) servidor(a)(a):
I – designação para exercício do cargo em comissão de diretor(a) de secretaria;
II – a lotação inicial na Seção Judiciária do Ceará de servidor(a) cedido(a) para o
exercício de função comissionada ou cargo em comissão previamente indicado pelo(a)
juiz(a) que o(a) requisitou;
III – o regresso do(a) servidor(a) cedido(a) para exercício de função junto a outro órgão
público ou junto à Justiça Federal em local diverso da sede da SJCE, desde que,
cumulativamente:
a) Não tenham transcorrido mais de 12 meses desde a cessão do(a) servidor(a), e;
b) A lacuna gerada pela cessão do(a) servidor(a) não tenha sido provida.
Parágrafo único - A hipótese de movimentação de servidores(as) em virtude de
designação para o exercício da função de diretor(a) de secretaria pressupõe, quando
havida no âmbito da capital, a devida compensação de força de trabalho entre as
unidades, observada, sempre que possível, a equivalência de qualificação.
======</t>
        </r>
      </text>
    </comment>
    <comment ref="N5" authorId="0" shapeId="0" xr:uid="{00000000-0006-0000-0500-000009000000}">
      <text>
        <r>
          <rPr>
            <sz val="10"/>
            <rFont val="Arial"/>
            <family val="2"/>
          </rPr>
          <t>II – a unidade que estiver há mais tempo desfalcada do mínimo de servidores(as);
======</t>
        </r>
      </text>
    </comment>
    <comment ref="P5" authorId="0" shapeId="0" xr:uid="{00000000-0006-0000-0500-00000A000000}">
      <text>
        <r>
          <rPr>
            <sz val="10"/>
            <rFont val="Arial"/>
            <family val="2"/>
          </rPr>
          <t>IV – a unidade titularizada pelo(a) magistrado(a) mais antigo(a) segundo a lista do
Tribunal Regional Federal da 5ª Região, entendendo-se como tal a Turma Recursal
composta pelo(a) juiz(a) mais antigo(a), ainda que não exerça a presidência do órgão
julgador.
======</t>
        </r>
      </text>
    </comment>
    <comment ref="E14" authorId="0" shapeId="0" xr:uid="{00000000-0006-0000-0500-000001000000}">
      <text>
        <r>
          <rPr>
            <sz val="10"/>
            <rFont val="Arial"/>
            <family val="2"/>
          </rPr>
          <t>1 AJOJ foi somado na quantidade de 13 servidores desta Vara, totalizando 14, pois a unidade excedeu os 2 AJOJ autorizativos pelo art 2º, § 3 da Portaria n. 138/2022.
======</t>
        </r>
      </text>
    </comment>
    <comment ref="F14" authorId="0" shapeId="0" xr:uid="{00000000-0006-0000-0500-000004000000}">
      <text>
        <r>
          <rPr>
            <sz val="10"/>
            <rFont val="Arial"/>
            <family val="2"/>
          </rPr>
          <t>76 De acordo com o Art 2º, § 3º da Portaria 138/2022 e Art 2º, § 2º da Portaria 481/2016, em que limita-se a 02 (dois ) AJOJ, por Unidade Judiciária, acima desse valor, inclui-se na soma dos servidores da respectiva Unidade.
======</t>
        </r>
      </text>
    </comment>
    <comment ref="E28" authorId="0" shapeId="0" xr:uid="{00000000-0006-0000-0500-000002000000}">
      <text>
        <r>
          <rPr>
            <sz val="10"/>
            <rFont val="Arial"/>
            <family val="2"/>
          </rPr>
          <t xml:space="preserve">rodrigo.aprigio:
</t>
        </r>
        <r>
          <rPr>
            <sz val="9"/>
            <color rgb="FF000000"/>
            <rFont val="Tahoma"/>
            <family val="2"/>
            <charset val="1"/>
          </rPr>
          <t>INSERI MAIS 1 PARA SAIR DOS 12 PRIMEIROS</t>
        </r>
      </text>
    </comment>
    <comment ref="G28" authorId="0" shapeId="0" xr:uid="{00000000-0006-0000-0500-000006000000}">
      <text>
        <r>
          <rPr>
            <sz val="10"/>
            <rFont val="Arial"/>
            <family val="2"/>
          </rPr>
          <t xml:space="preserve">rodrigo.aprigio:
</t>
        </r>
        <r>
          <rPr>
            <sz val="9"/>
            <color rgb="FF000000"/>
            <rFont val="Tahoma"/>
            <charset val="1"/>
          </rPr>
          <t>30 meses a contar dessa data (29/07/2024). Término em 29/01/2027.</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Autor desconhecido</author>
  </authors>
  <commentList>
    <comment ref="D29" authorId="0" shapeId="0" xr:uid="{00000000-0006-0000-1D00-000001000000}">
      <text>
        <r>
          <rPr>
            <sz val="10"/>
            <rFont val="Arial"/>
            <family val="2"/>
          </rPr>
          <t>======
ID#AAAA3t3aaFk
justiça federalcadastro    (2023-08-14 16:58:47)
LICENÇA GESTANTE ATÉ 27/08/2023.
TAREFA: ENCERRÁ LOTAÇÃO GESTANTE E RETORNAR A 17ª VARA FEDERAL.</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Autor desconhecido</author>
  </authors>
  <commentList>
    <comment ref="E10" authorId="0" shapeId="0" xr:uid="{00000000-0006-0000-2700-000001000000}">
      <text>
        <r>
          <rPr>
            <sz val="10"/>
            <rFont val="Arial"/>
            <family val="2"/>
          </rPr>
          <t>======
ID#AAAAsYT8Wh0
justiça federalcadastro    (2023-03-02 17:52:08)
MUDEI O CARGO A PEDIDO DA DIREÇÃO.</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Autor desconhecido</author>
  </authors>
  <commentList>
    <comment ref="B3" authorId="0" shapeId="0" xr:uid="{00000000-0006-0000-2C00-000001000000}">
      <text>
        <r>
          <rPr>
            <sz val="10"/>
            <rFont val="Arial"/>
            <family val="2"/>
          </rPr>
          <t>======
ID#AAAAcZPweGQ
joselucas    (2022-07-16 14:16:22)
Incluído NUJUD e excluído as Subdiretorias das Subseções.</t>
        </r>
      </text>
    </comment>
    <comment ref="B4" authorId="0" shapeId="0" xr:uid="{00000000-0006-0000-2C00-000002000000}">
      <text>
        <r>
          <rPr>
            <sz val="10"/>
            <rFont val="Arial"/>
            <family val="2"/>
          </rPr>
          <t>======
ID#AAAAcZPweGM
joselucas    (2022-07-16 14:16:22)
Incluído Subdiretorias e excluído NUJUD</t>
        </r>
      </text>
    </comment>
  </commentList>
</comments>
</file>

<file path=xl/sharedStrings.xml><?xml version="1.0" encoding="utf-8"?>
<sst xmlns="http://schemas.openxmlformats.org/spreadsheetml/2006/main" count="11363" uniqueCount="3573">
  <si>
    <t>QUADRO REF. AOS DADOS SOLICITADOS PELO ANEXO II DA RESOLUÇÃO Nº 049/2009, DO CJF (SJCE)</t>
  </si>
  <si>
    <t>Fortaleza (SEDE)</t>
  </si>
  <si>
    <t>Subseção Judiciária de Limoeiro do Norte</t>
  </si>
  <si>
    <t>Subseção Judiciária de Juazeiro do Norte</t>
  </si>
  <si>
    <t>Subseção Judiciária de Sobral</t>
  </si>
  <si>
    <t>Subseção Judiciária de Crateús</t>
  </si>
  <si>
    <t>Subseção Judiciária de Quixadá</t>
  </si>
  <si>
    <t>Subseção Judiciária de Tauá</t>
  </si>
  <si>
    <t>Subseção Judiciária de Iguatu</t>
  </si>
  <si>
    <t>Subseção Judiciária de Itapipoca</t>
  </si>
  <si>
    <t>Subseção Judiciária de Maracanaú</t>
  </si>
  <si>
    <t>TOTAL DE SERVIDORES EM EXERCÍCIO NA SEÇÃO</t>
  </si>
  <si>
    <t xml:space="preserve">(+) CARGOS EFETIVOS VAGOS </t>
  </si>
  <si>
    <t>(+) SERVIDORES DO QUADRO DA SEÇÃO CEDIDOS, REMOVIDOS OU EM EXERCÍCIO PROVISÓRIO EM OUTRO ÓRGÃO,SERVIDORES EM LICENÇA SEM VENCIMENTO E AFASTADO MAND.ELETIVO</t>
  </si>
  <si>
    <t>TOTAL DE CARGOS EFETIVOS DA SEÇÃO</t>
  </si>
  <si>
    <t>POSIÇÃO: DE 2024 (18/02/2025)</t>
  </si>
  <si>
    <t>SERVIDORES</t>
  </si>
  <si>
    <t>1ª Vara</t>
  </si>
  <si>
    <t>2ª Vara</t>
  </si>
  <si>
    <t>3ª Vara</t>
  </si>
  <si>
    <t>4ª Vara</t>
  </si>
  <si>
    <t>5ª Vara</t>
  </si>
  <si>
    <t>6ª Vara</t>
  </si>
  <si>
    <t>7ª Vara</t>
  </si>
  <si>
    <t>8ª Vara</t>
  </si>
  <si>
    <t>9ª Vara</t>
  </si>
  <si>
    <t>10ª Vara</t>
  </si>
  <si>
    <t>11ª Vara</t>
  </si>
  <si>
    <t>12ª Vara</t>
  </si>
  <si>
    <t>13ª Vara</t>
  </si>
  <si>
    <t>14ª Vara</t>
  </si>
  <si>
    <t>20ª Vara</t>
  </si>
  <si>
    <t>21ª Vara</t>
  </si>
  <si>
    <t>26ª Vara</t>
  </si>
  <si>
    <t>28ª Vara</t>
  </si>
  <si>
    <t xml:space="preserve">32ª Vara </t>
  </si>
  <si>
    <t xml:space="preserve">33ª Vara </t>
  </si>
  <si>
    <t>Turmas Recursais</t>
  </si>
  <si>
    <t>Diretoria do Foro</t>
  </si>
  <si>
    <t>Secretaria Administrativa</t>
  </si>
  <si>
    <t>TOTAL da Sede</t>
  </si>
  <si>
    <t>15ª Vara</t>
  </si>
  <si>
    <t>29ª Vara</t>
  </si>
  <si>
    <t>Subdiretoria do Foro</t>
  </si>
  <si>
    <t>TOTAL da Subseção</t>
  </si>
  <si>
    <t>16ª Vara</t>
  </si>
  <si>
    <t>17ª Vara</t>
  </si>
  <si>
    <t>30ª Vara</t>
  </si>
  <si>
    <t xml:space="preserve">Subdiretoria do Foro </t>
  </si>
  <si>
    <t>TOTAL  da Subseção</t>
  </si>
  <si>
    <t>18ª Vara</t>
  </si>
  <si>
    <t>19ª Vara</t>
  </si>
  <si>
    <t>31ª Vara</t>
  </si>
  <si>
    <t xml:space="preserve">22ª Vara </t>
  </si>
  <si>
    <t>23ª Vara</t>
  </si>
  <si>
    <t>24ª Vara</t>
  </si>
  <si>
    <t>25ª Vara</t>
  </si>
  <si>
    <t>27ª Vara</t>
  </si>
  <si>
    <t>34ª Vara</t>
  </si>
  <si>
    <t>35ª Vara</t>
  </si>
  <si>
    <t>Analista Judiciário(Á. Judiciária)</t>
  </si>
  <si>
    <t>Analista Judiciário(Á. Administrativa)</t>
  </si>
  <si>
    <t>Analista Judiciário (Esp.Oficial de Justiça Avaliador Federal)</t>
  </si>
  <si>
    <t>Anal.Jud.(Á. Biblioteconomia)</t>
  </si>
  <si>
    <t>Analista Judiciário(Á. Apoio Especializado-Informática)</t>
  </si>
  <si>
    <t>Analista Judiciário(Á. Apoio Especializado-Informática-Desenvolvimento)</t>
  </si>
  <si>
    <t>Analista Judiciário(Á. Apoio Especializado-Informática-Infraestrutura)</t>
  </si>
  <si>
    <t>Analista Judiciário(Á. Apoio Especializado-Medicina-Cliníca Médica)</t>
  </si>
  <si>
    <t>Analista Judiciário(Á. Apoio Especializado-Contadoria)</t>
  </si>
  <si>
    <t>Analista Judiciário(Á. Apoio Especializado- Engenharia Civil)</t>
  </si>
  <si>
    <t>Analista Judiciário(Á. Apoio Especializado- Engenharia Eletrica)</t>
  </si>
  <si>
    <t>Analista Judiciário(Á. Apoio Especializado- Psicologia)</t>
  </si>
  <si>
    <t xml:space="preserve">Técnico Judiciário (Á. Administrativa)-inclusas as Especialidades Serviços de Portaria/Telefonia </t>
  </si>
  <si>
    <t>Técnico Judiciário(Á. Apoio Especializado- Informática)</t>
  </si>
  <si>
    <t>Técnico Judiciário(Á. Apoio Especializado- Informática-Desenvolvimento)</t>
  </si>
  <si>
    <t>Técnico Judiciário(Á. Apoio Especializado- Informática-Infraestrutura)</t>
  </si>
  <si>
    <t>Técnico Judiciário (Á. Segurança e Transporte – Agente de Policia Judicial)</t>
  </si>
  <si>
    <t>Auxiliar Judiciário</t>
  </si>
  <si>
    <t>TOTAL DE CARGOS EFETIVOS</t>
  </si>
  <si>
    <t>Requisitados</t>
  </si>
  <si>
    <t>Exercício Provisório (de outros órgãos)</t>
  </si>
  <si>
    <t>Removidos (de outros órgãos)</t>
  </si>
  <si>
    <t>Sem Vínculo</t>
  </si>
  <si>
    <t>TOTAL DE SERVIDORES DE OUTROS ÓRGÃOS E SEM VÍNCULO</t>
  </si>
  <si>
    <t>TOTAL GERAL</t>
  </si>
  <si>
    <t>AJUSTE JULHO 2021: COLUNA CEDIDOS/REMOVIDOS... (passou de 22 para 21)-  Houve a retirada de 1 servidor RAPHAEL NOGUEIRA BEZERRA DE MENEZES- AJAJ, que apresenta situação peculiar- ele é do QUADRO EFETIVO. Porém foi REMOVIDO via SINAR para outro local, e retornou para esta SJCE como EX. PROVISÓRIO, estando atualmente lotado na 12 Vara. Houve a retirada de 1 AJAJ da coluna CEDIDOS , pois ele estava sendo sendo contado duas vezes (na coluna CEDIDOS e na 12 VARA) desde o mês de Maio/2021, quando houve ajuste no n. de Técnicos e de Analistas na coluna de CEDIDOS _ver mapa de Abril e de Maio 2021.   Há uma dificuldade em selecionar a situação/perfil dele no SARH. Pois ele é do quadro ativo, mas foi removido, e agora está na SJCE em ex. prov., lotado na 12 Vara. Decidimos por considerá-lo na 12 vara, não o contabilizando aqui nesta coluna de CEDIDOS, para que ele não seja contabilizado 2 vezes.</t>
  </si>
  <si>
    <t>Em AGOSTO 2021: transformação de cargo AJOJ em AJ Apoio Especializado- Especialidade CONTADORIA- Ato n. 359-2021, Presidência TRF5- disponibilizado DEA TRF5 em 19-08-2021.</t>
  </si>
  <si>
    <t>Mapa de Janeiro/2022 algumas lotações atualizadas devido reestruturação Res 10/2021-TRF5.</t>
  </si>
  <si>
    <r>
      <rPr>
        <b/>
        <sz val="10"/>
        <color rgb="FF000000"/>
        <rFont val="Arial"/>
        <family val="2"/>
        <charset val="1"/>
      </rPr>
      <t>Em JANEIRO 2022: nomeação de DAVISSON SILVA MACIEL DA MATA- gerou</t>
    </r>
    <r>
      <rPr>
        <b/>
        <i/>
        <sz val="10"/>
        <color rgb="FF000000"/>
        <rFont val="Arial"/>
        <family val="2"/>
        <charset val="1"/>
      </rPr>
      <t xml:space="preserve"> inclusão/ajuste de cargo </t>
    </r>
    <r>
      <rPr>
        <b/>
        <sz val="10"/>
        <color rgb="FF000000"/>
        <rFont val="Arial"/>
        <family val="2"/>
        <charset val="1"/>
      </rPr>
      <t>no mapa devido transformação de cargo AJOJ (cargo vago de Jose Gererdo freire) em AJ Apoio Especializado- Especialidade ENGENHARIA CIVIL, Atoo n. 495-2021, Presidência TRF5- disponibilizado DEA TRF5 em 25-11-2021; publicado em 26/11/2021.</t>
    </r>
  </si>
  <si>
    <t xml:space="preserve">Em MAIO 2022: PA SEI 0001344-63.2022.4.05.7600 transformação de 6 cargos TJ- Area adm- Especialidade Agente de Policia Judicial (cargos vagos aposentadorias de Antonio Airton, Roberto Julio, Leopoldo Pinheiro, Edson Jose, Ricardo Sergio e Francisco Jose Pereira de Oliveira) em TJ- Area Apoio Especializado- Especialidade INFORMATICA, Ato n. 176/2022  e 189/2022, Presidência TRF5- disponibilizado DEA TRF5 em 16-05-2022 e 17-05-2022; </t>
  </si>
  <si>
    <t>Em SETEMBRO 2022: PA SEI 0010738-85.2021.4.05.7000 - RESOLUÇÃO N 8/2022 Conselho de Administração TRF5- incorporação de 6 cargos vagos da SJCE pelo TRF5. E transformação de 1 desses cargos de AJAJ OJAF (aposentadoria de Luciano Uchoa Honorio) em AJAJ. Dessa forma, foram 6 cargos incorporados: 3 TJ- Area adm (cargos aposentadorias de Maria Perpetua de Freitas, Maria Ivanda e Edna Maria Mesquita) e 3 AJAJ (cargos aposentadorias de Romel Carvalho, Luciano Uchoa Honorio e Adriana Martins Leal)</t>
  </si>
  <si>
    <t>Unidade</t>
  </si>
  <si>
    <t>Total</t>
  </si>
  <si>
    <t>Edifício-Sede em Fortaleza</t>
  </si>
  <si>
    <t>Edifício-Anexo na Aldeota</t>
  </si>
  <si>
    <t xml:space="preserve">Obs: 05 servidores da Secretaria Administrativa estão lotado no Edifício-Anexo na Aldeota. São eles  </t>
  </si>
  <si>
    <t>Vinculados ao NUAD:</t>
  </si>
  <si>
    <t>1 Carla Patrícia Rego Magalhães - TJAA</t>
  </si>
  <si>
    <t>Vinculados ao NUJUD:</t>
  </si>
  <si>
    <t>2 Vladia Maria de Lira Gondim - TJAA</t>
  </si>
  <si>
    <t>3 Marcos Augusto Marinho Rodrigues - TJAA</t>
  </si>
  <si>
    <t>4 Anselmo Oliveira da Silva - TJAA</t>
  </si>
  <si>
    <t>5 Francisco Dias Maia Neto TJAA -Agente de Segurança Judiciária - Núcleo Judiciário</t>
  </si>
  <si>
    <t>AGENTES DE SEGURANÇA :</t>
  </si>
  <si>
    <t>ERIVALDO CAETANO SA</t>
  </si>
  <si>
    <t>DEOCLES DUARTE DE OLIVEIRA JUNIOR</t>
  </si>
  <si>
    <t>JOSE MARCIO DE ANDRADE FROIS</t>
  </si>
  <si>
    <t>DAMIAO ALEX LIMA</t>
  </si>
  <si>
    <t>Pessoal que ingressou por cessão ou requisição</t>
  </si>
  <si>
    <t>Anual</t>
  </si>
  <si>
    <t>TPIAe1º – Total de Pessoal que ingressou por cessão ou requisição na Área Judiciária Exclusiva de 1º grau</t>
  </si>
  <si>
    <t>TPITR – Total de Pessoal que ingressou por cessão ou requisição na Área Judiciária de Turmas Recursais</t>
  </si>
  <si>
    <t>TPIAeJE – Total de Pessoal que ingressou por cessão ou requisição na Área Judiciária Exclusiva de Juizado Especial</t>
  </si>
  <si>
    <t>TPIAcJE1º – Total de Pessoal que ingressou por cessão ou requisição na Área Judiciária com Atuação Acumulativa no 1º grau e Juizado Especial</t>
  </si>
  <si>
    <t>TPIAdm – Total de Pessoal que ingressou por cessão ou requisição na Área Administrativa</t>
  </si>
  <si>
    <t>TOTAL</t>
  </si>
  <si>
    <t>SUM of QUANTIDADE</t>
  </si>
  <si>
    <t>ÁREA</t>
  </si>
  <si>
    <t>CARGO</t>
  </si>
  <si>
    <t>ESPECIALIDADE</t>
  </si>
  <si>
    <t>JUDICIÁRIA</t>
  </si>
  <si>
    <t>Total Resultado</t>
  </si>
  <si>
    <t>CIVIL</t>
  </si>
  <si>
    <t>COMUM COM JEF</t>
  </si>
  <si>
    <t>COMUM SEM JEF</t>
  </si>
  <si>
    <t>CRIMINAL</t>
  </si>
  <si>
    <t>EXECUÇÃO FISCAL</t>
  </si>
  <si>
    <t>JUIZADO ESPECIAL</t>
  </si>
  <si>
    <t>Anal.Jud.(Á. Biblioteconomia) Resultado</t>
  </si>
  <si>
    <t>Analista Judiciário (Esp.Oficial de Justiça Avaliador Federal) Resultado</t>
  </si>
  <si>
    <t>Analista Judiciário(Á. Administrativa) Resultado</t>
  </si>
  <si>
    <t>Analista Judiciário(Á. Apoio Especializado- Engenharia Civil) Resultado</t>
  </si>
  <si>
    <t>Analista Judiciário(Á. Apoio Especializado-Contadoria) Resultado</t>
  </si>
  <si>
    <t>Analista Judiciário(Á. Apoio Especializado-Informática-Desenvolvimento) Resultado</t>
  </si>
  <si>
    <t>Analista Judiciário(Á. Apoio Especializado-Informática-Infraestrutura) Resultado</t>
  </si>
  <si>
    <t>Analista Judiciário(Á. Apoio Especializado-Informática) Resultado</t>
  </si>
  <si>
    <t>Analista Judiciário(Á. Apoio Especializado-Medicina-Cliníca Médica) Resultado</t>
  </si>
  <si>
    <t>Analista Judiciário(Á. Judiciária) Resultado</t>
  </si>
  <si>
    <t>Auxiliar Judiciário Resultado</t>
  </si>
  <si>
    <t>Exercício Provisório (de outros órgãos) Resultado</t>
  </si>
  <si>
    <t>Removidos (de outros órgãos) Resultado</t>
  </si>
  <si>
    <t>Requisitados Resultado</t>
  </si>
  <si>
    <t>Sem Vínculo Resultado</t>
  </si>
  <si>
    <t>Técnico Judiciário(Á. Apoio Especializado- Informática) Resultado</t>
  </si>
  <si>
    <t>Técnico Judiciário (Á. Segurança e Transporte – Agente de Policia Judicial) Resultado</t>
  </si>
  <si>
    <t>Técnico Judiciário (Á. Administrativa)-inclusas as Especialidades Serviços de Portaria/Telefonia  Resultado</t>
  </si>
  <si>
    <t>l</t>
  </si>
  <si>
    <t xml:space="preserve">SECRETARIA ADMINISTRATIVA </t>
  </si>
  <si>
    <t>QUANTITATIVO</t>
  </si>
  <si>
    <t>MATRÍCULA</t>
  </si>
  <si>
    <t>NOME</t>
  </si>
  <si>
    <t>NÚCLEO</t>
  </si>
  <si>
    <t>SEÇÃO</t>
  </si>
  <si>
    <t>SETOR</t>
  </si>
  <si>
    <t>SITUAÇÃO FUNCIONAL</t>
  </si>
  <si>
    <t>CE1051</t>
  </si>
  <si>
    <t>EDNA CLAUDIA LESSA FERNANDES</t>
  </si>
  <si>
    <t>SECAD</t>
  </si>
  <si>
    <t>GABINETE DO DIRETOR DE SECRETARIA ADMINISTRATIVA</t>
  </si>
  <si>
    <t>EFETIVO</t>
  </si>
  <si>
    <t>CE1800</t>
  </si>
  <si>
    <t>ANDREA COUTO PALACIO DE QUEIROZ</t>
  </si>
  <si>
    <t>SEÇÃO DE APOIO À DIRETORIA</t>
  </si>
  <si>
    <t>SETOR DE ANÁLISE, CONFERÊNCIA E CONTROLE</t>
  </si>
  <si>
    <t>REQUISITADO</t>
  </si>
  <si>
    <t>CE1321</t>
  </si>
  <si>
    <t>WALDEMAR BARROSO DE SOUZA CORDEIRO</t>
  </si>
  <si>
    <t>AJAA</t>
  </si>
  <si>
    <t>REMOVIDO</t>
  </si>
  <si>
    <t>CE725</t>
  </si>
  <si>
    <t>JOSE VANDER TOMAZ CHAVES</t>
  </si>
  <si>
    <t>TJAA</t>
  </si>
  <si>
    <t>SETOR DE PROCESSAMENTO DE DEMANDAS</t>
  </si>
  <si>
    <t>CE627</t>
  </si>
  <si>
    <t>WALFRIDO VIANA FURTADO</t>
  </si>
  <si>
    <t>SEÇÃO DE APOIO À ATIVIDADE JUDICIÁRIA</t>
  </si>
  <si>
    <t>CE381</t>
  </si>
  <si>
    <t>IDAMILLA DIVANDA CARNEIRO</t>
  </si>
  <si>
    <t>AJAJ</t>
  </si>
  <si>
    <t>SEÇAO DE BIBLIOTECA, GESTAO DOCUMENTAL E
MEMORIA</t>
  </si>
  <si>
    <t>SETOR DE BIBLIOTECA, GESTAO DOCUMENTAL E MEMORIA</t>
  </si>
  <si>
    <t>CE349</t>
  </si>
  <si>
    <t>TERESA CRISTINA FREITAS E SILVA</t>
  </si>
  <si>
    <t>AJ-BIBLIOTECONOMIA</t>
  </si>
  <si>
    <t>SEÇAO DE BIBLIOTECA, GESTAO DOCUMENTAL E
MEMORIA/SBGM/GDS/SA/CE</t>
  </si>
  <si>
    <t>CE798</t>
  </si>
  <si>
    <t>DENISE BEZERRA NOGUEIRA</t>
  </si>
  <si>
    <t>SETOR TECNICO DE EXPEDIÇAO E RECEBIMENTO DE CORRESPONDENCIAS
(MALOTE)</t>
  </si>
  <si>
    <t>CE953</t>
  </si>
  <si>
    <t>CAROLINA EUGENIA SILVA STUDART SOARES</t>
  </si>
  <si>
    <t>CE968</t>
  </si>
  <si>
    <t>INACIA VANY BONFIM PITA</t>
  </si>
  <si>
    <t>CE1594</t>
  </si>
  <si>
    <t>MARCUS ANDRE CUNHA PORTO ROSA</t>
  </si>
  <si>
    <t>CE1961</t>
  </si>
  <si>
    <t>IVAN MENDES COSTA</t>
  </si>
  <si>
    <t>CE1444</t>
  </si>
  <si>
    <t>JOEL CIDIEL GADELHA DE OLIVEIRA</t>
  </si>
  <si>
    <t>CE410</t>
  </si>
  <si>
    <t>ORNER VIANA DOS SANTOS</t>
  </si>
  <si>
    <t>DIRFORO</t>
  </si>
  <si>
    <t>SEÇÃO DE ASSESSORIA JURIDICA</t>
  </si>
  <si>
    <t>CE1626</t>
  </si>
  <si>
    <t>VICTOR EDUARDO SANTOS SILVEIRA</t>
  </si>
  <si>
    <t>CE1807</t>
  </si>
  <si>
    <t>EMANUELA SILVA RIBEIRO</t>
  </si>
  <si>
    <t>SEÇÃO DE COMUNICAÇÃO SOCIAL</t>
  </si>
  <si>
    <t>CE1902</t>
  </si>
  <si>
    <t>ISRAEL CARLOS BEZERRA</t>
  </si>
  <si>
    <t>CE1638</t>
  </si>
  <si>
    <t>ALINE DE MOURA TELES</t>
  </si>
  <si>
    <t>CE1422</t>
  </si>
  <si>
    <t>FELIPE LOPES CRUZ</t>
  </si>
  <si>
    <t>TJAS</t>
  </si>
  <si>
    <t>NUJUD</t>
  </si>
  <si>
    <t>GABINETE DO DIRETOR DO NÚCLEO JUDICIÁRIO</t>
  </si>
  <si>
    <t>INÊS BARGUIL</t>
  </si>
  <si>
    <t>SETOR TECNICO DE APOIO A DIRETORIA DO NUCLEO</t>
  </si>
  <si>
    <t>CE859</t>
  </si>
  <si>
    <t>GABRIEL ANTONIO DE ABREU VIEIRA</t>
  </si>
  <si>
    <t>CE1059</t>
  </si>
  <si>
    <t>ROBERTO BASILIO CANUTO BESERRA</t>
  </si>
  <si>
    <t>SETOR DE COORDENAÇAO DE DEMANDAS DA AREA JUDICIARIA</t>
  </si>
  <si>
    <t>CE1502</t>
  </si>
  <si>
    <t>ANTONIA MORGANA PONTES PARENTE GUARAGNI</t>
  </si>
  <si>
    <t>SETOR DE DISTRIBUIÇAO E GESTAO DE SISTEMAS JUDICIAIS</t>
  </si>
  <si>
    <t>CE769</t>
  </si>
  <si>
    <t>JERONIMO FILHO DE ABREU</t>
  </si>
  <si>
    <t>CENTRAL DE PERICIAS E DADOS PROCESSUAIS</t>
  </si>
  <si>
    <t>CE504</t>
  </si>
  <si>
    <t>ENGELBERG BELEM PONTES</t>
  </si>
  <si>
    <t>CE293</t>
  </si>
  <si>
    <t>PEDRO RODRIGUES SALGUEIRO</t>
  </si>
  <si>
    <t>SETOR TECNICO DE ATENDIMENTO INCLUSIVO E EMISSAO DE
CERTIDOES</t>
  </si>
  <si>
    <t>CE1231</t>
  </si>
  <si>
    <t>ALESSANDRO PORTILHO DE MOURA</t>
  </si>
  <si>
    <t>CE1128</t>
  </si>
  <si>
    <t>CLAUDIO EMILIO MENDES CARVALHEDO</t>
  </si>
  <si>
    <t>CENTRAL DE ATENDIMENTO E DISTRIBUIÇAO DOS JEFS</t>
  </si>
  <si>
    <t>CE680</t>
  </si>
  <si>
    <t>FRANCISCO ANTONIO CAMPOS</t>
  </si>
  <si>
    <t>CE1072</t>
  </si>
  <si>
    <t>CE444</t>
  </si>
  <si>
    <t>JOAQUIM PAULO NETO</t>
  </si>
  <si>
    <t>CE1490</t>
  </si>
  <si>
    <t>FRANCISCO REGIS CAPISTRANO DE OLIVEIRA</t>
  </si>
  <si>
    <t>EX. PROVISÓRIO</t>
  </si>
  <si>
    <t>CE790</t>
  </si>
  <si>
    <t>SANDRA MARIA FARIAS ARAÚJO</t>
  </si>
  <si>
    <t>SETOR DE DISTRIBUIÇAO E GESTAO DE SISTEMAS
JUDICIAIS</t>
  </si>
  <si>
    <t>CE934</t>
  </si>
  <si>
    <t>JOSEANE CAMELO GUEDES SAWATANI</t>
  </si>
  <si>
    <t>CE1034</t>
  </si>
  <si>
    <t>NAGILA MARIA MENDES</t>
  </si>
  <si>
    <t>CE858</t>
  </si>
  <si>
    <t>ANA CLAUDIA CARVALHO MOTA</t>
  </si>
  <si>
    <t>SEÇÃO DE CONTADORIA JUDICIAL</t>
  </si>
  <si>
    <t>SETOR DE CALCULOS</t>
  </si>
  <si>
    <t>CE1131</t>
  </si>
  <si>
    <t>DANIELE RODRIGUES RAMOS</t>
  </si>
  <si>
    <t>CE1148</t>
  </si>
  <si>
    <t>LUIZ MACHADO SIQUEIRA NETO</t>
  </si>
  <si>
    <t>SETOR DE ANALISES E CONFERENCIAS</t>
  </si>
  <si>
    <t>CE1798</t>
  </si>
  <si>
    <t>LUIZ DAMAZIO PEREIRA DE AQUINO</t>
  </si>
  <si>
    <t>SETOR DE TRIAGEM E APURAÇÃO DE DADOS</t>
  </si>
  <si>
    <t>CE833</t>
  </si>
  <si>
    <t>MARCOS AUGUSTO MARINHO RODRIGUES</t>
  </si>
  <si>
    <t>SEÇÃO DE ARQUIVO E DEPÓSITO JUDICIAL</t>
  </si>
  <si>
    <t>SETOR TECNICO DE DEPOSITO JUDICIAL</t>
  </si>
  <si>
    <t>CE438</t>
  </si>
  <si>
    <t>CELIO BEZERRA DE CARVALHO</t>
  </si>
  <si>
    <t>CE946</t>
  </si>
  <si>
    <t>FRANCISCO DIAS MAIA NETO</t>
  </si>
  <si>
    <t>CE1730</t>
  </si>
  <si>
    <t>ANSELMO OLIVEIRA DA SILVA</t>
  </si>
  <si>
    <t>CE1636</t>
  </si>
  <si>
    <t>MILENNA CRISOSTOMO CHAVES PEQUENO GOMES</t>
  </si>
  <si>
    <t>CE526</t>
  </si>
  <si>
    <t>VLADIA MARIA DE LIRA GONDIM</t>
  </si>
  <si>
    <t>CE347</t>
  </si>
  <si>
    <t>EMANOEL TORRES DE ABREU PEREIRA</t>
  </si>
  <si>
    <t>CE1569</t>
  </si>
  <si>
    <t>ANNE KAROLINE ANDRADE ROCHA</t>
  </si>
  <si>
    <t>CE549</t>
  </si>
  <si>
    <t>MARIA LUCIANA OLIVEIRA ARRUDA</t>
  </si>
  <si>
    <t>SEÇÃO DE CENTRAL DE MANDADOS</t>
  </si>
  <si>
    <t>SETOR DE GESTAO DE EXPEDIENTES E PLANTAO</t>
  </si>
  <si>
    <t>CE1113</t>
  </si>
  <si>
    <t>SABINO GOMES APOLONIO FILHO</t>
  </si>
  <si>
    <t>AJOJ</t>
  </si>
  <si>
    <t>CE1008</t>
  </si>
  <si>
    <t>ADRIANA MARIA LINHARES PONTE CAMPOS</t>
  </si>
  <si>
    <t>CE988</t>
  </si>
  <si>
    <t>ALBERTO JUNIOR TEIXEIRA DE VASCONCELOS</t>
  </si>
  <si>
    <t>CE612</t>
  </si>
  <si>
    <t>ALEXANDRE LIMA BRUNO PEREIRA</t>
  </si>
  <si>
    <t>CE618</t>
  </si>
  <si>
    <t>ALICE MARIA BARROS DE OLIVEIRA</t>
  </si>
  <si>
    <t>CE1005</t>
  </si>
  <si>
    <t>ALYSON HELNE DE CASTRO SALES</t>
  </si>
  <si>
    <t>CE1233</t>
  </si>
  <si>
    <t>ANA CRISTINA ROBERTO DE SENA LIMA</t>
  </si>
  <si>
    <t>CE389</t>
  </si>
  <si>
    <t>ANA GLAUBIA DE SOUSA PAIVA</t>
  </si>
  <si>
    <t>CE1561</t>
  </si>
  <si>
    <t>ANA VIRGINIA BASTOS MONTEZUMA</t>
  </si>
  <si>
    <t>CE813</t>
  </si>
  <si>
    <t>ANTONIA CLAUDIA FERREIRA TORRES</t>
  </si>
  <si>
    <t>CE432</t>
  </si>
  <si>
    <t>APOLONIO NUNES DE OLIVEIRA JUNIOR</t>
  </si>
  <si>
    <t>CE355</t>
  </si>
  <si>
    <t>BALBINA MARTINS MOREIRA</t>
  </si>
  <si>
    <t>CE1315</t>
  </si>
  <si>
    <t>CARLOS ANTONIO MOREIRA DOS SANTOS</t>
  </si>
  <si>
    <t>CE402</t>
  </si>
  <si>
    <t>CICERO ROGERIO PEREIRA DE OLIVEIRA</t>
  </si>
  <si>
    <t>CE531</t>
  </si>
  <si>
    <t>CID BRASIL DE ABREU</t>
  </si>
  <si>
    <t>CE524</t>
  </si>
  <si>
    <t>CLAUDIO COSTA STUDART SOARES</t>
  </si>
  <si>
    <t>CE1207</t>
  </si>
  <si>
    <t>DARCIO RONNIERY RANGEL DA SILVA</t>
  </si>
  <si>
    <t>CE538</t>
  </si>
  <si>
    <t>DOROTHEA PINTO PESSOA</t>
  </si>
  <si>
    <t>CE387</t>
  </si>
  <si>
    <t>EDMAR MARTINS NETO</t>
  </si>
  <si>
    <t>CE792</t>
  </si>
  <si>
    <t>EDUARDO MATOS BIERMANN</t>
  </si>
  <si>
    <t>CE1218</t>
  </si>
  <si>
    <t>FABIO CARTAXO LINHARES</t>
  </si>
  <si>
    <t>CE807</t>
  </si>
  <si>
    <t>FERNANDO VASCONCELOS FONTENELE JUNIOR</t>
  </si>
  <si>
    <t>CE1707</t>
  </si>
  <si>
    <t>FILIPE MARIANO RIBEIRO</t>
  </si>
  <si>
    <t>CE1227</t>
  </si>
  <si>
    <t>FLAVIA COSTA BARROS TEIXEIRA</t>
  </si>
  <si>
    <t>CE597</t>
  </si>
  <si>
    <t>FRANCISCA DULCELINA FEITOSA CAVALCANTE</t>
  </si>
  <si>
    <t>CE1145</t>
  </si>
  <si>
    <t>FRANCISCO DAS CHAGAS MAGALHAES QUARIGUASI FROTA</t>
  </si>
  <si>
    <t>CE561</t>
  </si>
  <si>
    <t>FRANCISCO EDSON SILVA</t>
  </si>
  <si>
    <t>CE1007</t>
  </si>
  <si>
    <t>FRANCISCO HAMILTON BARBOSA DA SILVA</t>
  </si>
  <si>
    <t>CE583</t>
  </si>
  <si>
    <t>FRANCISCO JOSE MALVEIRA DE LEMOS</t>
  </si>
  <si>
    <t>CE419</t>
  </si>
  <si>
    <t>FRANCISCO LAURO GOMES</t>
  </si>
  <si>
    <t>CE399</t>
  </si>
  <si>
    <t>FRANCISCO ROBERTO DE MELO VIANA</t>
  </si>
  <si>
    <t>CE1006</t>
  </si>
  <si>
    <t>FRANCISCO ROGER LINS SANTOS DUMONT</t>
  </si>
  <si>
    <t>CE424</t>
  </si>
  <si>
    <t>FRANCISCO ROMILDO MARTINS</t>
  </si>
  <si>
    <t>CE739</t>
  </si>
  <si>
    <t>GLAUCIA MAIA MENDES SALES</t>
  </si>
  <si>
    <t>CE774</t>
  </si>
  <si>
    <t>GLEISE DOMINGOS MAIA DA SILVA</t>
  </si>
  <si>
    <t>CE1154</t>
  </si>
  <si>
    <t>HELENA ARAUJO PESSOA DE ANDRADE</t>
  </si>
  <si>
    <t>CE1666</t>
  </si>
  <si>
    <t>IEDA ALEXANDRINO LOIOLA</t>
  </si>
  <si>
    <t>CE427</t>
  </si>
  <si>
    <t>JANETH DE PAULA BARBOSA</t>
  </si>
  <si>
    <t>CE808</t>
  </si>
  <si>
    <t>JOSE EMILIO ARAUJO LIMA</t>
  </si>
  <si>
    <t>CE677</t>
  </si>
  <si>
    <t>JOSE SOLON DE SOUZA FILHO</t>
  </si>
  <si>
    <t>CE1458</t>
  </si>
  <si>
    <t>LUIZ EDVANDRO BEZERRA CAVALCANTE JUNIOR</t>
  </si>
  <si>
    <t>CE1592</t>
  </si>
  <si>
    <t>MARCIA ASSUNCAO DE MEDEIROS</t>
  </si>
  <si>
    <t>CE917</t>
  </si>
  <si>
    <t>MARCIA LIMA NASCIMENTO NEVES</t>
  </si>
  <si>
    <t>CE384</t>
  </si>
  <si>
    <t>MARCIA NOVAES RAMALHO PADILHA</t>
  </si>
  <si>
    <t>CE571</t>
  </si>
  <si>
    <t>MARIA DE JESUS SARAIVA DE SOUZA</t>
  </si>
  <si>
    <t>CE441</t>
  </si>
  <si>
    <t>MARIA DO CARMO RODRIGUES ANDRADE</t>
  </si>
  <si>
    <t>CE388</t>
  </si>
  <si>
    <t>MARIA EVERLENE LIMA DE OLIVEIRA MORAIS</t>
  </si>
  <si>
    <t>CE1314</t>
  </si>
  <si>
    <t>MARIANA PEREIRA BARBOZA MORAES</t>
  </si>
  <si>
    <t>CE1533</t>
  </si>
  <si>
    <t>MARIANA SANTIAGO DE SA QUEIROZ</t>
  </si>
  <si>
    <t>CE1473</t>
  </si>
  <si>
    <t>MAURICIO VERLAINE TAUMATURGO PAIVA</t>
  </si>
  <si>
    <t>CE1261</t>
  </si>
  <si>
    <t>MAYRA CHAGAS CAVALCANTE DIOGENES</t>
  </si>
  <si>
    <t>CE1499</t>
  </si>
  <si>
    <t>NICE MARIA SANTIAGO DE AGUIAR</t>
  </si>
  <si>
    <t>CE348</t>
  </si>
  <si>
    <t>PABLO CARVALHO ALBUQUERQUE</t>
  </si>
  <si>
    <t>CE1357</t>
  </si>
  <si>
    <t>PAULO HENRIQUE GALVAO DE MELO</t>
  </si>
  <si>
    <t>CE843</t>
  </si>
  <si>
    <t>PAULO SERGIO LEITE FERNANDES</t>
  </si>
  <si>
    <t>CE540</t>
  </si>
  <si>
    <t>PEDRO AUGUSTO MAGALHAES PINTO</t>
  </si>
  <si>
    <t>CE879</t>
  </si>
  <si>
    <t>PEDRO CLAUDIO MEDEIROS</t>
  </si>
  <si>
    <t>CE1048</t>
  </si>
  <si>
    <t>RAQUEL MATOS TORQUATO BARROS DE LIMA</t>
  </si>
  <si>
    <t>CE1390</t>
  </si>
  <si>
    <t>ROBERIO FERREIRA LIMA JUNIOR</t>
  </si>
  <si>
    <t>CE788</t>
  </si>
  <si>
    <t>ROBERTO MAURICIO GUIMARAES</t>
  </si>
  <si>
    <t>CE385</t>
  </si>
  <si>
    <t>ROGERIO COLAÇO DE ALMEIDA</t>
  </si>
  <si>
    <t>CE1010</t>
  </si>
  <si>
    <t>ROBERTO LEAL FONTES ALBANO</t>
  </si>
  <si>
    <t>CE602</t>
  </si>
  <si>
    <t>SALOMAO LOPES TEIXEIRA</t>
  </si>
  <si>
    <t>CE1536</t>
  </si>
  <si>
    <t>SEBASTIAO DE AZEVEDO RIOS ALVES</t>
  </si>
  <si>
    <t>CE569</t>
  </si>
  <si>
    <t>SERGIO RICARDO SANTOS DAMASCENO</t>
  </si>
  <si>
    <t>CE1439</t>
  </si>
  <si>
    <t>THEMIS PINHEIRO FEIJAO BRIAND</t>
  </si>
  <si>
    <t>CE928</t>
  </si>
  <si>
    <t>MARIA INES MEIRELES BARGUIL</t>
  </si>
  <si>
    <t>CE433</t>
  </si>
  <si>
    <t>WEBSTER OLIVEIRA DIAS</t>
  </si>
  <si>
    <t>CE1777</t>
  </si>
  <si>
    <t>ADRIANA HELENA MONTEIRO MOREIRA</t>
  </si>
  <si>
    <t>CENTRO JUDICIÁRIO DE SOLUÇÃO CONSENSUAL DE CONFLITOS E CIDADANIA (CENTRAL DE CONCILIAÇÃO)</t>
  </si>
  <si>
    <t>SETOR TECNICO DE APOIO A GESTAO DE AUDIENCIAS(CENTRAL DE VIDEOCONFERENCIA)</t>
  </si>
  <si>
    <t>CE1801</t>
  </si>
  <si>
    <t>AGUINALDO BEZERRA DAMASCENO</t>
  </si>
  <si>
    <t>CE1172</t>
  </si>
  <si>
    <t>LUIZ GONZAGA FEITOSA DO CARMO</t>
  </si>
  <si>
    <t>CE1036</t>
  </si>
  <si>
    <t>ANTONIO ADRIANO CIDRAO PINHEIRO</t>
  </si>
  <si>
    <t>CE1829</t>
  </si>
  <si>
    <t>VÂNIA MARIA BRAGA MENDES</t>
  </si>
  <si>
    <t>NIAP</t>
  </si>
  <si>
    <t>GABINETE DE DIRETOR DO NÚCLEO DE INFRAESTRUTURA E ADMINISTRAÇÃO PREDIAL</t>
  </si>
  <si>
    <t>CE1325</t>
  </si>
  <si>
    <t>JOSE CARLITO MAXIMO BASTOS</t>
  </si>
  <si>
    <t>CE1823</t>
  </si>
  <si>
    <t>EWERTON HENRIQUE BEZERRA LIMA</t>
  </si>
  <si>
    <t>SEÇAO DE INFRAESTRUTURA E ENGENHARIA</t>
  </si>
  <si>
    <t>CE1836</t>
  </si>
  <si>
    <t>JOAO BATISTA EVANGELISTA</t>
  </si>
  <si>
    <t>SETOR DE INFRAESTRUTURA E MANUTENÇAO PREDITIVA</t>
  </si>
  <si>
    <t>CE582</t>
  </si>
  <si>
    <t>MARTA SAMPAIO ARAUJO</t>
  </si>
  <si>
    <t>CE1893</t>
  </si>
  <si>
    <t>DAVISSON SILVA MACIEL DA MATA</t>
  </si>
  <si>
    <t>AJEC</t>
  </si>
  <si>
    <t>SETOR DE PLANEJAMENTO E ORÇAMENTO/SPO/SIE/NIAP/SA-CE</t>
  </si>
  <si>
    <t>CE1339</t>
  </si>
  <si>
    <t>ROBSON DE JESUS GOMES</t>
  </si>
  <si>
    <t>CE1844</t>
  </si>
  <si>
    <t>JULIANA DE ARAUJO DINIZ</t>
  </si>
  <si>
    <t>SETOR DE ARQUITETURA E AMBIENTAÇAO</t>
  </si>
  <si>
    <t>CE1038</t>
  </si>
  <si>
    <t>FERNANDA LUCIA GONÇALVES FRANKLIN</t>
  </si>
  <si>
    <t>SEÇÃO DE CONSERVAÇÃO PREDIAL</t>
  </si>
  <si>
    <t>CE333</t>
  </si>
  <si>
    <t>MARIA CIRENE DA SILVA GUIMARAES</t>
  </si>
  <si>
    <t>CE431</t>
  </si>
  <si>
    <t>CARLA PATRICIA REGO MAGALHAES</t>
  </si>
  <si>
    <t>CE499</t>
  </si>
  <si>
    <t>FRANCISCO RONALDO MARQUES PONTES</t>
  </si>
  <si>
    <t>SETOR DE SERVIÇOS GERAIS</t>
  </si>
  <si>
    <t>CE1788</t>
  </si>
  <si>
    <t>FRANCISCO EUGENIO GURJAO SANTOS</t>
  </si>
  <si>
    <t>SETOR TECNICO DE APOIO AS SUBSEÇOES</t>
  </si>
  <si>
    <t>CE1802</t>
  </si>
  <si>
    <t>HEDWIO CARVALHO E SILVA</t>
  </si>
  <si>
    <t>AJ-INFORMATICA</t>
  </si>
  <si>
    <t>DTIC</t>
  </si>
  <si>
    <t>GABINETE DE DIRETOR DA DIVISÃO DE TECNOLOGIA DA INFORMAÇÃO</t>
  </si>
  <si>
    <t>CE963</t>
  </si>
  <si>
    <t>EMMANUEL PINTO PINHEIRO</t>
  </si>
  <si>
    <t>SETOR DE CENTRAL DE SERVIÇOS DE TIC</t>
  </si>
  <si>
    <t>CE959</t>
  </si>
  <si>
    <t>LUIZ EDUARDO BARBOSA</t>
  </si>
  <si>
    <t>NI</t>
  </si>
  <si>
    <t>GABINETE DE DIRETOR DO NÚCLEO DE INOVAÇÃO</t>
  </si>
  <si>
    <t>CE724</t>
  </si>
  <si>
    <t>GERVASIO KAYSER PINHEIRO DA SILVA</t>
  </si>
  <si>
    <t>SEÇÃO DE SISTEMAS</t>
  </si>
  <si>
    <t>CE1883</t>
  </si>
  <si>
    <t>FRANCISCO WILTON MENDES DE SANTANA</t>
  </si>
  <si>
    <t>AJ-DESENVOLVIMENTO</t>
  </si>
  <si>
    <t>SETOR TECNICO DE TESTES E QUALIDADE</t>
  </si>
  <si>
    <t>CE1945</t>
  </si>
  <si>
    <t>DAVI MENESES BESA</t>
  </si>
  <si>
    <t>CE1017</t>
  </si>
  <si>
    <t>ANDREA MENDES BARROS LINS</t>
  </si>
  <si>
    <t>SETOR ANALISE E DESENVOLVIMENTO DE SISTEMAS</t>
  </si>
  <si>
    <t>CE937</t>
  </si>
  <si>
    <t>GLAUCE SIEBRA MOREIRA</t>
  </si>
  <si>
    <t>SEÇÃO DE SUPORTE</t>
  </si>
  <si>
    <t>CE952</t>
  </si>
  <si>
    <t>MARCOS AURELIO ANDRADE CAVALCANTE</t>
  </si>
  <si>
    <t>CE479</t>
  </si>
  <si>
    <t>LUIS JOSE MACHADO DE SOUSA</t>
  </si>
  <si>
    <t>SEÇÃO DE INFRAESTRUTURA</t>
  </si>
  <si>
    <t>CE812</t>
  </si>
  <si>
    <t>GILVAN GOMES DA SILVA</t>
  </si>
  <si>
    <t>SETOR DE GESTAO DA OPERAÇAO</t>
  </si>
  <si>
    <t>CE1828</t>
  </si>
  <si>
    <t>JOSE SALATIEL DE ALENCAR FILHO</t>
  </si>
  <si>
    <t>AJ-INFRAESTRUTURA</t>
  </si>
  <si>
    <t>SETOR TECNICO DE SERVIÇOS DE INFRAESTRUTURA</t>
  </si>
  <si>
    <t>CE1863</t>
  </si>
  <si>
    <t>LUIS FERNANDO BARBOSA PALMEIRA</t>
  </si>
  <si>
    <t>TJ-INFORMÁTICA</t>
  </si>
  <si>
    <t>SETOR DE SEGURANÇA DA INFORMAÇÃO</t>
  </si>
  <si>
    <t>CE1821</t>
  </si>
  <si>
    <t>VINICIUS DANTAS E MELO</t>
  </si>
  <si>
    <t>SETOR TÉCNICO DE GESTÃO DE DADOS</t>
  </si>
  <si>
    <t>CE 1974</t>
  </si>
  <si>
    <t>CLEIRTON MONTE DE SOUSA</t>
  </si>
  <si>
    <t>CE1819</t>
  </si>
  <si>
    <t>RAIMUNDO GLAUBER FREIRE DE ANDRADE</t>
  </si>
  <si>
    <t>SEÇÃO DE GOVERNANÇA DE TIC E APOIO A LGPD</t>
  </si>
  <si>
    <t>CE 2005</t>
  </si>
  <si>
    <t>CARLOS HENRIQUE HIPOLITO DE SOUSA</t>
  </si>
  <si>
    <t>CE 2006</t>
  </si>
  <si>
    <t>MICHEL PEREIRA MACHADO</t>
  </si>
  <si>
    <t>CE 2009</t>
  </si>
  <si>
    <t>ELPIDIO FAHNNEY FORTE E SILVA</t>
  </si>
  <si>
    <t>CE 1973</t>
  </si>
  <si>
    <t>ANDRE BRUNO JUSTA CRUZ</t>
  </si>
  <si>
    <t>CE 1999</t>
  </si>
  <si>
    <t>IGOR SOUZA OSTERNO</t>
  </si>
  <si>
    <t>CE 1997</t>
  </si>
  <si>
    <t>HUGO DA SILVA MATOS</t>
  </si>
  <si>
    <t>SAMARA CAVALCANTE FERNANDES</t>
  </si>
  <si>
    <t>NUFICOP</t>
  </si>
  <si>
    <t>GABINETE DO DIRETOR DO NUCLEO DE GESTÃO ORÇAMENTÁRIA, FINANCEIRA, CONTÁBIL E PATRIMONIAL</t>
  </si>
  <si>
    <t>CE1843</t>
  </si>
  <si>
    <t>JULIANA ALMEIDA COSTA</t>
  </si>
  <si>
    <t>AJ-CONTADORIA</t>
  </si>
  <si>
    <t>SETOR DE CONTABILIDADE</t>
  </si>
  <si>
    <t>CE1410</t>
  </si>
  <si>
    <t>ROSANA DANIELE COUTINHO DOS SANTOS</t>
  </si>
  <si>
    <t>CE304</t>
  </si>
  <si>
    <t>JOSSIE HOLANDA DE OLIVEIRA</t>
  </si>
  <si>
    <t>CE1781</t>
  </si>
  <si>
    <t>GEOVANI COSTA BEZERRA</t>
  </si>
  <si>
    <t>SEÇÃO DE LICITAÇÕES</t>
  </si>
  <si>
    <t>SETOR DE PROCEDIMENTO LICITATORIO/SPL/SL/GDN/NUFICOP</t>
  </si>
  <si>
    <t>CE1573</t>
  </si>
  <si>
    <t>DANIEL QUEIROZ DE MENEZES</t>
  </si>
  <si>
    <t>SEÇÃO DE ORÇAMENTO E FINANÇAS</t>
  </si>
  <si>
    <t>CE465</t>
  </si>
  <si>
    <t>FABIO DE LIMA</t>
  </si>
  <si>
    <t>CE815</t>
  </si>
  <si>
    <t>MARCOS VENICIO COSTA</t>
  </si>
  <si>
    <t>SEÇAO DE ORÇAMENTO E FINANÇAS/SOF/GDN/NFP/GDS-CE</t>
  </si>
  <si>
    <t>CE1178</t>
  </si>
  <si>
    <t>LENILTON DE SOUSA RIBEIRO</t>
  </si>
  <si>
    <t>SETOR TECNICO DE PAGAMENTOS E RETENÇÕES</t>
  </si>
  <si>
    <t>CE1185</t>
  </si>
  <si>
    <t>SIDNEY FERNANDES DA SILVA</t>
  </si>
  <si>
    <t>SETOR DE EXECUCAO FINANCEIRA</t>
  </si>
  <si>
    <t>CE1634</t>
  </si>
  <si>
    <t>ISLAN TAYMON FONTELES</t>
  </si>
  <si>
    <t>CE1134</t>
  </si>
  <si>
    <t>ANTONIO EDILNAR RIBEIRO MENDES</t>
  </si>
  <si>
    <t>SETOR DE PROCEDIMENTO LICITATORIO</t>
  </si>
  <si>
    <t>CE1475</t>
  </si>
  <si>
    <t>HERMINIA LUCIA SANTOS DE OLIVEIRA</t>
  </si>
  <si>
    <t>SETOR DE PESQUISA E CERTAME</t>
  </si>
  <si>
    <t>CE1421</t>
  </si>
  <si>
    <t>NATHALIE PERSIVO FONTENELLE BARROS</t>
  </si>
  <si>
    <t>CE1353</t>
  </si>
  <si>
    <t>ANIBAL MATOS PITA</t>
  </si>
  <si>
    <t>SEÇÃO DE PATRIMÔNIO E ALMOXARIFADO</t>
  </si>
  <si>
    <t>SETOR DE ALMOXARIFADO</t>
  </si>
  <si>
    <t>CE490</t>
  </si>
  <si>
    <t>ALEXANDRE EMERSON TEIXEIRA MOURAO</t>
  </si>
  <si>
    <t>CE1295</t>
  </si>
  <si>
    <t>VICTOR EMANOEL DE CASTRO RIBEIRO</t>
  </si>
  <si>
    <t>CE1918</t>
  </si>
  <si>
    <t>SIMONE VIANA DE ARAUJO</t>
  </si>
  <si>
    <t>CE1070</t>
  </si>
  <si>
    <t>ALMERINDA GONDIM DE SOUZA MARTINS</t>
  </si>
  <si>
    <t>SEÇÃO DE CONTRATOS</t>
  </si>
  <si>
    <t>SETOR DE CONFERENCIA E CONTROLE</t>
  </si>
  <si>
    <t>CE1790</t>
  </si>
  <si>
    <t>ANA EMILIA CARVALHO VENTURA BARROS</t>
  </si>
  <si>
    <t>SETOR DE CALCULO E RETENÇÕES TRABALHISTAS</t>
  </si>
  <si>
    <t>CE1122</t>
  </si>
  <si>
    <t>CE1507</t>
  </si>
  <si>
    <t>VICTOR BRENO DE FREITAS COELHO</t>
  </si>
  <si>
    <t>CE566</t>
  </si>
  <si>
    <t>MARIA MARLENE ANDRADE</t>
  </si>
  <si>
    <t>CE902</t>
  </si>
  <si>
    <t>ILTON APARECIDO PAIVA</t>
  </si>
  <si>
    <t>NEGI</t>
  </si>
  <si>
    <t xml:space="preserve">DIRETOR </t>
  </si>
  <si>
    <t>CE1912</t>
  </si>
  <si>
    <t>TATIANA CAMPOS MENDES</t>
  </si>
  <si>
    <t xml:space="preserve">SEÇÃO DE INTEGRIDADE E GESTÃO DE PROCESSOS </t>
  </si>
  <si>
    <t>SETOR TÉCNICO SOCIOAMBIENTAL</t>
  </si>
  <si>
    <t>CE1940</t>
  </si>
  <si>
    <t>EDUARDO OLIVEIRA SANTOS</t>
  </si>
  <si>
    <t>SEÇÃO DE GESTÃO ESTRATEGICA E GOVERNANÇAS</t>
  </si>
  <si>
    <t>GABINETE DO DIRETOR DO NÚCLEO DE ESTRATEGIA</t>
  </si>
  <si>
    <t>CE1881</t>
  </si>
  <si>
    <t>RAQUEL AGUIAR DIAS</t>
  </si>
  <si>
    <t>SEÇÃO DE GESTÃO ESTRATEGICA E GERENCIAMENTO DE DEMANDAS</t>
  </si>
  <si>
    <t>CE1722</t>
  </si>
  <si>
    <t>DEIVE ROSE QUEIROZ DA SILVA TINDOU</t>
  </si>
  <si>
    <t>NUGEP</t>
  </si>
  <si>
    <t>GABINETE DO DIRETOR DO NÚCLEO DE GESTÃO DE PESSOAS</t>
  </si>
  <si>
    <t>CE1835</t>
  </si>
  <si>
    <t>JANUSE FEITOSA MACEDO PASSOS</t>
  </si>
  <si>
    <t>SEÇÃO DE AUTOGESTÃO EM SAÚDE</t>
  </si>
  <si>
    <t>CE1809</t>
  </si>
  <si>
    <t>ELICE MAIA CRESCENCIO PEREIRA</t>
  </si>
  <si>
    <t>SEÇÃO DE LEGISLAÇÃO DE PESSOAL</t>
  </si>
  <si>
    <t>CE1025</t>
  </si>
  <si>
    <t>LEVI RODRIGUES DE MOURA</t>
  </si>
  <si>
    <t>SETOR DE APOSENTADORIAS E PENSOES</t>
  </si>
  <si>
    <t>CE318</t>
  </si>
  <si>
    <t>AILA CASTRO DA ROCHA</t>
  </si>
  <si>
    <t>CE1419</t>
  </si>
  <si>
    <t>VIVIANE MAIA CORDEIRO GOMES FERNANDES</t>
  </si>
  <si>
    <t>SEÇÃO DE APOIO ESTRATEGICO EM GESTÃO DE PESSOAS</t>
  </si>
  <si>
    <t>CE781</t>
  </si>
  <si>
    <t>JOSE OLI NUNES GUEDES</t>
  </si>
  <si>
    <t>SEÇÃO DE PROVIMENTO E INFORMAÇÕES FUNCIONAIS</t>
  </si>
  <si>
    <t>CE1467</t>
  </si>
  <si>
    <t>JOSE VALTER MENDES JUNIOR</t>
  </si>
  <si>
    <t>SETOR DE CEDIDOS E GESTÃO DE PROCESSOS FUNCIONAIS</t>
  </si>
  <si>
    <t>CE398</t>
  </si>
  <si>
    <t>FABIO SARAIVA LOPES CHAVES</t>
  </si>
  <si>
    <t>CE1904</t>
  </si>
  <si>
    <t>RODRIGO APRIGIO DA SILVA</t>
  </si>
  <si>
    <t>CE1328</t>
  </si>
  <si>
    <t>ANTONIO JOSE VISGUEIRA NOBRE</t>
  </si>
  <si>
    <t>SEÇÃO DE FOLHA DE PAGAMENTO</t>
  </si>
  <si>
    <t>SETOR DE BENEFICIOS E GESTAO DE SISTEMAS DE
FOLHA</t>
  </si>
  <si>
    <t>CE556</t>
  </si>
  <si>
    <t>ANTONIA ADRIANA DE LIMA MOURA</t>
  </si>
  <si>
    <t>SETOR DE ANALISE E CONFERENCIA</t>
  </si>
  <si>
    <t>CE1693</t>
  </si>
  <si>
    <t>JOANA D ARC OLIVEIRA MOTA</t>
  </si>
  <si>
    <t>CE1090</t>
  </si>
  <si>
    <t>LUCILLE CHRISTINE MARQUES DE OLIVEIRA</t>
  </si>
  <si>
    <t>SETOR DE PROCESSAMENTO E CONTROLE</t>
  </si>
  <si>
    <t>CE1886</t>
  </si>
  <si>
    <t>HUMBERTO BALBINO DE MATOS</t>
  </si>
  <si>
    <t>CE1426</t>
  </si>
  <si>
    <t>FABIO MOTA FURTADO</t>
  </si>
  <si>
    <t>SUPERVISOR</t>
  </si>
  <si>
    <t>CE1991</t>
  </si>
  <si>
    <t>BRUNO FACUNDO FURTADO</t>
  </si>
  <si>
    <t>CE1992</t>
  </si>
  <si>
    <t>KLEFFERSON MARQUES SILVA</t>
  </si>
  <si>
    <t>CE488</t>
  </si>
  <si>
    <t>SONIA DUARTE FERREIRA</t>
  </si>
  <si>
    <t>SEÇÃO DE ATENÇÃO À SAÚDE E QUALIDADE DE VIDA</t>
  </si>
  <si>
    <t>CE831</t>
  </si>
  <si>
    <t>CLEIDE FERREIRA DE SOUZA</t>
  </si>
  <si>
    <t>SETOR DE PSICOLOGIA</t>
  </si>
  <si>
    <t>CE1917</t>
  </si>
  <si>
    <t>KATIUSCIA DE AZEVEDO BARBOSA SANTOS</t>
  </si>
  <si>
    <t>CE837</t>
  </si>
  <si>
    <t>FRANCISCO JOSE MEDEIROS DE ANDRADE</t>
  </si>
  <si>
    <t>CE1817</t>
  </si>
  <si>
    <t>JULIANA CORREA DA COSTA RIBEIRO</t>
  </si>
  <si>
    <t>AJ-MEDICINA</t>
  </si>
  <si>
    <t>CE2007</t>
  </si>
  <si>
    <t>JOSE RONIER DE FRANCA SILVA</t>
  </si>
  <si>
    <t>CE1811</t>
  </si>
  <si>
    <t>CARLOS GARCIA FILHO</t>
  </si>
  <si>
    <t>SETOR MÉDICO</t>
  </si>
  <si>
    <t>CE370</t>
  </si>
  <si>
    <t>FRANCISCO MADSON PARENTE GOMES</t>
  </si>
  <si>
    <t>SETOR TECNICO DE QUALIDADE DE VIDA</t>
  </si>
  <si>
    <t>CE1556</t>
  </si>
  <si>
    <t>GENESI SANTOS OLIVEIRA</t>
  </si>
  <si>
    <t>SEÇÃO DE GESTAO DO CONHECIMENTO E INOVAÇAO EM
EDUCAÇAO</t>
  </si>
  <si>
    <t>SETOR DE DESENVOLVIMENTO DE COMPETENCIAS E GESTAO DE PROJETOS
EDUCACIONAIS</t>
  </si>
  <si>
    <t>CE1205</t>
  </si>
  <si>
    <t>GUSTAVO BARREIRA RODRIGUES</t>
  </si>
  <si>
    <t>CE1416</t>
  </si>
  <si>
    <t>MARIA APARECIDA DO CARMO</t>
  </si>
  <si>
    <t>SETOR TECNICO DE APOIO A ESMAFE</t>
  </si>
  <si>
    <t>CE363</t>
  </si>
  <si>
    <t>ALEXANDRE MAGNO SA LUNA</t>
  </si>
  <si>
    <t>NIST</t>
  </si>
  <si>
    <t>SEÇÃO DE SEGURANÇA</t>
  </si>
  <si>
    <t>CE330</t>
  </si>
  <si>
    <t>ALUIZIO DE SOUSA MIRANDA</t>
  </si>
  <si>
    <t>CE558</t>
  </si>
  <si>
    <t>ANTONIO OELDO DE OLIVEIRA RIBEIRO</t>
  </si>
  <si>
    <t>CE700</t>
  </si>
  <si>
    <t>AURELIO SAMPAIO LOURENCO</t>
  </si>
  <si>
    <t>CE364</t>
  </si>
  <si>
    <t>CARLOS EUGENIO PONTE E SILVA</t>
  </si>
  <si>
    <t>CE1382</t>
  </si>
  <si>
    <t>CE1047</t>
  </si>
  <si>
    <t>DANIEL FARIAS DE MELO</t>
  </si>
  <si>
    <t>CE904</t>
  </si>
  <si>
    <t>CE777</t>
  </si>
  <si>
    <t>CE875</t>
  </si>
  <si>
    <t>FRANCISCO DA COSTA VASCONCELOS</t>
  </si>
  <si>
    <t>CE874</t>
  </si>
  <si>
    <t>FRANCISCO DE ASSIS CASTRO MARTINS</t>
  </si>
  <si>
    <t>CE877</t>
  </si>
  <si>
    <t>FRANCISCO EDIVANDRO DO NASCIMENTO</t>
  </si>
  <si>
    <t>CE614</t>
  </si>
  <si>
    <t>FRANCISCO JOSE DA CRUZ MARTINS</t>
  </si>
  <si>
    <t>CE1192</t>
  </si>
  <si>
    <t>FRANCISCO WILLAME GOMES VASCONCELOS</t>
  </si>
  <si>
    <t>CE741</t>
  </si>
  <si>
    <t>GILBERTO HENRIQUE DE MELO NETO</t>
  </si>
  <si>
    <t>CE1862</t>
  </si>
  <si>
    <t>GIOVANE MARTIN DE SOUZA</t>
  </si>
  <si>
    <t>GABINETE DE DIRETOR DO NÚCLEO DE INTELIGÊNCIA, SEGURANÇA E TRANSPORTE</t>
  </si>
  <si>
    <t>CE1043</t>
  </si>
  <si>
    <t>JALMIR GOMES DE MELO</t>
  </si>
  <si>
    <t>CE1354</t>
  </si>
  <si>
    <t>JOSE MARIA FELIPE JUNIOR</t>
  </si>
  <si>
    <t>CE636</t>
  </si>
  <si>
    <t>JULIO CESAR ROCHA LOBO</t>
  </si>
  <si>
    <t>CE1044</t>
  </si>
  <si>
    <t>LEONARDO AQUINO CAMPOS</t>
  </si>
  <si>
    <t>SETOR DE TRANSPORTE E BRIGADA DE INCENDIO</t>
  </si>
  <si>
    <t>CE810</t>
  </si>
  <si>
    <t>LEONIDAS RODRIGUES DE OLIVEIRA</t>
  </si>
  <si>
    <t>CE365</t>
  </si>
  <si>
    <t>LUCIANO ALVES DE AGUIAR</t>
  </si>
  <si>
    <t>CE1042</t>
  </si>
  <si>
    <t>LUIZ ANTONIO DE AQUINO SANTOS</t>
  </si>
  <si>
    <t>CE1071</t>
  </si>
  <si>
    <t>LUIZ LEITE DE CARVALHO NETO</t>
  </si>
  <si>
    <t>CE1256</t>
  </si>
  <si>
    <t>MARCELO CARNEIRO DE FREITAS</t>
  </si>
  <si>
    <t>CE257</t>
  </si>
  <si>
    <t>MARCOS ANTONIO GADELHA DE CARVALHO</t>
  </si>
  <si>
    <t>CE726</t>
  </si>
  <si>
    <t>RANULFO DE FARIAS MACIEL FILHO</t>
  </si>
  <si>
    <t>CE1045</t>
  </si>
  <si>
    <t>ROMULO TAUIL VITORINO</t>
  </si>
  <si>
    <t>CE735</t>
  </si>
  <si>
    <t>JOSE MATIAS NETO</t>
  </si>
  <si>
    <t>SETOR DE INTELIGÊNCIA</t>
  </si>
  <si>
    <t>CE222</t>
  </si>
  <si>
    <t>JOAO BATISTA CATANDUVA ARAGÃO</t>
  </si>
  <si>
    <t>CE1423</t>
  </si>
  <si>
    <t>IGOR CAVALCANTE DE OLIVEIRA</t>
  </si>
  <si>
    <t>Entrou José Valter Mendes Junior data inicio: 10/02/2020, removido da 31 ª vara sobral, para Fortaleza (lotado na Seção de cadastro)</t>
  </si>
  <si>
    <t>Ajuste: FRANCISCO JOSE VALE DE MORAIS saiu da 15ª vara df fim:17/11/2019 para Sede - Ceman  NJ-Secad dt inicio:28/11/2019</t>
  </si>
  <si>
    <t>Ajuste: SABINO GOMES APOLONIO FILHO saiu da ceman NJ Secad dt fim: 27/11/2019 para a 17ª vara</t>
  </si>
  <si>
    <t>MARÇO 2020:</t>
  </si>
  <si>
    <t>ALESSANDRO PORTILHO DE MOURA: entrou na Secad dt início: 02/03/2020; veio do Apoio Jud Itapipoca</t>
  </si>
  <si>
    <t>AUGUSTO DE QUEIROZ LIMA: saiu dt fim: 31/03/2020 para a 27ª vara</t>
  </si>
  <si>
    <t>FRANCISCO JOSE PEREIRA DE OLIVEIRA:saiu aposentadoria dt fim:04/03/2020</t>
  </si>
  <si>
    <t>ABRIL (AJUSTE) 2020:</t>
  </si>
  <si>
    <t>AMANDA LUISA PASSOS DE SOUSA - AJAA- retirei amanda da Secretaria Administrativa, pois ela ainda estava constando na secad, mesmo estando já contabilizada na 30 vara.</t>
  </si>
  <si>
    <t>FRANCISCO DIAS MAIA NETO - estava como TJAA, mas é TJAS</t>
  </si>
  <si>
    <t>AGUINALDO BEZERRA DAMASCENO E FRANCISCO MADSOM - inclusão no NUJUD, pois não estavam sendo cobtabilizados em lugar algum.</t>
  </si>
  <si>
    <t>EMMANUEL PINTO PINHEIRO- inclusão no NTI, pois não estava sendo contabilizado em lugar algum.</t>
  </si>
  <si>
    <t>GABRIEL ANTONIO DE ABREU VIEIRA - estava com AJAJ, mas é AJAA (relatório SARH)</t>
  </si>
  <si>
    <t>AILA CASTRO DA ROCHA- estava como efetiva, mas é REMOVIDA</t>
  </si>
  <si>
    <t>MAIO 2020:</t>
  </si>
  <si>
    <t>ALLEX MORORO XEREZ SILVA-AJAJ- saiu dt fim 28/05/2020 para  a 2ª vara</t>
  </si>
  <si>
    <t>ANTONIO CARLOS ALVES LOBO: remanejamento, saiu em 24/05/2020 do Setor Técnico de Malotes para a 20ª Vara</t>
  </si>
  <si>
    <t>DENISE BEZERRA NOGUEIRA: remanejamento, saiu em 24/05/2020 do Setor Técnico de Malotes para a 20ª Vara</t>
  </si>
  <si>
    <t>ELMANO SIQUEIRA DE ARAUJO CHAVES: saiu da Seção de cadastro em 13/05/2020, relotado na 9ª vara.</t>
  </si>
  <si>
    <t>ISLAN TAYMON FONTELES: entrou na Secad dt inicio: 15/05/2020, veio da 27ª vara</t>
  </si>
  <si>
    <t>JANIO ALCANTARA DE OLIVEIRA: saiu dt fim: 17/05/2020, para a 6ª vara</t>
  </si>
  <si>
    <t>JOAQUIM PAULO NETO: saiu (remanejamento): dt fim: 24/05/2020 da Seção de Arquivo e depósito judicial/NJ para  a 20ª vara.</t>
  </si>
  <si>
    <t>JOSE LUCIOMAR FORTE DE OLIVEIRA: saiu (remanejamento): dt fim: 24/05/2020 do SETOR TECNICO DE ADMINISTRAÇAO PREDIAL /NA para a 20ª vara</t>
  </si>
  <si>
    <t>EMMANUELA MARIA ALBUQUERQUE MONT ALVERNE: saiu dt fim:31/05/2020 do Setor de MAlotes para a 5ª Vara</t>
  </si>
  <si>
    <t>LUIZ GONZAGA FEITOSA DO CARMO: entrou(remenejamento) dt início: 25/05/2020, veio do SETOR TECNICO DE DESENVOLVIMENTO ORGANIZACIONAL/ GDF-CE</t>
  </si>
  <si>
    <t>MARIA REJANE ROCHA: saiu (remanejamento) dt fim: 24/05/2020, da Seção de Disribuição/NJ para  a 20ª vara</t>
  </si>
  <si>
    <t>ROSAMARIA ALENCAR DE OLIVEIRA: saiu (relotação) dt fim: 10/05/2020 do Setor de Análise Processual e conferências- SASA/GDS para a TR3.</t>
  </si>
  <si>
    <t>ELMANO SIQUEIRA DE ARAUJO CHAVES: retorno à Seção de cadastro em 25/05/2020, vindo da 9 vara.</t>
  </si>
  <si>
    <t>RONALDO JOSE DE SOUSA DA SILVA: requisitado desligado dt fim:28/05/2020</t>
  </si>
  <si>
    <t>JUNHO 2020:</t>
  </si>
  <si>
    <t>JOAQUIM PAULO NETO: em 24/06/2020 retornou da 20 Vara para a Seção de Arquivo e depósito judicial/NJ</t>
  </si>
  <si>
    <t>JULIANA DE ARAUJO DINIZ:  saiu (relotação) dt fim:  30/06/2020 do NUCLEO DE ADMINISTRAÇAO/NA/GDS/SA/CE  para o SETOR TÉCNICO
 DE DESENVOLVIMENTO ORGANIZACIONAL - SEÇÃO DE GESTÃO ESTRATÉGICA- GDF.</t>
  </si>
  <si>
    <t>MARIA REJANE ROCHA: em 24/06/2020 retornou da 20 Vara para a Seção de Distribuição/NJ</t>
  </si>
  <si>
    <t>ROBSON DE JESUS GOMES: saiu dt fim : 30/06/2020 do NFP para o NA dt início: 01//07/2020</t>
  </si>
  <si>
    <t>VICTOR EMANOEL DE CASTRO RIBEIRO: entrou SECAD dt início: 01/07/2020, veio da TR2</t>
  </si>
  <si>
    <t>DENISE BEZERRA NOGUEIRA: em 24/06/2020 retornou da 20 Vara para o Nuad</t>
  </si>
  <si>
    <t>JOSE LUCIOMAR FORTE DE OLIVEIRA: em 24/06/2020 retornou da 20 Vara para o NUAD</t>
  </si>
  <si>
    <t>JULHO 2020:</t>
  </si>
  <si>
    <t>GIOVANE MARTIN DE SOUZA: entrou em 01/07/2020 NIST -requisitado</t>
  </si>
  <si>
    <t>VICTOR EMANOEL DE CASTRO RIBEIRO: saiu do GABINETE DO DIRETOR DE SECRETARIA ADMINISTRATIVA/GDS/SA-CE dt fim: 07/08/2020 para a 13 Vara.</t>
  </si>
  <si>
    <t>YURI MAGALHÃES DO CARMO: AJ-DESENVOLVIMENTO desligado - saiu do NTI dt fim:30/07/2020</t>
  </si>
  <si>
    <t>AGOSTO 2020:</t>
  </si>
  <si>
    <t>ANTONIO EDILNAR RIBEIRO MENDES: saiu da Seção deSegurança - NIST dt fim: 13/08/2020 para SEÇAO DE ATENDIMENTO E DISTRIBUIÇAO DOS JEFS/NJ dt inicio: 14/08/2020</t>
  </si>
  <si>
    <t>ANTONIO OZIEL CARNEIRO DE OLIVEIRA - requisitado: desligado dt fim: 01/08/2020 -  estava no SETOR  DE TRANSPORTE/ST//GDN/NIST/SA-CE</t>
  </si>
  <si>
    <t>IVAN MENDES COSTA  - requisitado: desligado dt fim: 01/08/2020 -  estava na  SEÇAO DE APOIO A SECRETRIA ADMINISTRATIVA/SASA/GDS/CE</t>
  </si>
  <si>
    <t>LUIS FERNANDO BARBOSA PALMEIRA- TJ INFORMÁRICA nomeação dt inicio: 03/08/2020</t>
  </si>
  <si>
    <t>LUIZ LEITE DE CARVALHO NETO: dt fim na Seção de Segurança - NIST 13/08/2020. dt inicio em 14/08/2020 na Seção de Atendimento e distribuição dos Jefs- NUJUD</t>
  </si>
  <si>
    <t>RANULFO DE FARIAS MACIEL FILHO: dt inicio no Setor de Transporte 01/08/2020</t>
  </si>
  <si>
    <t>WALDEMAR BARROSO DE SOUZA CORDEIRO: dt inicio: 03/08/2020 na SEÇÃO DE APOIO À SECRETARIA ADMINISTRATIVA/SASA/GDS/CE. Saiu do SETOR DE REGISTRO E AUTUAÇAO DE PROCESSO ADMINISTRATIVO/SRAPA-SASA/GDS/CE dt fim: 02/08/2020</t>
  </si>
  <si>
    <t>SETEMBRO 2020:</t>
  </si>
  <si>
    <t>AURELIO SAMPAIO LOURENCO: saiu da Seção deSegurança - NIST dt fim: 17/09/2020 para SEÇAO DE ATENDIMENTO E DISTRIBUIÇAO DOS JEFS/NJ dt inicio: 18/09/2020.</t>
  </si>
  <si>
    <t>JOSE MARCIO DE ANDRADE FROIS: saiu da Seção deSegurança - NIST dt fim: 17/09/2020 para SEÇAO DE ATENDIMENTO E DISTRIBUIÇAO DOS JEFS/NJ dt inicio: 18/09/2020.</t>
  </si>
  <si>
    <t>LEVI LOPES SOARES E SILVA: AJAE Informática Desenvolvimento: nomeação dt início:18/09/2020.</t>
  </si>
  <si>
    <t>LUIZ LEITE DE CARVALHO NETO: saiu da SEÇAO DE ATENDIMENTO E DISTRIBUIÇAO DOS JEFS/NJ  dt fim: 24/09/2020 para Seção deSegurança - NIST dt inicio: 25/09/2020.</t>
  </si>
  <si>
    <t>OUTUBRO 2020:</t>
  </si>
  <si>
    <t>ANSELMO OLIVEIRA DA SILVA: saiu da SEÇAO DE ARQUIVO E DEPOSITO JUDICIAL/NJ/GDS/SA/CE/SADJ/NJ/GDS/SA/CE dt fim:12/10/2020 para a Seção de Atendimento e distribuição dos JEFS/NJ dt inicio: 13/10/2020.</t>
  </si>
  <si>
    <t>GLAUCE SIEBRA MOREIRA: saiu do SETOR TECNICO DE ADMINISTRAÇAO DE WEB/STAW/NTI/GDS/SA/CE dt fim:21/10/2020, para o SETOR TECNICO DE TESTES E QUALIDADE/STTQ/NTI/GDS/SA/CE dt inicio: 22/10/2020.</t>
  </si>
  <si>
    <t>JOAQUIM PAULO NETO: saiu da SEÇAO DE ARQUIVO E DEPOSITO JUDICIAL/NJ/GDS/SA/CE/SADJ/NJ/GDS/SA/CE dt fim:12/10/2020, para a SEÇAO DE ATENDIMENTO E DISTRIBUIÇAO DOS JEFS/NJ/GDS/SA/CE/SADJEF/NJ/GDS/SA/CE dt inicio: 13/10/2020</t>
  </si>
  <si>
    <t>JOSE LUCIOMAR FORTE DE OLIVEIRA TJAA: inativo - aposentdoria 01/10/2020. estava lotado no  NUCLEO DE ADMINISTRAÇAO.</t>
  </si>
  <si>
    <r>
      <rPr>
        <b/>
        <sz val="11"/>
        <color rgb="FF000000"/>
        <rFont val="Calibri"/>
        <family val="2"/>
        <charset val="1"/>
      </rPr>
      <t>MATEUS GOMES VIANA - AJAA</t>
    </r>
    <r>
      <rPr>
        <sz val="11"/>
        <color rgb="FF000000"/>
        <rFont val="Calibri"/>
        <family val="2"/>
        <charset val="1"/>
      </rPr>
      <t>: nomeação dt inicio:15/10/2020. Lotado na Secretaria Administrativa até sair resultado da remoção.</t>
    </r>
  </si>
  <si>
    <t>VINICIUS DANTAS E MELO: saiu do SETOR ANALISE E DESENVOLVIMENTO/SAD/NT/GDS/SA/CE dt fim:21/10/2020; para SETOR TECNICO DE ADMINISTRAÇÃO DE WEB/STAW/NT/GDS/SA/CE DT INICIO:22/10/2020</t>
  </si>
  <si>
    <t>VLADIA MARIA DE LIRA GONDIM: saiu da SEÇAO DE ARQUIVO E DEPOSITO JUDICIAL/NJ/GDS/SA/CE/SADJ/NJ/GDS/SA/CE dt fim:12/10/2020, para a SEÇAO DE ATENDIMENTO E DISTRIBUIÇAO DOS JEFS/NJ/GDS/SA/CE/SADJEF/NJ/GDS/SA/CE dt inicio: 13/10/2020</t>
  </si>
  <si>
    <t>WALFRIDO VIANA FURTADO: saiu do SETOR TECNICO DE TESTES E QUALIDADE/STTQ/NTI/GDS/SA/CE dt fim: 21/10/2020 para SETOR  ANALISE E DESENVOLVIMENTO/SAD/NT/GDS/SA/CE dt inicio: 22/10/2020.</t>
  </si>
  <si>
    <t>NOVEMBRO 2020:</t>
  </si>
  <si>
    <t>CARLOS EUGENIO PONTE E SILVA: saiu da SEÇAO DE SEGURANÇA/SS/GDN/NIST/SA-CE dt fim: 24/11/2020; para SEÇAO DE ATENDIMENTO E DISTRIBUIÇAO DOS JEFS/NJ/GDS/SA/CE/SADJEF/NJ/GDS/SA/CE dt inicio:25/11/2020</t>
  </si>
  <si>
    <t>CLEIRTON MONTE DE SOUSA: nomeação dt inicio: 16/11/2020 NTI</t>
  </si>
  <si>
    <t>JOAO EUDES RAMOS FELIX:  saiu da SEÇAO DE SEGURANÇA/SS/GDN/NIST/SA-CE dt fim: 24/11/2020; para SEÇAO DE ATENDIMENTO E DISTRIBUIÇAO DOS JEFS/NJ/GDS/SA/CE/SADJEF/NJ/GDS/SA/CE dt inicio:25/11/2020</t>
  </si>
  <si>
    <r>
      <rPr>
        <b/>
        <sz val="11"/>
        <color rgb="FF000000"/>
        <rFont val="Calibri"/>
        <family val="2"/>
        <charset val="1"/>
      </rPr>
      <t>LUIS FERNANDO COSTA PINTO</t>
    </r>
    <r>
      <rPr>
        <sz val="11"/>
        <color rgb="FF000000"/>
        <rFont val="Calibri"/>
        <family val="2"/>
        <charset val="1"/>
      </rPr>
      <t>:AJAA nomeação; dt inicio:23/11/2020. Lotado na Secretaria Administrativa até sair resultado da remoção.</t>
    </r>
  </si>
  <si>
    <t>ANNE KAROLINE ANDRADE ROCHA: dt inicio: 07/12/2020; veio do Apoio Adm da 27 Vara Itapipoca</t>
  </si>
  <si>
    <t>CARLOS EUGENIO PONTE E SILVA: saiu da Seção de Atendimento e Distribuição dos JEFs /NJ  dt fim: 16/12/2020; para Seção de Segurança/NIST dt inicio: 17/12/2020</t>
  </si>
  <si>
    <t>DANUBIO SILVA MELO: requisitado desligado; dt fim: 13/12/2020</t>
  </si>
  <si>
    <t>JOAO EUDES RAMOS FELIX:  saiu da Seção de Atendimento e Distribuição dos JEFs /NJ  dt fim: 16/12/2020; para Seção de Segurança/NIST dt inicio: 17/12/2020</t>
  </si>
  <si>
    <r>
      <rPr>
        <b/>
        <sz val="11"/>
        <color rgb="FF000000"/>
        <rFont val="Calibri"/>
        <family val="2"/>
        <charset val="1"/>
      </rPr>
      <t>AJUSTE : LUIS FERNANDO COSTA PINTO</t>
    </r>
    <r>
      <rPr>
        <sz val="11"/>
        <color rgb="FF000000"/>
        <rFont val="Calibri"/>
        <family val="2"/>
        <charset val="1"/>
      </rPr>
      <t>:AJAA Lotado na Secretaria Administrativa de23/11 a 29/11/2020. Com resultado da remoção foi para a 17 Vara dt inicio:30/11/2020.</t>
    </r>
  </si>
  <si>
    <r>
      <rPr>
        <b/>
        <sz val="11"/>
        <color rgb="FF000000"/>
        <rFont val="Calibri"/>
        <family val="2"/>
        <charset val="1"/>
      </rPr>
      <t xml:space="preserve">AJUSTE: MATEUS GOMES VIANA </t>
    </r>
    <r>
      <rPr>
        <sz val="11"/>
        <color rgb="FF000000"/>
        <rFont val="Calibri"/>
        <family val="2"/>
        <charset val="1"/>
      </rPr>
      <t>- AJAA: nomeação dt inicio:15/10/2020. Saiu ato lotando-o na 24 Vara.</t>
    </r>
  </si>
  <si>
    <t>JANEIRO 2021:</t>
  </si>
  <si>
    <t>TERESINHA MORAIS RODRIGUES: entrou na Secad dt inicio: 21/01/2021; veio da 18 Vara.</t>
  </si>
  <si>
    <t>FEVEREIRO 2021:</t>
  </si>
  <si>
    <t>VICTOR EMANOEL DE CASTRO RIBEIRO: entrou em GABINETE DO DIRETOR DE SECRETARIA ADMINISTRATIVA/GDS/SA-CE dt início: 23/02/2021; veio da 13 Vara (colocado à disposição).</t>
  </si>
  <si>
    <t>MARÇO 2021:</t>
  </si>
  <si>
    <t>FRANCISCO REGIS CAPISTRANO DE OLIVEIRA- ex provisório- saiu da 19 vara dt fim: 07/03/2021; foi para Gabsa dt inicio e fim: 08/03/2021 e, após, lotado na Seção de licitações-NFP dt início: 09/03/2021.</t>
  </si>
  <si>
    <t>ELIAS JOSE DE SOUZA-requisitado-saiu da SEÇAO DE LICITAÇOES/SL/GDN/NFP-CE dt fim:30/03/2021.</t>
  </si>
  <si>
    <t>ABRIL 2021:</t>
  </si>
  <si>
    <t>CICERO ARLINDO ALMEIDA RAMOS: Requisitado -entrou na Seçao de SegurançaNIST dt inicio:28/04/2021</t>
  </si>
  <si>
    <t>DAVID PEREIRA CRUZ: saiu da Seção de Saúde dt fim: 06/04/2021 para GABNGP dt inicio:07/04/2021</t>
  </si>
  <si>
    <t>MAIO 2021:</t>
  </si>
  <si>
    <t>ALEX SANDRO RODRIGUES OLIVEIRA: TJAA desligado dt fim:20/05/2021;  estava lotado na Secad  RETIFICAÇÃO DE DATA FIM: 09/06/2021</t>
  </si>
  <si>
    <t>ANTONIO EXPEDITO LIMA GONÇALVES: de outros orgão removido. estava na Seção de Arquivo e depósito Judicial/NJ dt fim:11/05/2021 foi para Seção de Comunicação Social.</t>
  </si>
  <si>
    <t>JULIANO MACHADO ARRUDA: AJOJ saiu da CEMAN dt fim: 30/05/2021 para a 21 Vara.</t>
  </si>
  <si>
    <t>MILENNA CRISOSTOMO CHAVES PEQUENO GOMES TJAA  entrou na Seção de Arquivo e depósito Judicial/NJ  dt inicio: 03/05/2021; Veio da 27 VAra</t>
  </si>
  <si>
    <t>JUNHO 2021:</t>
  </si>
  <si>
    <t>ANTONIA MORGANA PONTES PARENTE GUARAGNI: saiu da Seção de Distribuição-NJ para o SETOR DE CADASTRAMENTO E AUTUAÇAO DE PROCESSOS/SD/NJ dt fim:14/06/2021</t>
  </si>
  <si>
    <t>ELMANO SIQUEIRA DE ARAUJO CHAVES: saiu da Seção de Cadastro dt fim: 06/06/2021; foi para SEÇAO DE ATENDIMENTO E DISTRIBUIÇAO DOS JEFS/NJ dt início: 07/06/2021.</t>
  </si>
  <si>
    <t>FRANCISCO REGIS CAPISTRANO DE OLIVEIRA: saiu da Seção de Licitaões-NUFIP, para a SEÇAO DE ATENDIMENTO E DISTRIBUIÇAO DOS JEFS/NJ dt início: 07/06/2021</t>
  </si>
  <si>
    <t>JANUSE FEITOSA MACEDO PASSOS: saiu da Seção de Saúde dt fim: 24/06/2021; para a 10 Vara.</t>
  </si>
  <si>
    <t>LEVI LOPES SOARES E SILVA(AJ INFO Desenvolvimento): saiu NTI dt fim:28/06/2021</t>
  </si>
  <si>
    <t>JULHO 2021:</t>
  </si>
  <si>
    <t>FRANCISCO WILTON MENDES DE SANTANA: (AJ INFO Desenvolvimento): entrou NTI emdt inicio: 26/07/2021</t>
  </si>
  <si>
    <t>JOAO EUDES RAMOS FELIX:  TJAS Ex Prov. saiu da seção de segurança- NIST dt fim: 19/07/2021</t>
  </si>
  <si>
    <t>AGOSTO 2021:</t>
  </si>
  <si>
    <t>ANTONIO EDILNAR RIBEIRO MENDES: saiu da Seção de atendimento e distribuição dos JEFs dt fim: 01/08/2021; para o NUcleo Financeiro e Patrimonial dt inicio:02/08/2021</t>
  </si>
  <si>
    <t>CARLOS ZEDI SOBRAL MACHADO: saiu do setor de Contabilidade- GabDirforo dt fim:01/08/2021; para a 10 Vara dt inicio: 02/08/2021</t>
  </si>
  <si>
    <t>FRANCISCO EUGENIO GURJAO SANTOS: saiu do SETOR TECNICO DE ADMINISTRAÇAO PREDIAL/STAP/SAP/NA/CE  dt fim: 22/08/2021;para a SEÇAO DE ADMINISTRAÇAO PREDIAL/SAP/GDN/NA/GDS/CE dt inicio:23/08/2021</t>
  </si>
  <si>
    <t>JANUSE FEITOSA MACEDO PASSOS: entrou na Seção de Autogestão em saúde (TRFMED) dt inicio:25/08/2021; saiu da 10 Vara (passando pela Seção de Biblioteca)</t>
  </si>
  <si>
    <t>MARIA CIRENE DA SILVA GUIMARAES: saiu da Seção de Administração/NA/GDS/SA Predial dt fim: 11/08/2021; para GABINETE DO DIRETOR DO NUCLEO DE ADMINISTRAÇAO/GDN/NA/GDS/SA-CE dt inicio: 12/08/2021</t>
  </si>
  <si>
    <t>VIRGINIA MARIA DE HOLANDA FARIAS: era requisitada: saiu do GABINETE DO DIRETOR DO NUCLEO DE ADMINISTRAÇAO/GDN/NA/GDS/SA-CE dt fim:11/08/2021.</t>
  </si>
  <si>
    <t>SETEMBRO 2021:</t>
  </si>
  <si>
    <t>ANTONIO ADRIANO CIDRAO PINHEIRO: entrou na Secad dt inicio: 16/09/2021; veio da 26 Vara.</t>
  </si>
  <si>
    <t>AURELIO SAMPAIO LOURENCO TJAS: saiu da SEÇAO DE ATENDIMENTO E DISTRIBUIÇAO DOS JEFS/NJ/GDS/SA/CE/SADJEF/NJ/GDS/SA/CE dt fim:26/09/2021; foi para SEÇAO DE SEGURANÇA/SS/GDN/NIST/SA-CE dt inicio: 27/09/2021</t>
  </si>
  <si>
    <t>GEOVANI COSTA BEZERRA: iniciou na Seção de lIcitações dt inicio:22/0/2021; veio da 15 vara Limoeiro do Norte.</t>
  </si>
  <si>
    <t>HUMBERTO BALBINO DE MATOS: AJ CONTADORIA;  entrou na Seção de Folha de Pagamento nomeação dt início: 10/09/2021</t>
  </si>
  <si>
    <t>OUTUBRO 2021:</t>
  </si>
  <si>
    <t>FRANCISCO JOSE VALE DE MORAIS: TJOJ saiu da CEMAN fortaleza dt fim: 03/10/2021; foi para 26 vara.</t>
  </si>
  <si>
    <t xml:space="preserve">ROSANA DANIELLE COUTINHO DOS SANTOS: TJAA entrou no GAbSecad dt inicio: 18/10/2021; veio da 26 Vara. </t>
  </si>
  <si>
    <t>VLADIA MARIA DE LIRA GONDIM: saiu da SEÇAO DE ATENDIMENTO E DISTRIBUIÇAO DOS JEFS/NJ/GDS/SA/CE/SADJEF/NJ/GDS/SA/CE dt fim:21/10/2021; foi para a SEÇAO DE ARQUIVO E DEPOSITO JUDICIAL/NJ/GDS/SA/CE/SADJ/NJ/GDS/SA/CE dt inicio: 22/10/2021.</t>
  </si>
  <si>
    <t>NOVEMBRO 2021:</t>
  </si>
  <si>
    <t>AJUSTE: ANTONIO ADRIANO CIDRAO PINHEIRO: saiu da Secad dt fim: 20/09/2021; foi para Gabinete do Núcleo de Administração NA dt inicio: 21/09/2021</t>
  </si>
  <si>
    <t>ALLEX MORORO XEREZ SILVA: entrou no Gab Secad dt inicio: 24/11/2021; veio da 2 vara</t>
  </si>
  <si>
    <t>JANEIRO 2022:</t>
  </si>
  <si>
    <t>ADRIANO ALVES GARCIA JUNIOR: saiu desligado dt fim:  17/01/2022. era requisitado; estava na Seção de Suportes-NTIC</t>
  </si>
  <si>
    <t>ALINE DE MOURA TELES: TJAA- entrou GAB DIR da SECAD dt inicio:31/01/2022; veio da 23 Vara</t>
  </si>
  <si>
    <t>DAVID PEREIRA CRUZ: Assistente Social removido- desligado dt fim: 25/01/2022</t>
  </si>
  <si>
    <t>DAVISSON SILVA MACIEL DA MATA: AJ engenharia civil posse dt inicio: 06/01/2022; na Seção de infraestrutura e engenharia-NIAP</t>
  </si>
  <si>
    <t>FRANCISCO MADSON PARENTE GOMES: saiu do Centro Judiciario de Solução Consensual de conflitos-NUJUD para Seçãõ de Saúde, e dessa para SETOR TECNICO DE QUALIDADE DE VIDA/STQV/SASQV/GDN/NGP dt inicio: 10/01/2022</t>
  </si>
  <si>
    <t>JOSE RONALD MAIA BARRETO: da Seção de central de Mandados foi para o Setor de gestão de expedientes e Plantãõ/NJ dt inicio: 03/01/2022. Porém, saiu (dt fim: 18/01/2022) para 13a Vara dt inicio: 19/01/2022</t>
  </si>
  <si>
    <t xml:space="preserve">JULIANA DE ARAUJO DINIZ: ajuste- considerar requisitada no Setor de Arquitetura e Ambientação/NIAP dt inicio: 03/01/2022. Antes ela já´fazia parte do NUAD, mas não estava contabilizada aqui devido descontinuidade no SARH. </t>
  </si>
  <si>
    <t>LUCIANO UCHOA HONORIO: AJOJ inativo dt fim:11/01/2022. Estava na CEMAN</t>
  </si>
  <si>
    <t>MARIA REJANE ROCHA: TJAA inativo (aposentadoria) dt fim: 10/01/2022. estava na SEÇAO DE APOIO A ATIVIDADE JUDICIARIA/NJ/GDS/SA/CE/SD/NJ/GDS/SA/C</t>
  </si>
  <si>
    <t>PAULA CRISTIANE SALDANHA VIANA DE MESQUITA: era removida . Falecimento. Estava lotada no SETOR DE PROCEDIMENTO LICITATORIO/SPL/SL/GDN/NUFICOP  dt fim:05/01/2022</t>
  </si>
  <si>
    <t>WALFRIDO VIANA FURTADO: saiu do SETOR ANALISE E DESENVOLVIMENTO/SAD/NT/GDS/SA/CE- NTI para SETOR DE ACOMPANHAMENTO DE DEMANDAS INTERNAS E
INTERINSTITUCIONAIS/SADII/AE/GDF-CE dt inicio:19/01/2022.</t>
  </si>
  <si>
    <t>OBS: vários servidores tiveram suas lotações atualizadas devido resstruturação REs 10/2021 TRF5.</t>
  </si>
  <si>
    <t>FEVEREIRO 2022:</t>
  </si>
  <si>
    <t>ALINE DE MOURA TELES: saiu do GABSecad dt fim 09/02/2022 para ASSESSORIA ESPECIAL DA DIREÇÃO DO FORO/AE/GDF-CE dt inicio 10/02/2022</t>
  </si>
  <si>
    <t>ANTONIO ADRIANO CIDRAO PINHEIRO: saiu do GABINETE DIRETOR DE NUCLEO DE INFRAESTRUTURA E ADMINISTRAÇÃO
PREDIAL/NIAP/GDS/SA-CE dt fim 22/02/2022 para CENTRO JUDICIARIO DE SOLUÇAO CONSENSUAL DE CONFLITOS E
CIDADANIA(CENTRAL DE CONCILIAÇAO)/CJSCCC/NJ/CE dt inicio: 23/02/2022.</t>
  </si>
  <si>
    <t>ANTONIO EDILNAR RIBEIRO MENDES: saiu do GABINETE DO DIRETOR DE NUCLEO GESTAO ORCAMENTARIA FINANCEIRA
CONTABIL E PATRIMONIAL/GDN/NUFICOP/SA-CE dt fim 15/02/2022; foi para SETOR DE PROCEDIMENTO LICITATORIO/SPL/SL/GDN/NUFICOP dt inicio: 16/02/2022</t>
  </si>
  <si>
    <t>FRANCISCO EDSON SILVA: saiu da SEÇAO DE CENTRAL DE MANDADOS/NJ/GDS/SA/CE/SCM/NJ/GDS/SA/CE dt fim: 31/01/2022 para SETOR DE GESTAO DE EXPEDIENTES E PLANTAO/SGEP/SCM/NJ/SA/CE dt inicio: 01/02/2022.</t>
  </si>
  <si>
    <t>FRANCISCO EUGENIO GURJAO SANTOS: saiu da SEÇAO DE ADMINISTRAÇAO PREDIAL/SAP/GDN/NA/GDS/CE para p 
SETOR TECNICO DE APOIO AS SUBSEÇOES/STAS/SCP/NIAP/SA/CE dt inicio: 03/02/2022</t>
  </si>
  <si>
    <t>SONIA DUARTE FEREIRA: TJAA entrou na Seção de Provimento e Informações Funcionais dt inicio: 02/02/2022; veio da 6a Vara</t>
  </si>
  <si>
    <t>VIVIANE MAIA CORDEIRO GOMES FERNANDES: TJAA-saiu do Setor Tecnico de Apoio a Magistratuta - NGP dt fim: 01/02/2022; foi para 6a vara</t>
  </si>
  <si>
    <t>TERESINHA MORAIS RODRIGUES: entrou no Setor tecnico de Apoio a Diretoria- Secad dt inicio: 10/02/2022; veio do GAbSecad</t>
  </si>
  <si>
    <t>MARÇO 2022:</t>
  </si>
  <si>
    <t>ANA CLAUDIA CARVALHO MOTA: saiu da Seção de Contadoria /NJ para o Setor de cálculos dt inicio: 03/03/2022</t>
  </si>
  <si>
    <t>CELIO BEZERRA DE CARVALHO: saiu do Setor de Almoxarifado/NFP dt fim: 02/03/2022 para o Setor Tecnico de Depósito Judicial/NJ dt inicio: 03/03/2022</t>
  </si>
  <si>
    <t>EMANOEL TORRES DE ABREU PEREIRA: saiu da Seção de atend e dist dos Jefs/NJ para Seção de Arquivo e depósito Judicial/NJ dt inicio: 07/03/2022</t>
  </si>
  <si>
    <t>FABIO SARAIVA LOPES CHAVES: saiu da Seção de legislação de Pessoal para a Seção de Provimento e Informações Funcionais dt inicio: 21/03/2022</t>
  </si>
  <si>
    <t>JUDAS TADEU PEQUENO MAIA: desligado da Seção de Patrimônio e Almoxarifado/nuficop dt fim: 01/03/2022</t>
  </si>
  <si>
    <t>VICTOR EMANOEL DE CASTRO RIBEIRO: saiu do Gad Diretor da Secad para a Seção de Patrimônio e Almoxarifado/NUFICOP dt inicio: 08/03/2022</t>
  </si>
  <si>
    <t>ABRIL 2022:</t>
  </si>
  <si>
    <t>SONIA DUARTE FERREIRA: saiu da Seção de Provimento e Informações Funcionais/NGP/CESAD para o NEGI/DIRFORO dt inicio: 11/04/2022</t>
  </si>
  <si>
    <t>MAIO 2022:</t>
  </si>
  <si>
    <t>EDNA MARIA MESQUITA VIANA: TJAA aposentadoria. Estava lotada no Setor de calculos dt fim: 17/05/2022</t>
  </si>
  <si>
    <t>FRANCISCO RAIMUNDO TRINDADE LOBATO: requisitado desligado dt fim: 03/05/2022</t>
  </si>
  <si>
    <t>LAILTON ROCHA MELO: requisitado TJST: dt inicio: 04/05/2022</t>
  </si>
  <si>
    <t>ROSANA DANIELLE COUTINHO DOS SANTOS: saiu da secad dt fim: 01/05/2022 Foi para NUFICOP dt inicio: 02/05/2022</t>
  </si>
  <si>
    <t>JUNHO 2022:</t>
  </si>
  <si>
    <t>GUILHERME OTAVIO TAVARES DE LACERDA: era requisitado NTIC- desligado dt fim: 01/06/2022</t>
  </si>
  <si>
    <t>SABINO GOMES APOLONIO FILHO: AJAJ OJ- saiu da 17a vara dt fim:23/06/2022 para Ceman Fortaleza dt inicio: 24/06/2022</t>
  </si>
  <si>
    <t>TERESINHA MORAIS RODRIGUES:REM SINAR TJAA; saiu da Secad dt fim: 31/05/2022; foi para 1a Vara:01/06/2022</t>
  </si>
  <si>
    <t>THAIS FROTA RIBEIRO CAPISTRANO: AJAA desligamento dt fim:10/06/2022</t>
  </si>
  <si>
    <t>VALERIA MARIA PARENTE DE MENEZES: CE1061 TJAA inativo dt fim: 23/06/2022</t>
  </si>
  <si>
    <t>ANDREA COUTO PALACIO DE QUEIROZ: entrou na Secad dt inicio: 22/0/2022; veio da Seçãõ de comunicação</t>
  </si>
  <si>
    <t>ANIBAL MATOS PITA: entrou na Secad-Biblioteca dt inicio:20/07/2022; veio da 13a vara</t>
  </si>
  <si>
    <t>CARLA OLIVEIRA DA SILVA COUTINHO: era requisitada no Gab NGP; desligada em 01/07/2022</t>
  </si>
  <si>
    <t>INACIA VANY BONFIM PITA:entrou na Secad-Biblioteca dt inicio:20/07/2022; veio da 13a vara</t>
  </si>
  <si>
    <t>CARLOS EDUARDO FERREIRA AGUIAR: requisitado entrou dt inicio: 10/08/2022 no Setor ESMAFE SECOI</t>
  </si>
  <si>
    <t>ALLEX MORORO: AJAJ saiu da Secad dt fim: 11/09/2022</t>
  </si>
  <si>
    <t>RODRIGO APRIGIO DA SILVA: TJAA entrou no NGP dt início: 22/09/2022 (rem SINAR)</t>
  </si>
  <si>
    <t>CARLENA MARIA DUARTE DE HOLANDA: AJAJ aposentadoria da NUFICOP/DECAD dt fim: 03/10/2022</t>
  </si>
  <si>
    <t>LAILTON ROCHA MELO: EXONERADO EM 06/10/2022 - REQUISITADO</t>
  </si>
  <si>
    <t>Fabio Correa Forte: de NUFICOP/SECAD p/ 14ª Vara dt início: 06/10/2022 movimentação interna</t>
  </si>
  <si>
    <t>NATALIA FONTENELE GARCIA TUPINAMBA relotada na SECAD</t>
  </si>
  <si>
    <t>JOÃO BATISTA CATUNDA ARAGÃO relotado no NIST saiu da 14 vara</t>
  </si>
  <si>
    <t>ILTON APARECIDO PAIVA- dt inicio no NUJUDI 06/03/2023; veio NEGI</t>
  </si>
  <si>
    <t>JOSE VANDER -  dt inicio:06/03/2023 NO NEGI. veio da NUJUD.</t>
  </si>
  <si>
    <t>JOSÉ RONALD MAIA BARRETO, Mat. CE253, relotado em 13/02/2023</t>
  </si>
  <si>
    <t>CICERO ARLINDO retorno origem em 21/03/2023</t>
  </si>
  <si>
    <t>APOSETADORIA AIDA GUEDES EM 19/04/2023</t>
  </si>
  <si>
    <t>VACANCIA CLEIRTON MONTE DE SOUSA EM 28/04/2023</t>
  </si>
  <si>
    <t>JOSE RONALD  retorno a origem em 25/04/2023</t>
  </si>
  <si>
    <t>SIMONE VIANA DE ARAUJO requisitada em 15/04/2023</t>
  </si>
  <si>
    <t>ANDREA COUTO relotada no NUAUD em 10/05/2023</t>
  </si>
  <si>
    <t>Aposentadoria do servidor Marcos de Oliveira em 31/05/2023</t>
  </si>
  <si>
    <t>MARCUS ANDRE CUNHA PORTO ROSA relotado na 13ª vara federal em 03/07/2023</t>
  </si>
  <si>
    <t>ANA RUTH FERNANDES MENDES relotada na 28ª vara em 03/07/2023</t>
  </si>
  <si>
    <t>VICTOR BRENO DE FREITAS COELHO entrou em 10/07/2023</t>
  </si>
  <si>
    <t>ANNE KAROLINE ANDRADE ROCHA entrou em 03/07/2023</t>
  </si>
  <si>
    <t>IGOR CAVALCANTE entrou em 10/08/2023 no NIST</t>
  </si>
  <si>
    <t>LIIA BENEVIDES FOI PARA O TRFMED.</t>
  </si>
  <si>
    <t>saiu da 13ª para o NUJUD</t>
  </si>
  <si>
    <t>saiu da 20ª para o NUJUD</t>
  </si>
  <si>
    <t>JACYRA – APOSENTADORIA</t>
  </si>
  <si>
    <r>
      <rPr>
        <b/>
        <sz val="12"/>
        <color rgb="FF000000"/>
        <rFont val="Times New Roman"/>
        <family val="1"/>
        <charset val="1"/>
      </rPr>
      <t>CARLOS SÉRGIO LOPES TEIXEIRA</t>
    </r>
    <r>
      <rPr>
        <sz val="12"/>
        <color rgb="FF000000"/>
        <rFont val="Times New Roman"/>
        <family val="1"/>
        <charset val="1"/>
      </rPr>
      <t>,</t>
    </r>
  </si>
  <si>
    <t xml:space="preserve"> CE-430</t>
  </si>
  <si>
    <t>saiu do NEGI e foi para 3ª Vara</t>
  </si>
  <si>
    <t>RETORNO A ORIGEM TRE-CE EM MARÇO DE 2025</t>
  </si>
  <si>
    <t>CE1899</t>
  </si>
  <si>
    <t>HEVELINE DE BRITO NOBRE</t>
  </si>
  <si>
    <t>SERVIDOR APOSENTADO EM JANEIRO DE 2025</t>
  </si>
  <si>
    <t>CE285</t>
  </si>
  <si>
    <t>ANTONIO EXPEDITO LIMA GONÇALVEZ</t>
  </si>
  <si>
    <t xml:space="preserve">Requisitada para o TRF5. Em 23/06/2025. PA PA 0009084-24.2025.4.05.7000 </t>
  </si>
  <si>
    <t>CE910</t>
  </si>
  <si>
    <t>RAQUEL ROLIM PEREIRA GALVAO DE MELO</t>
  </si>
  <si>
    <t>APOSENTADO POR INVALIDEZ EM 22/05/2025</t>
  </si>
  <si>
    <t>CE374</t>
  </si>
  <si>
    <t>MARZA BRAGA FEIJO</t>
  </si>
  <si>
    <t>REQUALIFICADO NA 3ª VARA FEDERAL - LOTAÇÃO PROVISORIA</t>
  </si>
  <si>
    <t>CE574</t>
  </si>
  <si>
    <t>ELMANO SIQUEIRA DE ARAUJO CHAVES</t>
  </si>
  <si>
    <t>APOSENTADO POR INVALIDEZ EM 22/05/2024</t>
  </si>
  <si>
    <t>CE242</t>
  </si>
  <si>
    <t>FRANCISCO DE ASSIS ARAUJO</t>
  </si>
  <si>
    <t>REQUISITADO PARA O TRIBUNAL EM 07/07/2025</t>
  </si>
  <si>
    <t>CE1901</t>
  </si>
  <si>
    <t>CARLOS EDUARDO FERREIRA AGUIAR</t>
  </si>
  <si>
    <t>RETORNO A ORIGEM</t>
  </si>
  <si>
    <t>CE1736</t>
  </si>
  <si>
    <t>PRESCILLA ROCHA DE SOUSA</t>
  </si>
  <si>
    <t>VÍNCULO</t>
  </si>
  <si>
    <t>CE547</t>
  </si>
  <si>
    <t>LUIS HENRIQUE DANTAS LUNA</t>
  </si>
  <si>
    <t>NUAUD</t>
  </si>
  <si>
    <t>SECÃO DE ACOMPANHAMENTO DE GESTÃO ORCAMENTÁRIA FINANCEIRA E
PATRIMONIAL</t>
  </si>
  <si>
    <t>CE483</t>
  </si>
  <si>
    <t>FRANCISCO BENTO XIMENES MELO</t>
  </si>
  <si>
    <t>GABINETE DO DIRETOR DE NÚCLEO DE AUDITORIA INTERNA</t>
  </si>
  <si>
    <t>CE942</t>
  </si>
  <si>
    <t>PATRICIA HELENA SILVA VASCONCELOS COLAÇO</t>
  </si>
  <si>
    <t>SECÃO DE ANÁLISE DE ATOS E DESPESAS RELATIVAS A
PESSOAL</t>
  </si>
  <si>
    <t>SEÇÃO DE COMUNICAÇÃO</t>
  </si>
  <si>
    <t>ANTONIO EXPEDITO LIMA GONÇALVES</t>
  </si>
  <si>
    <t>SETOR TECNICO DE ASSESSORIA DE COMUNICACAO E
CERIMONIAL</t>
  </si>
  <si>
    <t>SETOR TECNICO DE GESTAO DE MIDIAS EDITORACAO E DESIGN</t>
  </si>
  <si>
    <t>CE486</t>
  </si>
  <si>
    <t>FRANCISCO FLAVIO CARLOS DA SILVA</t>
  </si>
  <si>
    <t>ASSESSORIA ESPECIAL DA DIREÇÃO DO FORO</t>
  </si>
  <si>
    <t>SETOR DE ACOMPANHAMENTO DE DEMANDAS INTERNAS E INTERINSTITUCIONAIS</t>
  </si>
  <si>
    <t>SECÃO DE ASSESSORIA JURÍDICA</t>
  </si>
  <si>
    <t>CE1057</t>
  </si>
  <si>
    <t>MARCOS HELENO MOURA FILHO</t>
  </si>
  <si>
    <t>GABINETE DO NÚCLEO DE ESTRATÉGIA, GOVERNANÇA E INTEGRIDADE</t>
  </si>
  <si>
    <t>CE430</t>
  </si>
  <si>
    <t>CARLOS SERGIO LOPES TEIXEIRA</t>
  </si>
  <si>
    <t>SEÇÃO DE GESTÃO ESTRATÉGICA E GOVERNANÇA</t>
  </si>
  <si>
    <t>SETOR TÉCNICO DE PROJETOS E INOVAÇÃO</t>
  </si>
  <si>
    <t>RAQUEL AGUIAR DIAS MONTEIRO</t>
  </si>
  <si>
    <t>ABRIL(AJUSTE):</t>
  </si>
  <si>
    <t>LUIZ GONZAGA FEITOSA DO CARMO- incluído na diretoria do foro, pois não estava em lugar algum.</t>
  </si>
  <si>
    <t>MAIO:</t>
  </si>
  <si>
    <t>LUIZ GONZAGA FEITOSA DO CARMO: saiu dt fim: 24/05/2020, Remanejamento para a Central de conciliação</t>
  </si>
  <si>
    <t>JUNHO:</t>
  </si>
  <si>
    <t>JULIANA DE ARAUJO DINIZ: entrou em 01/07/2020, veio do núcleo de Administração.</t>
  </si>
  <si>
    <t>RAQUEL AGUIAR DIAS MONTEIRO: entrou dt inicio:05/04/2021 - removida (acompanhamento de cônjuge)</t>
  </si>
  <si>
    <t>ANTONIO EXPEDITO LIMA GONÇALVES: de outros orgão removido. lotado na Seção de Comunicação Social dt inicio: 12/05/2021; estava na Seção de Arquivo e depósito Judicial/NJ dt fim:11/05/2021 .</t>
  </si>
  <si>
    <t xml:space="preserve">WALFRIDO VIANA FURTADO: entrou no SETOR DE ACOMPANHAMENTO DE DEMANDAS INTERNAS E
INTERINSTITUCIONAIS/SADII/AE/GDF-CE dt inicio:19/01/2022. Veio do SETOR ANALISE E DESENVOLVIMENTO/SAD/NT/GDS/SA/CE- NTI </t>
  </si>
  <si>
    <t>ALINE DE MOURA TELES: entrou no SETOR DE ACOMPANHAMENTO DE DEMANDAS INTERNAS E
INTERINSTITUCIONAIS/SADII/AE/GDF-CE dt inicio 10/02/2022; veio do Gab Secad</t>
  </si>
  <si>
    <t>MARCOS HELENO: saiu da SeçãO de Gestao Estrategica-GDF para GABINETE DO DIRETOR DE NUCLEO DE ESTRATEGIA, GOVERNANÇA E
INTEGRIDADE/GDN/NEGI/GDF-CE dt inicio: 03/02/2022</t>
  </si>
  <si>
    <r>
      <rPr>
        <sz val="11"/>
        <color rgb="FF000000"/>
        <rFont val="Calibri"/>
        <family val="2"/>
        <charset val="1"/>
      </rPr>
      <t>WALFRIDO VIANA FURTADO: entrou no SETOR TECNICO DE GESTAO DE MIDIAS EDITORACAO E
DESIGN/STGMED/SCS/</t>
    </r>
    <r>
      <rPr>
        <b/>
        <sz val="11"/>
        <color rgb="FF000000"/>
        <rFont val="Calibri"/>
        <family val="2"/>
        <charset val="1"/>
      </rPr>
      <t>GDF</t>
    </r>
    <r>
      <rPr>
        <sz val="11"/>
        <color rgb="FF000000"/>
        <rFont val="Calibri"/>
        <family val="2"/>
        <charset val="1"/>
      </rPr>
      <t>-CE dt inicio: 10/02/2022; veio do SETOR DE ACOMPANHAMENTO DE DEMANDAS INTERNAS E
INTERINSTITUCIONAIS/SADII/AE/</t>
    </r>
    <r>
      <rPr>
        <b/>
        <sz val="11"/>
        <color rgb="FF000000"/>
        <rFont val="Calibri"/>
        <family val="2"/>
        <charset val="1"/>
      </rPr>
      <t>GDF</t>
    </r>
    <r>
      <rPr>
        <sz val="11"/>
        <color rgb="FF000000"/>
        <rFont val="Calibri"/>
        <family val="2"/>
        <charset val="1"/>
      </rPr>
      <t>-CE</t>
    </r>
  </si>
  <si>
    <t>SONIA DUARTE FERREIRA: saiu da Seção de Provimento e Informações Funcionais/NGP/CESAD para SEÇAO DE GESTAO ESTRATEGICA E GOVERNANÇA/SGEG/GDN/NEGI/GDF dt inicio: 11/04/2022</t>
  </si>
  <si>
    <t xml:space="preserve">ANTONIO SALES RIOS NETO: requisitado do TRE; entrou na Seção de Gestão estratégica e governaça dt inicio: 02/05/2022 </t>
  </si>
  <si>
    <t>ANDREA COUTO PALACIO DE QUEIROZ: saiu da Seçãõ de comunicação dt fim: 21/07/2022 para a Secad</t>
  </si>
  <si>
    <t>HEVELINE DE BRITO NOBRE: requisitada dt inicio:25/7/2022 Seçãõ de Comunicação</t>
  </si>
  <si>
    <t>AGOSTO 2022:</t>
  </si>
  <si>
    <t>ANTONIO SALES RIOS NETO: requisitado desligado Estava no NEGI dt fim: 18/08/2022</t>
  </si>
  <si>
    <t>SETEMBRO 2022:</t>
  </si>
  <si>
    <t>CARLOS SERGIO LOPES TEIXEIRA- dt inicio no NEGI 02/09/2022; veio da 3avara</t>
  </si>
  <si>
    <t>ISRAEL CARLOS BEZERRA-requisitado dt inicio:01/09/2022 Seção de Comunicação Social</t>
  </si>
  <si>
    <t>APOSETADORIA JOSÉ FREDERICO EM 02/05/2023</t>
  </si>
  <si>
    <t>ANNE KAROLINE ANDRADE ROCHA saiu em 03/07/2023</t>
  </si>
  <si>
    <t>ORDEM DE PREFERÊNCIA DAS VARAS PARA RECEBEREM SERVIDORES, CONFORME PORTARIA nº 138/2022 DA DIREÇÃO DO FORO - ATUALIZADA EM  02 de julho de 2025</t>
  </si>
  <si>
    <t>ORDEM</t>
  </si>
  <si>
    <t>UNIDADE</t>
  </si>
  <si>
    <t>MÍNIMO</t>
  </si>
  <si>
    <t>QTD</t>
  </si>
  <si>
    <t>OFICIAL DE JUSTIÇA</t>
  </si>
  <si>
    <t>BLOQUEIO</t>
  </si>
  <si>
    <t>ORIGEM DO BLOQUEIO</t>
  </si>
  <si>
    <t>ÍNDICE</t>
  </si>
  <si>
    <t>MOVIMENTAÇÃO QUE DESFALCOU DO MÍNIMO A UNIDADE</t>
  </si>
  <si>
    <t>OCORRÊNCIA</t>
  </si>
  <si>
    <t>DATA DA OCORRÊNCIA</t>
  </si>
  <si>
    <t>HOJE</t>
  </si>
  <si>
    <t>PERÍODO DE DESFALQUE</t>
  </si>
  <si>
    <t>MAGISTRADO</t>
  </si>
  <si>
    <t>ANTIGUIDADE</t>
  </si>
  <si>
    <t>ULTIMA MOVIMENTAÇÃO DA UNIDADE</t>
  </si>
  <si>
    <t>OBSERVAÇÃO</t>
  </si>
  <si>
    <t>TR2</t>
  </si>
  <si>
    <t>BARBARA KELLY SOUTO MONTEIRO</t>
  </si>
  <si>
    <t>FALECIMENTO</t>
  </si>
  <si>
    <t>PAULA EMÍLIA</t>
  </si>
  <si>
    <t>RACHEL MOREIRA DE OLIVEIRA BRASIL e KARLOS EDUARDO GADELHA GOMES</t>
  </si>
  <si>
    <t>Estava com 12 servidores até 02/07/2025. com a cessão de RACHEL MOREIRA DE OLIVEIRA BRASIL e KARLOS EDUARDO GADELHA GOMES  ao TRF5. PA 0009721-72.2025.4.05.7000, ficou com 10 servidores. Inclusão da Raissa Pompeu. Ficou com 11 servidores.</t>
  </si>
  <si>
    <t>26ª VARA</t>
  </si>
  <si>
    <t>ALINE OLIVEIRA ROCHA DE SANTIAGO</t>
  </si>
  <si>
    <t>RETORNO ORIGEM</t>
  </si>
  <si>
    <t>SÉRGIO FIÚZA</t>
  </si>
  <si>
    <t>AURENICE MARIA COSTA VIANA MEGREIRIOS</t>
  </si>
  <si>
    <t>Estava com 16 servidores até 02/05/2019. com a relotação da Aline Oliveira ficou com 16. Com a inclusão do Lucas foi para 17 servidores. Aposentadoria de Aurenice Maria ficou com 16 servidores</t>
  </si>
  <si>
    <t>10ª VARA</t>
  </si>
  <si>
    <t>CARLOS ZEDI SOBRAL MACHADO</t>
  </si>
  <si>
    <t>APOSENTADORIA</t>
  </si>
  <si>
    <t>ALCIDES</t>
  </si>
  <si>
    <t xml:space="preserve">Estava com 16 servidores até 01/06/2022.. Com a aposentadoria do Carlos Zedi ficou com 15. Com a aposentadoria de  JOSE PENIA ficou com 14. </t>
  </si>
  <si>
    <t>TR3</t>
  </si>
  <si>
    <t>GIOVANA LORNA LOPES NOGUEIRA</t>
  </si>
  <si>
    <t>RELOTAÇÃO</t>
  </si>
  <si>
    <t>NAGIBE</t>
  </si>
  <si>
    <t>GERUSA GOMES ROCHA</t>
  </si>
  <si>
    <t>Estava com 13 servidores até 20/04/2021. com a relotação da Giovana ficou com 12. E com a saida do Pedro Henrique ficou com 11.Saída de Diego Wagner para Taua contemplado no 1 Edital de Remoção ficou com 10 servidores.</t>
  </si>
  <si>
    <t xml:space="preserve">5ª VARA </t>
  </si>
  <si>
    <t>ROMEL CARVALHO BEZERRA</t>
  </si>
  <si>
    <t>JOÃO LUÍS</t>
  </si>
  <si>
    <t>SUYANNE CAMINHA SABOIA BARBOSA</t>
  </si>
  <si>
    <t>Estava com 16 servidores até 18/01/2021. com a aposentadoria do José Gerardo ficou com 15. Mesmo com a inclusão de Carolina permanece com 15 servidores. Com aposentadoria da Suyanne ficou com 14.</t>
  </si>
  <si>
    <t>11ª VARA</t>
  </si>
  <si>
    <t>MARIANNE SAUDERS</t>
  </si>
  <si>
    <t>DESLIGAMENTO</t>
  </si>
  <si>
    <t>DANILO FONTENELE</t>
  </si>
  <si>
    <t>Estava com 16 servidores até 31/01/2022. Com a dispensa da Marianne Sauders ficou com 15.</t>
  </si>
  <si>
    <t>1ª VARA</t>
  </si>
  <si>
    <t>ADRIANA MARTINS LEAL</t>
  </si>
  <si>
    <t>PRAXEDES</t>
  </si>
  <si>
    <t>Estava com 16 servidores até 05/09/2022. Com a aposentadoria da Adrana Marins ficou com 15. Aposentadoria Maria do Socorro Feito em 01/07/2024. Ficou com 14 servidores.</t>
  </si>
  <si>
    <t>14ª VARA</t>
  </si>
  <si>
    <t>JOAO BATISTA CATUNDA ARAGÃO</t>
  </si>
  <si>
    <t>BRUNO LEONARDO</t>
  </si>
  <si>
    <t>Estava com 16 servidores até 16/02/2023. Com a relotação do João Batista ficou com 15.</t>
  </si>
  <si>
    <t>28ª VARA</t>
  </si>
  <si>
    <t>DIERLY RODRIGUES CORDEIRO</t>
  </si>
  <si>
    <t>DONATO</t>
  </si>
  <si>
    <t>DANIELA DE CASSIA SANTOS DA ROCHA</t>
  </si>
  <si>
    <t>Estava com 16 servidores até janeiro, quando houve relotação de servidores devido remoção de juízes e ficou abaixo do mínimo.(Lia Benevides saiu para o TRFMED -   equipe de requalificação). Neusa de Sousa retorno à origem (STJ). Ficou com 12 servidores mais 2 OJAF. Retorno da Neusa a 28 Vara. Ingresso da servidora Daniela de Cassia Santos da Rocha. Ficou 14 servidores.  Neusa de Sousa retorno à origem (STJ).Inclusão do servidor Dante Lopes Rabelo. Ficou com 17 servidores.</t>
  </si>
  <si>
    <t>33ª VARA</t>
  </si>
  <si>
    <t>FRANCISCO JOSÉ GOMES DE OLIVEIRA</t>
  </si>
  <si>
    <t xml:space="preserve"> GLÊDISON</t>
  </si>
  <si>
    <t>Estava com 16 servidores até 02/10/2023. Com a aposentadoria do Francisco José ficou com 15.</t>
  </si>
  <si>
    <t>21ª VARA</t>
  </si>
  <si>
    <t>LILIANA LUCIA QUEIROZ GOMES</t>
  </si>
  <si>
    <t>AGAPITO</t>
  </si>
  <si>
    <t>2ª VARA</t>
  </si>
  <si>
    <t>ORISMAR BRAGA BARBOSA</t>
  </si>
  <si>
    <t>JORGE LUIS GIRÃO</t>
  </si>
  <si>
    <t>LUIZ CLAUDIO REQUIÃO FONSECA</t>
  </si>
  <si>
    <t>até 12/06 ela estava com 16 servidores, com a saída do Luiz Claudio, passou para 15 servidores.Luiz Claudio foi para 20ª Vara como Unidade Acolhedora</t>
  </si>
  <si>
    <t>7ª VARA</t>
  </si>
  <si>
    <t>SEVERINO TARCÍSIO NÓBREGA QUEIROGA</t>
  </si>
  <si>
    <t>KARLA</t>
  </si>
  <si>
    <t xml:space="preserve">FRANCISCO VALDISIO GOMES </t>
  </si>
  <si>
    <t>Estava com 16 servidores até 15/12/2023. Com a aposentadoria do Severino ficou com 15. Com a inclusão da Maria Aparecida (CE1955) voltou para 16. E com a saída de Valdisio ficou com 15. servidores.</t>
  </si>
  <si>
    <t>32ª VARA</t>
  </si>
  <si>
    <t>ENIO MAIA CHAGAS JUNIOR</t>
  </si>
  <si>
    <t>LUÍS ALVES</t>
  </si>
  <si>
    <t xml:space="preserve">PAULO ANTONIO LIMA </t>
  </si>
  <si>
    <t>Aposentadoria de Paulo Antonio Lima. A unidade ficou com 14 servidores. Com a Chegada da Elizabeth de Souza Vieira. Ficou com 15 servidores</t>
  </si>
  <si>
    <t>TR1</t>
  </si>
  <si>
    <t>MICHELY DAMASCENO PORTO DE GOIS</t>
  </si>
  <si>
    <t>VINCULAÇÃO TEMPORÁRIA EXCEPCIONAL</t>
  </si>
  <si>
    <t>JOSE EDUARDO</t>
  </si>
  <si>
    <t>Estava com 14 servidores até 02/07/2025. com a cessão de CARLOS EDUARDO FERREIRA AGUIAR  ao TRF5. PA 0009721-72.2025.4.05.7000, ficou com 13 servidores.</t>
  </si>
  <si>
    <t>4ª VARA</t>
  </si>
  <si>
    <t>MARIA DE FATIMA LIMA GOMES</t>
  </si>
  <si>
    <t>VIDAL</t>
  </si>
  <si>
    <t>FERMANDO ALEXANDRE DE ARAUJO</t>
  </si>
  <si>
    <t>Estava com 16 servidores até 18/05/2023. Com a aposentadoria da Maria de Fátima ficou com 15. Com a aposentadoria de Fermando ficou com 14.</t>
  </si>
  <si>
    <t>8ª VARA</t>
  </si>
  <si>
    <t>RICARDO</t>
  </si>
  <si>
    <t>9ª VARA</t>
  </si>
  <si>
    <t>MAXIMILIANO</t>
  </si>
  <si>
    <t xml:space="preserve">Estava com 17 servidores com a saida da Daniela, Ficou com 16 servidores </t>
  </si>
  <si>
    <t>12ª VARA</t>
  </si>
  <si>
    <t>MAIRTON</t>
  </si>
  <si>
    <t>6ª VARA</t>
  </si>
  <si>
    <t>NILIANE</t>
  </si>
  <si>
    <t>3ª VARA</t>
  </si>
  <si>
    <t>GEORGE</t>
  </si>
  <si>
    <t>CARLOS SÉRGIO LOPES TEIXEIRA</t>
  </si>
  <si>
    <t>Estava com 16 servidores até 07/07/2022. com a saída da Giovana ficou com 15. Com a saida do Carlos Sergio ficou com 14. E com a saida de Maria de Lourde ficou com 13. (Elmano não contabiliza, oriundo equipe de requalificação). Reingresso do CARLOS SERGIO. Agora ficou com 14 servidores. Ingresso da Helena de Nazareth não contabiliza, oriunda da Equipe de Requalificação. Permanece com 14 servidores.</t>
  </si>
  <si>
    <t xml:space="preserve">20ª VARA </t>
  </si>
  <si>
    <t>AUGUSTINO</t>
  </si>
  <si>
    <t>Estava com 17 servidores até 30/04/2024. Com a saida da Maria Ines para o NUJUD ficou 16. Com a chegada do Luiz Claudio Requião ficou com 17 servidroes.</t>
  </si>
  <si>
    <t>13ª VARA</t>
  </si>
  <si>
    <t>MARCUS ANDRE POSTO A DISPOSIÇÃO SEM PASSAR PELA EQUIPE DE REQUALIFICAÇAO</t>
  </si>
  <si>
    <t>MARIA CIRLENE PINHEIRO CAMPOS</t>
  </si>
  <si>
    <t>MARIA JULIA</t>
  </si>
  <si>
    <t>HELENA DE NAZARETH GUIMARAES</t>
  </si>
  <si>
    <t xml:space="preserve">Estava com 17 servidores até 30/04/2024. Com a saida da Joseane para o NUJUD ficou 16. Com a saida em 15/07/2024 da  Helena de Nazareth para o 2ª Vara -   equipe de requalificação). Agora consta com 15 servidores.  </t>
  </si>
  <si>
    <t>Observação referente à coluna "F", de acordo com o Art 2º, § 3º da Portaria 138/2022 e Art 2º, § 2º da Portaria 481/2016, em que limita-se a 02 (dois ) AJOJ, por Unidade Judiciária, acima desse valor, inclui-se na soma dos servidores da respectiva Unidade.</t>
  </si>
  <si>
    <t>¹ 26ª Vara: em 02/05/2018 cedeu a servidora Christiane para a 1ª Vara, que nesta data tinha 17 servidores. Em 03/06/2019, com a aposentadoria da servidora Helena Vidal, a 1ª Vara passou a ter 15 servidores, extinguindo, portanto, a penalidade da 26ª Vara.</t>
  </si>
  <si>
    <t xml:space="preserve">² 1ª Vara: em 02/05/2018 cedeu a servidora Raquel Leal para a 2ª Vara, que nesta data tinha 19 servidores. Para efeito de contagem fictícia, extingue-se a penalidade da 1ª Vara quando a 2ª Vara tiver 15 servidores (estiver deficitária). </t>
  </si>
  <si>
    <t>³ 5ª Vara: em 07/01/2019, a servidora Carla Saraiva para a 21ª Vara, que nesta data tinha 18 servidores.  Para efeito de contagem fictícia, extingue-se a penalidade da 5ª Vara quando a 21ª Vara tiver 15 serv. (deficitária).</t>
  </si>
  <si>
    <r>
      <rPr>
        <vertAlign val="superscript"/>
        <sz val="13"/>
        <color rgb="FF000000"/>
        <rFont val="Calibri"/>
        <family val="2"/>
        <charset val="1"/>
      </rPr>
      <t>4</t>
    </r>
    <r>
      <rPr>
        <sz val="13"/>
        <color rgb="FF000000"/>
        <rFont val="Calibri"/>
        <family val="2"/>
        <charset val="1"/>
      </rPr>
      <t>12ª Vara: em 07/02/2018 cedeu a servidora Maria Teresa Dalge para a SECAD (servidora aposentada - exclusão de penalidade). Em 09/01/2019, servidora sem vínculo Roberta Fernandes Gradvohl entrou em exercício.</t>
    </r>
  </si>
  <si>
    <r>
      <rPr>
        <vertAlign val="superscript"/>
        <sz val="13"/>
        <color rgb="FF000000"/>
        <rFont val="Calibri"/>
        <family val="2"/>
        <charset val="1"/>
      </rPr>
      <t>5</t>
    </r>
    <r>
      <rPr>
        <sz val="13"/>
        <color rgb="FF000000"/>
        <rFont val="Calibri"/>
        <family val="2"/>
        <charset val="1"/>
      </rPr>
      <t>28ª Vara: Triangulação - em 02/04/2018 a SECAD cedeu o servidor Dierly para a 28ª Vara, que cedeu o servidor Guilherme Sales para a 10ª Vara que, por fim, cedeu o servidor Marcos Heleno para a SECAD. Sem contagem fictícia, nesta ocasião.</t>
    </r>
  </si>
  <si>
    <r>
      <rPr>
        <vertAlign val="superscript"/>
        <sz val="13"/>
        <color rgb="FF000000"/>
        <rFont val="Calibri"/>
        <family val="2"/>
        <charset val="1"/>
      </rPr>
      <t>6</t>
    </r>
    <r>
      <rPr>
        <sz val="13"/>
        <color rgb="FF000000"/>
        <rFont val="Calibri"/>
        <family val="2"/>
        <charset val="1"/>
      </rPr>
      <t>10ª Vara: em 03/05/2019 o servidor Américo Raimundo retornou para a 10ª Vara.</t>
    </r>
  </si>
  <si>
    <r>
      <rPr>
        <vertAlign val="superscript"/>
        <sz val="13"/>
        <color rgb="FF000000"/>
        <rFont val="Calibri"/>
        <family val="2"/>
        <charset val="1"/>
      </rPr>
      <t>7</t>
    </r>
    <r>
      <rPr>
        <sz val="13"/>
        <color rgb="FF000000"/>
        <rFont val="Calibri"/>
        <family val="2"/>
        <charset val="1"/>
      </rPr>
      <t>21ª Vara: em 07/01/2019, servidora Carla Saraiva foi lotada na 21ª Vara.</t>
    </r>
  </si>
  <si>
    <r>
      <rPr>
        <vertAlign val="superscript"/>
        <sz val="13"/>
        <color rgb="FF000000"/>
        <rFont val="Calibri"/>
        <family val="2"/>
        <charset val="1"/>
      </rPr>
      <t>8</t>
    </r>
    <r>
      <rPr>
        <sz val="13"/>
        <color rgb="FF000000"/>
        <rFont val="Calibri"/>
        <family val="2"/>
        <charset val="1"/>
      </rPr>
      <t>9ª Vara: em 07/12/2018 cedeu a servidora Cristiana Capistrano para a SECAD (servidora pediu exoneração - exclusão de penalidade)</t>
    </r>
  </si>
  <si>
    <r>
      <rPr>
        <vertAlign val="superscript"/>
        <sz val="13"/>
        <color rgb="FF000000"/>
        <rFont val="Calibri"/>
        <family val="2"/>
        <charset val="1"/>
      </rPr>
      <t>9</t>
    </r>
    <r>
      <rPr>
        <sz val="13"/>
        <color rgb="FF000000"/>
        <rFont val="Calibri"/>
        <family val="2"/>
        <charset val="1"/>
      </rPr>
      <t>2ª Vara: em 21/01/2019, aposentadoria de Sayonara Linard (TRF5), e em 18/02/2019, aposentadoria de Fernanda Carvalho Correia (SJRN)</t>
    </r>
  </si>
  <si>
    <t>em 22/04/2019,  permuta entre a 2ª Vara e a 13ª Vara, com anuência dos magistrados. Inácia Vany e Luiz Cláudio Requião.</t>
  </si>
  <si>
    <r>
      <rPr>
        <vertAlign val="superscript"/>
        <sz val="13"/>
        <color rgb="FF000000"/>
        <rFont val="Calibri"/>
        <family val="2"/>
        <charset val="1"/>
      </rPr>
      <t>10</t>
    </r>
    <r>
      <rPr>
        <sz val="13"/>
        <color rgb="FF000000"/>
        <rFont val="Calibri"/>
        <family val="2"/>
        <charset val="1"/>
      </rPr>
      <t xml:space="preserve">13ª Vara: em 03/06/2019, servidor requisitado Pref. Milhã Igor Vieira Macedo entrou em exercício. </t>
    </r>
  </si>
  <si>
    <t>¹¹33ªVara: em 14/10/2019, a servidora Francisca Francely Cordeiro de Brito foi relotada na 33ª.</t>
  </si>
  <si>
    <t>¹²13ª Vara: em 27/08/2019, a servidora Emilia Maria de Lavor Garcez foi desligada.</t>
  </si>
  <si>
    <t xml:space="preserve">¹³14ª Vara: em 30/10/2019, aposentadoria da servidora Ana Maria Chaves Guidem </t>
  </si>
  <si>
    <r>
      <rPr>
        <vertAlign val="superscript"/>
        <sz val="13"/>
        <color rgb="FF000000"/>
        <rFont val="Calibri"/>
        <family val="2"/>
        <charset val="1"/>
      </rPr>
      <t>¹4</t>
    </r>
    <r>
      <rPr>
        <sz val="13"/>
        <color rgb="FF000000"/>
        <rFont val="Calibri"/>
        <family val="2"/>
        <charset val="1"/>
      </rPr>
      <t xml:space="preserve"> 13ª Vara: em 25/11/2019, desligamento de Jorge Eduardo de Freitas Diogenes</t>
    </r>
  </si>
  <si>
    <r>
      <rPr>
        <vertAlign val="superscript"/>
        <sz val="13"/>
        <color rgb="FF000000"/>
        <rFont val="Calibri"/>
        <family val="2"/>
        <charset val="1"/>
      </rPr>
      <t>15</t>
    </r>
    <r>
      <rPr>
        <sz val="13"/>
        <color rgb="FF000000"/>
        <rFont val="Calibri"/>
        <family val="2"/>
        <charset val="1"/>
      </rPr>
      <t>12ª Vara em 07/01/2020: colocou o servidor Allex Mororo a disposição</t>
    </r>
  </si>
  <si>
    <t>¹6 TR2: em 02/01/2020: falecimento Barbara Kelly</t>
  </si>
  <si>
    <t xml:space="preserve">¹7 4ª Vara: em 25/11/2019: Redistribuição de Katiana do Nascimento (com Rubimar, que já estava lotado na vara em ex. prov.) </t>
  </si>
  <si>
    <t>¹8 20ª Vara: em 03/12/2019: desligamento de Raimunda Moreira- retorno à origem por aposentadoria</t>
  </si>
  <si>
    <r>
      <rPr>
        <vertAlign val="superscript"/>
        <sz val="13"/>
        <color rgb="FF000000"/>
        <rFont val="Calibri"/>
        <family val="2"/>
        <charset val="1"/>
      </rPr>
      <t>19</t>
    </r>
    <r>
      <rPr>
        <sz val="13"/>
        <color rgb="FF000000"/>
        <rFont val="Calibri"/>
        <family val="2"/>
        <charset val="1"/>
      </rPr>
      <t xml:space="preserve"> 20 Vara: em 03/03/2020: aposentadoria de Silvana Fontenele Barbosa Benson</t>
    </r>
  </si>
  <si>
    <t>20  9ª Vara: em 14/05/2020: entou Elmano Siqueira,  proveniente da Seção de Cadastro.</t>
  </si>
  <si>
    <r>
      <rPr>
        <vertAlign val="superscript"/>
        <sz val="13"/>
        <color rgb="FF000000"/>
        <rFont val="Calibri"/>
        <family val="2"/>
        <charset val="1"/>
      </rPr>
      <t>21</t>
    </r>
    <r>
      <rPr>
        <sz val="13"/>
        <color rgb="FF000000"/>
        <rFont val="Calibri"/>
        <family val="2"/>
        <charset val="1"/>
      </rPr>
      <t xml:space="preserve"> TR3: em 11/05/2020: entrou Rosamaria Alencar de Oliveira, proveniente da SECAD.</t>
    </r>
  </si>
  <si>
    <r>
      <rPr>
        <vertAlign val="superscript"/>
        <sz val="13"/>
        <color rgb="FF000000"/>
        <rFont val="Calibri"/>
        <family val="2"/>
        <charset val="1"/>
      </rPr>
      <t>22</t>
    </r>
    <r>
      <rPr>
        <sz val="13"/>
        <color rgb="FF000000"/>
        <rFont val="Calibri"/>
        <family val="2"/>
        <charset val="1"/>
      </rPr>
      <t xml:space="preserve"> 6ª Vara: em 18/05/2020: entrou Janio Alcantara de Oliveira, proveniente do NGP.</t>
    </r>
  </si>
  <si>
    <r>
      <rPr>
        <vertAlign val="superscript"/>
        <sz val="13"/>
        <color rgb="FF000000"/>
        <rFont val="Calibri"/>
        <family val="2"/>
        <charset val="1"/>
      </rPr>
      <t>23</t>
    </r>
    <r>
      <rPr>
        <sz val="13"/>
        <color rgb="FF000000"/>
        <rFont val="Calibri"/>
        <family val="2"/>
        <charset val="1"/>
      </rPr>
      <t>2ª Vara: em 29/05/2020: entrou Allex Mororo, proveniente da Seção de Cadastro.</t>
    </r>
  </si>
  <si>
    <r>
      <rPr>
        <vertAlign val="superscript"/>
        <sz val="13"/>
        <color rgb="FF000000"/>
        <rFont val="Calibri"/>
        <family val="2"/>
        <charset val="1"/>
      </rPr>
      <t>24</t>
    </r>
    <r>
      <rPr>
        <sz val="13"/>
        <color rgb="FF000000"/>
        <rFont val="Calibri"/>
        <family val="2"/>
        <charset val="1"/>
      </rPr>
      <t xml:space="preserve"> 5ª Vara: em 01/06/2020: entrou Emmanuela Maria Albuquerque Mont Alverne, proveniente do Setor de Malotes </t>
    </r>
  </si>
  <si>
    <r>
      <rPr>
        <vertAlign val="superscript"/>
        <sz val="13"/>
        <color rgb="FF000000"/>
        <rFont val="Calibri"/>
        <family val="2"/>
        <charset val="1"/>
      </rPr>
      <t>25</t>
    </r>
    <r>
      <rPr>
        <sz val="13"/>
        <color rgb="FF000000"/>
        <rFont val="Calibri"/>
        <family val="2"/>
        <charset val="1"/>
      </rPr>
      <t xml:space="preserve"> 9ª Vara: em 25/05/2020: saída de Elmano Siqueira, retornando à Seção de  Cadastro.</t>
    </r>
  </si>
  <si>
    <r>
      <rPr>
        <vertAlign val="superscript"/>
        <sz val="13"/>
        <color rgb="FF000000"/>
        <rFont val="Calibri"/>
        <family val="2"/>
        <charset val="1"/>
      </rPr>
      <t>26</t>
    </r>
    <r>
      <rPr>
        <sz val="13"/>
        <color rgb="FF000000"/>
        <rFont val="Calibri"/>
        <family val="2"/>
        <charset val="1"/>
      </rPr>
      <t>9ª Vara: em   : entrou Islan Taymon, proveniente da Secad</t>
    </r>
  </si>
  <si>
    <r>
      <rPr>
        <vertAlign val="superscript"/>
        <sz val="13"/>
        <color rgb="FF000000"/>
        <rFont val="Calibri"/>
        <family val="2"/>
        <charset val="1"/>
      </rPr>
      <t>27</t>
    </r>
    <r>
      <rPr>
        <sz val="13"/>
        <color rgb="FF000000"/>
        <rFont val="Calibri"/>
        <family val="2"/>
        <charset val="1"/>
      </rPr>
      <t xml:space="preserve"> 13ª Vara: em : saiu José Luciano Farias - falecimento.</t>
    </r>
  </si>
  <si>
    <r>
      <rPr>
        <vertAlign val="superscript"/>
        <sz val="13"/>
        <color rgb="FF000000"/>
        <rFont val="Calibri"/>
        <family val="2"/>
        <charset val="1"/>
      </rPr>
      <t>28</t>
    </r>
    <r>
      <rPr>
        <sz val="13"/>
        <color rgb="FF000000"/>
        <rFont val="Calibri"/>
        <family val="2"/>
        <charset val="1"/>
      </rPr>
      <t xml:space="preserve">TR2: saiu Victor Emanoel de Castro Ribeiro dt fim: 30/06/2020 para a Secad. Depois foi para a 13 vara - sem penalidade Despacho 1616315 </t>
    </r>
  </si>
  <si>
    <r>
      <rPr>
        <vertAlign val="superscript"/>
        <sz val="13"/>
        <color rgb="FF000000"/>
        <rFont val="Calibri"/>
        <family val="2"/>
        <charset val="1"/>
      </rPr>
      <t>29</t>
    </r>
    <r>
      <rPr>
        <sz val="13"/>
        <color rgb="FF000000"/>
        <rFont val="Calibri"/>
        <family val="2"/>
        <charset val="1"/>
      </rPr>
      <t>13ª Vara: entrou  Victor Emanoel de Castro Ribeiro, dt início: 08/07/2020; proveniente da Secad.</t>
    </r>
  </si>
  <si>
    <r>
      <rPr>
        <vertAlign val="superscript"/>
        <sz val="13"/>
        <color rgb="FF000000"/>
        <rFont val="Calibri"/>
        <family val="2"/>
        <charset val="1"/>
      </rPr>
      <t>30</t>
    </r>
    <r>
      <rPr>
        <sz val="13"/>
        <color rgb="FF000000"/>
        <rFont val="Calibri"/>
        <family val="2"/>
        <charset val="1"/>
      </rPr>
      <t>20 Vara: ISABEL MARTINS ARAUJO( EX. Prov) - desligamento da 20 Vara dt fim: 13/08/2020</t>
    </r>
  </si>
  <si>
    <r>
      <rPr>
        <vertAlign val="superscript"/>
        <sz val="13"/>
        <color rgb="FF000000"/>
        <rFont val="Calibri"/>
        <family val="2"/>
        <charset val="1"/>
      </rPr>
      <t>31</t>
    </r>
    <r>
      <rPr>
        <sz val="13"/>
        <color rgb="FF000000"/>
        <rFont val="Calibri"/>
        <family val="2"/>
        <charset val="1"/>
      </rPr>
      <t xml:space="preserve">TR2: entrou Savio Cesar da Costa e Silva  dt inicio: 25/01/2021; proveniente da 29 Vara _ Remoção. </t>
    </r>
  </si>
  <si>
    <r>
      <rPr>
        <vertAlign val="superscript"/>
        <sz val="13"/>
        <color rgb="FF000000"/>
        <rFont val="Calibri"/>
        <family val="2"/>
        <charset val="1"/>
      </rPr>
      <t>32</t>
    </r>
    <r>
      <rPr>
        <sz val="13"/>
        <color rgb="FF000000"/>
        <rFont val="Calibri"/>
        <family val="2"/>
        <charset val="1"/>
      </rPr>
      <t xml:space="preserve"> 3ª  Vara: desligamento do servidor Rafael Pereira de Gois em 18/12/2020.</t>
    </r>
  </si>
  <si>
    <r>
      <rPr>
        <vertAlign val="superscript"/>
        <sz val="13"/>
        <color rgb="FF000000"/>
        <rFont val="Calibri"/>
        <family val="2"/>
        <charset val="1"/>
      </rPr>
      <t>33</t>
    </r>
    <r>
      <rPr>
        <sz val="13"/>
        <color rgb="FF000000"/>
        <rFont val="Calibri"/>
        <family val="2"/>
        <charset val="1"/>
      </rPr>
      <t>13ª Vara: saiu  Victor Emanoel de Castro Ribeiro, dt fim:22/02/2021; devolvido para Secad e lotado no Gab Secad a partir de 23/02/2021. PENALIDADE</t>
    </r>
  </si>
  <si>
    <r>
      <rPr>
        <vertAlign val="superscript"/>
        <sz val="13"/>
        <color rgb="FF000000"/>
        <rFont val="Calibri"/>
        <family val="2"/>
        <charset val="1"/>
      </rPr>
      <t>34</t>
    </r>
    <r>
      <rPr>
        <sz val="13"/>
        <color rgb="FF000000"/>
        <rFont val="Calibri"/>
        <family val="2"/>
        <charset val="1"/>
      </rPr>
      <t>12ª Vara: AJUSTE: fim da penalidade da 12 vara em 07/01/2021.( colocou o servidor Allex Mororo a disposição , lotado no cadastro em 07/01/2020)</t>
    </r>
  </si>
  <si>
    <t>35TR3 e 3 VARA: Conforme despacho n. 2338258, PA Sei  0001741-59.2021.4.05.7600, CONSIDERAR A TR3 na  2 posição e a 3 Vara na 6 posição, diante da relotação da servidora Giovana Lorna da TR3 para a 3 Vara.</t>
  </si>
  <si>
    <r>
      <rPr>
        <vertAlign val="superscript"/>
        <sz val="13"/>
        <color rgb="FF000000"/>
        <rFont val="Calibri"/>
        <family val="2"/>
        <charset val="1"/>
      </rPr>
      <t>36</t>
    </r>
    <r>
      <rPr>
        <sz val="13"/>
        <color rgb="FF000000"/>
        <rFont val="Calibri"/>
        <family val="2"/>
        <charset val="1"/>
      </rPr>
      <t>11ª  Vara: desligamento de requisitado: Francisco Jose Façanha Felix dt fim:03/05/2021</t>
    </r>
  </si>
  <si>
    <r>
      <rPr>
        <vertAlign val="superscript"/>
        <sz val="13"/>
        <color rgb="FF000000"/>
        <rFont val="Calibri"/>
        <family val="2"/>
        <charset val="1"/>
      </rPr>
      <t>37</t>
    </r>
    <r>
      <rPr>
        <sz val="13"/>
        <color rgb="FF000000"/>
        <rFont val="Calibri"/>
        <family val="2"/>
        <charset val="1"/>
      </rPr>
      <t>10ª  Vara:  entrou Carlos Zedi dt iní´cio: 02/08/2021; proveniente do Setor deContabilidade-GDF</t>
    </r>
  </si>
  <si>
    <r>
      <rPr>
        <vertAlign val="superscript"/>
        <sz val="13"/>
        <color rgb="FF000000"/>
        <rFont val="Calibri"/>
        <family val="2"/>
        <charset val="1"/>
      </rPr>
      <t>38</t>
    </r>
    <r>
      <rPr>
        <sz val="13"/>
        <color rgb="FF000000"/>
        <rFont val="Calibri"/>
        <family val="2"/>
        <charset val="1"/>
      </rPr>
      <t>TR1:  saiu Michely Damasceno- dt fim: 03/05/2021 cedida ao gab desembargador TRF5. Despacho n. 2064540, PA SEI  0001585-71.2021.4.05.7600.</t>
    </r>
  </si>
  <si>
    <r>
      <rPr>
        <vertAlign val="superscript"/>
        <sz val="13"/>
        <color rgb="FF000000"/>
        <rFont val="Calibri"/>
        <family val="2"/>
        <charset val="1"/>
      </rPr>
      <t>39</t>
    </r>
    <r>
      <rPr>
        <sz val="13"/>
        <color rgb="FF000000"/>
        <rFont val="Calibri"/>
        <family val="2"/>
        <charset val="1"/>
      </rPr>
      <t>7 Vara: saiu Tiago Duarte de Oliveira dt fim 26/09/2021; foi para 25 vara</t>
    </r>
  </si>
  <si>
    <t>4026ª  Vara:  saiu Rosana Danielle Coutinho ; relotada na Secad a partir de 18/10/2021. Sem penalidade PA Sei 0005001-47.2021.4.05.7600</t>
  </si>
  <si>
    <r>
      <rPr>
        <vertAlign val="superscript"/>
        <sz val="13"/>
        <color rgb="FF000000"/>
        <rFont val="Calibri"/>
        <family val="2"/>
        <charset val="1"/>
      </rPr>
      <t>411</t>
    </r>
    <r>
      <rPr>
        <sz val="13"/>
        <color rgb="FF000000"/>
        <rFont val="Calibri"/>
        <family val="2"/>
        <charset val="1"/>
      </rPr>
      <t>ª  Vara: entrou requisitado LAILTON  ROCHA MELO dt inicio:  17/11/2021, nesta seguinte situação:  O servidor LAILTON recebe a FC da 1a Vara, porém não está lotado efetivamente na 1a Vara. E sim, no NIST(em 10/03/2022). Não contabilizá-lo nesta planilha.</t>
    </r>
  </si>
  <si>
    <r>
      <rPr>
        <vertAlign val="superscript"/>
        <sz val="13"/>
        <color rgb="FF000000"/>
        <rFont val="Calibri"/>
        <family val="2"/>
        <charset val="1"/>
      </rPr>
      <t>42</t>
    </r>
    <r>
      <rPr>
        <sz val="13"/>
        <color rgb="FF000000"/>
        <rFont val="Calibri"/>
        <family val="2"/>
        <charset val="1"/>
      </rPr>
      <t>13ª Vara: entrou Jose Ronald Maia Barreto em 19/01/2022; veio do Nujud</t>
    </r>
  </si>
  <si>
    <r>
      <rPr>
        <vertAlign val="superscript"/>
        <sz val="13"/>
        <color rgb="FF000000"/>
        <rFont val="Calibri"/>
        <family val="2"/>
        <charset val="1"/>
      </rPr>
      <t>43</t>
    </r>
    <r>
      <rPr>
        <sz val="13"/>
        <color rgb="FF000000"/>
        <rFont val="Calibri"/>
        <family val="2"/>
        <charset val="1"/>
      </rPr>
      <t>11ª Vara:saiu Marianne Sauders desligamento em 31/01/2022</t>
    </r>
  </si>
  <si>
    <r>
      <rPr>
        <vertAlign val="superscript"/>
        <sz val="13"/>
        <color rgb="FF000000"/>
        <rFont val="Calibri"/>
        <family val="2"/>
        <charset val="1"/>
      </rPr>
      <t xml:space="preserve">44 </t>
    </r>
    <r>
      <rPr>
        <sz val="13"/>
        <color rgb="FF000000"/>
        <rFont val="Calibri"/>
        <family val="2"/>
        <charset val="1"/>
      </rPr>
      <t>5ª Vara:saiu Romel Carvalho Bezerra inativo dt fim 18/01/2022</t>
    </r>
  </si>
  <si>
    <t>45 2ª Vara:aguardando decisão sobre aplicação de penalidade sobre saída de Allex Mororó.PA SEI 0005592-09.2021.4.05.7600</t>
  </si>
  <si>
    <r>
      <rPr>
        <vertAlign val="superscript"/>
        <sz val="13"/>
        <color rgb="FF000000"/>
        <rFont val="Calibri"/>
        <family val="2"/>
        <charset val="1"/>
      </rPr>
      <t>46 13</t>
    </r>
    <r>
      <rPr>
        <sz val="13"/>
        <color rgb="FF000000"/>
        <rFont val="Calibri"/>
        <family val="2"/>
        <charset val="1"/>
      </rPr>
      <t>ª Vara:FIM DAPENALIDADE  em 23/02/2022, já que completou 1 ano desde que o servidor (Vicotr Emanoel de Castro Ribeiro)  foi colocadoo à disposiçãoe/lotado no Administrativo- GabSa)</t>
    </r>
  </si>
  <si>
    <r>
      <rPr>
        <vertAlign val="superscript"/>
        <sz val="13"/>
        <color rgb="FF000000"/>
        <rFont val="Calibri"/>
        <family val="2"/>
        <charset val="1"/>
      </rPr>
      <t xml:space="preserve">47 </t>
    </r>
    <r>
      <rPr>
        <sz val="13"/>
        <color rgb="FF000000"/>
        <rFont val="Calibri"/>
        <family val="2"/>
        <charset val="1"/>
      </rPr>
      <t>20ª Vara: Correção número de servidores- são 17 em 11/03/2022. Estava lançado errado o total de 16.</t>
    </r>
  </si>
  <si>
    <r>
      <rPr>
        <vertAlign val="superscript"/>
        <sz val="13"/>
        <color rgb="FF000000"/>
        <rFont val="Calibri"/>
        <family val="2"/>
        <charset val="1"/>
      </rPr>
      <t>48 6</t>
    </r>
    <r>
      <rPr>
        <sz val="13"/>
        <color rgb="FF000000"/>
        <rFont val="Calibri"/>
        <family val="2"/>
        <charset val="1"/>
      </rPr>
      <t>ª Vara: Correção do número de servidores a serem considerados- Esta é a situação:  ajuste realizado, pois desde a entrada da servidora Carla Oliveira da Silva Coutinho, esta não deveria ser contabilizada, pois recebia FC da 6a Vara, mas exercia suas atividades de fato no NGP. A situação permaneceu com a contagem mesmo quando da sua saída da 6a Vara, pois entrou a servidora Sonia Duarte. E o ajuste está sendo feito no sentido de desconsiderar um servidor.</t>
    </r>
  </si>
  <si>
    <r>
      <rPr>
        <vertAlign val="superscript"/>
        <sz val="13"/>
        <color rgb="FF000000"/>
        <rFont val="Calibri"/>
        <family val="2"/>
        <charset val="1"/>
      </rPr>
      <t>49 9</t>
    </r>
    <r>
      <rPr>
        <sz val="13"/>
        <color rgb="FF000000"/>
        <rFont val="Calibri"/>
        <family val="2"/>
        <charset val="1"/>
      </rPr>
      <t>ª Vara: entrou em 21/01/2022 -ANA Glaubia- requisitada. Ela é do quadro da SJCE, removida SINAR para SJPR e, agora requisitada para 9a Vara PA SEI 0003822-78.2021.4.05.7600. para o exercício da Função Comissionada de Oficial de Gabinete do Juiz Titular – código FC 05, na 9ª Vara. É contabilizada por exercer atribuições da FC-5.</t>
    </r>
  </si>
  <si>
    <r>
      <rPr>
        <vertAlign val="superscript"/>
        <sz val="13"/>
        <color rgb="FF000000"/>
        <rFont val="Calibri"/>
        <family val="2"/>
        <charset val="1"/>
      </rPr>
      <t xml:space="preserve">50 </t>
    </r>
    <r>
      <rPr>
        <sz val="13"/>
        <color rgb="FF000000"/>
        <rFont val="Calibri"/>
        <family val="2"/>
        <charset val="1"/>
      </rPr>
      <t>2ª Vara: saída de Raquel Leal Maia- cedida para gabinete desembargador do TRF5. dt fim:09/03/2022. PA Sei 0002042-26.2022.4.05.7000</t>
    </r>
  </si>
  <si>
    <r>
      <rPr>
        <vertAlign val="superscript"/>
        <sz val="13"/>
        <color rgb="FF000000"/>
        <rFont val="Calibri"/>
        <family val="2"/>
        <charset val="1"/>
      </rPr>
      <t>51</t>
    </r>
    <r>
      <rPr>
        <sz val="13"/>
        <color rgb="FF000000"/>
        <rFont val="Calibri"/>
        <family val="2"/>
        <charset val="1"/>
      </rPr>
      <t>13ª Vara: entrou Michely Damasceno Porto de Gois em ; veio do TRF5 (é do quadro e estava cedida ao TRF5)</t>
    </r>
  </si>
  <si>
    <r>
      <rPr>
        <vertAlign val="superscript"/>
        <sz val="13"/>
        <color rgb="FF000000"/>
        <rFont val="Calibri"/>
        <family val="2"/>
        <charset val="1"/>
      </rPr>
      <t>52</t>
    </r>
    <r>
      <rPr>
        <sz val="13"/>
        <color rgb="FF000000"/>
        <rFont val="Calibri"/>
        <family val="2"/>
        <charset val="1"/>
      </rPr>
      <t>13ª Vara: AJUSTE: retirada do servidor Leonardo Monaco Ferrari- OJ do cômputo dos servidores da 13a vara, por ser OJ e exercer atividades de OJ e de Secretaria, conforme informação de Inácio Gomes-diretor em 20/04/2022.</t>
    </r>
  </si>
  <si>
    <r>
      <rPr>
        <vertAlign val="superscript"/>
        <sz val="13"/>
        <color rgb="FF000000"/>
        <rFont val="Calibri"/>
        <family val="2"/>
        <charset val="1"/>
      </rPr>
      <t>53</t>
    </r>
    <r>
      <rPr>
        <sz val="13"/>
        <color rgb="FF000000"/>
        <rFont val="Calibri"/>
        <family val="2"/>
        <charset val="1"/>
      </rPr>
      <t>20ª Vara:  falecimento de ANTONIO CARLOS ALVES LOBO dt 23/04/2022</t>
    </r>
  </si>
  <si>
    <r>
      <rPr>
        <vertAlign val="superscript"/>
        <sz val="13"/>
        <color rgb="FF000000"/>
        <rFont val="Calibri"/>
        <family val="2"/>
        <charset val="1"/>
      </rPr>
      <t>54</t>
    </r>
    <r>
      <rPr>
        <sz val="13"/>
        <color rgb="FF000000"/>
        <rFont val="Calibri"/>
        <family val="2"/>
        <charset val="1"/>
      </rPr>
      <t>4ª Vara: saiu FRANCISCO DE ASSIS ARAUJO dt fim: 30/04/2022 foi relotado no NJ. PA de consulta sobre reordenamento 0002096-35.2022.4.05.7600</t>
    </r>
  </si>
  <si>
    <r>
      <rPr>
        <vertAlign val="superscript"/>
        <sz val="13"/>
        <color rgb="FF000000"/>
        <rFont val="Calibri"/>
        <family val="2"/>
        <charset val="1"/>
      </rPr>
      <t>55 5</t>
    </r>
    <r>
      <rPr>
        <sz val="13"/>
        <color rgb="FF000000"/>
        <rFont val="Calibri"/>
        <family val="2"/>
        <charset val="1"/>
      </rPr>
      <t>ª Vara: saiu JOSE EUDSON MOTA FELIX dt fim: 01/05/2022 foi relotado Na 2a Vara dt inicio: 02/05/2022.</t>
    </r>
  </si>
  <si>
    <r>
      <rPr>
        <vertAlign val="superscript"/>
        <sz val="13"/>
        <color rgb="FF000000"/>
        <rFont val="Calibri"/>
        <family val="2"/>
        <charset val="1"/>
      </rPr>
      <t>55 2</t>
    </r>
    <r>
      <rPr>
        <sz val="13"/>
        <color rgb="FF000000"/>
        <rFont val="Calibri"/>
        <family val="2"/>
        <charset val="1"/>
      </rPr>
      <t>ª Vara: sentrou JOSE EUDSON MOTA FELIX dt inicio: 02/05/2022; relotado proveniente da 5a vara.</t>
    </r>
  </si>
  <si>
    <r>
      <rPr>
        <vertAlign val="superscript"/>
        <sz val="13"/>
        <color rgb="FF000000"/>
        <rFont val="Calibri"/>
        <family val="2"/>
        <charset val="1"/>
      </rPr>
      <t>56 8</t>
    </r>
    <r>
      <rPr>
        <sz val="13"/>
        <color rgb="FF000000"/>
        <rFont val="Calibri"/>
        <family val="2"/>
        <charset val="1"/>
      </rPr>
      <t>ª Vara: saiu JOSE BATISTA ALVES retorno ao orgão de origem.</t>
    </r>
  </si>
  <si>
    <t>EM 12/05/2022 - ATUALIZAÇÃO DA ORDEM DE ANTIGUIDADE DOS MAGISTRADOS-  baseado na lista do TRF5 de antiguidade de juiz federal- JF ANTIGUIDADE 2021-2022 / Realizada correção na programaçãõ de classificare e Filtrar- antiguidade do menor  para o maior.</t>
  </si>
  <si>
    <r>
      <rPr>
        <vertAlign val="superscript"/>
        <sz val="13"/>
        <color rgb="FF000000"/>
        <rFont val="Calibri"/>
        <family val="2"/>
        <charset val="1"/>
      </rPr>
      <t>57 TR1</t>
    </r>
    <r>
      <rPr>
        <sz val="13"/>
        <color rgb="FF000000"/>
        <rFont val="Calibri"/>
        <family val="2"/>
        <charset val="1"/>
      </rPr>
      <t>ª: entrou EVANILDO DA PAZ GUIMARAES, dt inicio: 24/05/2022; veio da 23a Vara (estava como Diretor de Secretaria) / Saiu Ulisses Loureiro Gutierrez, dt fim: 24/05/2022; foi para 13a Vara</t>
    </r>
  </si>
  <si>
    <r>
      <rPr>
        <vertAlign val="superscript"/>
        <sz val="13"/>
        <color rgb="FF000000"/>
        <rFont val="Calibri"/>
        <family val="2"/>
        <charset val="1"/>
      </rPr>
      <t>58 TR1</t>
    </r>
    <r>
      <rPr>
        <sz val="13"/>
        <color rgb="FF000000"/>
        <rFont val="Calibri"/>
        <family val="2"/>
        <charset val="1"/>
      </rPr>
      <t>ª: saiu MARIO CLETO SALES MOURA (estava requisitado), dt fim: 24/05/2022; foi para Limoeiro do Norte. Entrou Francisco Evans Cavalcante Mota dt inicio: 24/05/2022; veio da 13a Vara</t>
    </r>
  </si>
  <si>
    <r>
      <rPr>
        <vertAlign val="superscript"/>
        <sz val="13"/>
        <color rgb="FF000000"/>
        <rFont val="Calibri"/>
        <family val="2"/>
        <charset val="1"/>
      </rPr>
      <t>59 7</t>
    </r>
    <r>
      <rPr>
        <sz val="13"/>
        <color rgb="FF000000"/>
        <rFont val="Calibri"/>
        <family val="2"/>
        <charset val="1"/>
      </rPr>
      <t>ª: saiu  MARIA APARECIDA DE LIMA MOURA DT FIM: 24/05/2022;  era requisitada; foi desligada.</t>
    </r>
  </si>
  <si>
    <r>
      <rPr>
        <vertAlign val="superscript"/>
        <sz val="13"/>
        <color rgb="FF000000"/>
        <rFont val="Calibri"/>
        <family val="2"/>
        <charset val="1"/>
      </rPr>
      <t>60 1</t>
    </r>
    <r>
      <rPr>
        <sz val="13"/>
        <color rgb="FF000000"/>
        <rFont val="Calibri"/>
        <family val="2"/>
        <charset val="1"/>
      </rPr>
      <t>ª: entrou Teresinha Morais Rodrigues dt inicio: 01/06/2022; relotada veio da Secad</t>
    </r>
  </si>
  <si>
    <r>
      <rPr>
        <vertAlign val="superscript"/>
        <sz val="13"/>
        <color rgb="FF000000"/>
        <rFont val="Calibri"/>
        <family val="2"/>
        <charset val="1"/>
      </rPr>
      <t>61</t>
    </r>
    <r>
      <rPr>
        <sz val="13"/>
        <color rgb="FF000000"/>
        <rFont val="Calibri"/>
        <family val="2"/>
        <charset val="1"/>
      </rPr>
      <t>13a Vara:  saiu Ulisses Loureiro- dt fim: 07/06/2022 cedido ao gab desembargador TRF5.  PA SEI 0003458-29.2022.4.05.7000</t>
    </r>
  </si>
  <si>
    <t>NESTA DATA, 15/06/2022, FOI REPASSADA  PELO SUPERVISOR JOSE LUCAS ORIENTAÇÃO (ÁUDIO DA DIRETORA RAQUEL ROLIM) RELATIVA À PLANILHA DE ORDEM DE PREFERÊNCIA DAS VARAS : SOBRE AS CESSÕES DOS SERVIDORES PARA O TRF5 RECLASSIFICAR A PLANILHA DE FORMA QUE ESSA PESSOA CEDIDA CONTINUE CONTANDO NO QUADRO DA VARA, APLICANDO-SE A PENALIDADE. CORRIGIR 2a VARA (SAÍDA DE RAQUEL LEAL MAIA) E 13a  VARA(SAÍDA DE ULISSES LOUREIRO).</t>
  </si>
  <si>
    <r>
      <rPr>
        <vertAlign val="superscript"/>
        <sz val="13"/>
        <color rgb="FF000000"/>
        <rFont val="Calibri"/>
        <family val="2"/>
        <charset val="1"/>
      </rPr>
      <t>62 2</t>
    </r>
    <r>
      <rPr>
        <sz val="13"/>
        <color rgb="FF000000"/>
        <rFont val="Calibri"/>
        <family val="2"/>
        <charset val="1"/>
      </rPr>
      <t>ª: a partir da orientação acima continuar contando no quadro da vara a servidora  Raquel Leal Maia, cedida para o TRF5; por isso ajuste no quantdade ficticia.</t>
    </r>
  </si>
  <si>
    <r>
      <rPr>
        <vertAlign val="superscript"/>
        <sz val="13"/>
        <color rgb="FF000000"/>
        <rFont val="Calibri"/>
        <family val="2"/>
        <charset val="1"/>
      </rPr>
      <t>63 13</t>
    </r>
    <r>
      <rPr>
        <sz val="13"/>
        <color rgb="FF000000"/>
        <rFont val="Calibri"/>
        <family val="2"/>
        <charset val="1"/>
      </rPr>
      <t>ª: a partir da orientação acima continuar contando no quadro da vara o servidor Ulisses Loureiro Gutierrez, cedido para o TRF5; por isso ajuste na quantdade ficticia.</t>
    </r>
  </si>
  <si>
    <r>
      <rPr>
        <vertAlign val="superscript"/>
        <sz val="13"/>
        <color rgb="FF000000"/>
        <rFont val="Calibri"/>
        <family val="2"/>
        <charset val="1"/>
      </rPr>
      <t>64 13</t>
    </r>
    <r>
      <rPr>
        <sz val="13"/>
        <color rgb="FF000000"/>
        <rFont val="Calibri"/>
        <family val="2"/>
        <charset val="1"/>
      </rPr>
      <t>ª: relotação de Anibal e Inacia Vany- saída da 13a vara</t>
    </r>
  </si>
  <si>
    <r>
      <rPr>
        <vertAlign val="superscript"/>
        <sz val="13"/>
        <color rgb="FF000000"/>
        <rFont val="Calibri"/>
        <family val="2"/>
        <charset val="1"/>
      </rPr>
      <t>65 9</t>
    </r>
    <r>
      <rPr>
        <sz val="13"/>
        <color rgb="FF000000"/>
        <rFont val="Calibri"/>
        <family val="2"/>
        <charset val="1"/>
      </rPr>
      <t>ª: desligamento de juliana Lacerda-era requisitada- foi cedida ao TRF5 dt fim: 22/06/2022</t>
    </r>
  </si>
  <si>
    <r>
      <rPr>
        <vertAlign val="superscript"/>
        <sz val="13"/>
        <color rgb="FF000000"/>
        <rFont val="Calibri"/>
        <family val="2"/>
        <charset val="1"/>
      </rPr>
      <t>66 10</t>
    </r>
    <r>
      <rPr>
        <sz val="13"/>
        <color rgb="FF000000"/>
        <rFont val="Calibri"/>
        <family val="2"/>
        <charset val="1"/>
      </rPr>
      <t>ª: aposentadoria carlos Zedi Sobral Machado dt fim: 01/06/2022</t>
    </r>
  </si>
  <si>
    <r>
      <rPr>
        <vertAlign val="superscript"/>
        <sz val="13"/>
        <color rgb="FF000000"/>
        <rFont val="Calibri"/>
        <family val="2"/>
        <charset val="1"/>
      </rPr>
      <t>67 4</t>
    </r>
    <r>
      <rPr>
        <sz val="13"/>
        <color rgb="FF000000"/>
        <rFont val="Calibri"/>
        <family val="2"/>
        <charset val="1"/>
      </rPr>
      <t>ª: aposentadoria Rubimar Jose dt fim: 19/07/2022</t>
    </r>
  </si>
  <si>
    <r>
      <rPr>
        <vertAlign val="superscript"/>
        <sz val="13"/>
        <color rgb="FF000000"/>
        <rFont val="Calibri"/>
        <family val="2"/>
        <charset val="1"/>
      </rPr>
      <t>68 3</t>
    </r>
    <r>
      <rPr>
        <sz val="13"/>
        <color rgb="FF000000"/>
        <rFont val="Calibri"/>
        <family val="2"/>
        <charset val="1"/>
      </rPr>
      <t>ª: desligamento de Giovana Lorna-exerc provisório encerrado dt fim: 07/07/2022</t>
    </r>
  </si>
  <si>
    <r>
      <rPr>
        <vertAlign val="superscript"/>
        <sz val="13"/>
        <color rgb="FF000000"/>
        <rFont val="Calibri"/>
        <family val="2"/>
        <charset val="1"/>
      </rPr>
      <t>69 12</t>
    </r>
    <r>
      <rPr>
        <sz val="13"/>
        <color rgb="FF000000"/>
        <rFont val="Calibri"/>
        <family val="2"/>
        <charset val="1"/>
      </rPr>
      <t>ª: desligamento de Roberta Fernandes Gradvohl -sem vínculo dt fim: 03/07/2022</t>
    </r>
  </si>
  <si>
    <t>70 3ª: saiu Carlos Sergio Lopes Teixeira dt fim: 01/09/2022 relotado no NEGI.</t>
  </si>
  <si>
    <t>71 1ª: saiu Adriana Martins Leal Aposentadoria dt desligamento: 05/09/2022</t>
  </si>
  <si>
    <t>72 13ª: entrou Barbara Eligia Remoção interna, veio da 31a vara- dt inicio:26/09/2022</t>
  </si>
  <si>
    <t>73 20ª: entrou Allex Mororo- relotação: saiu da Secad para a 20a vara dt inicio:12/09/2022</t>
  </si>
  <si>
    <t>74 Marlice Pinto Diniz de Araujo - CE 1914 - Lotada na 9º Vara - Veio da JFAL - Acompanhar conjugê</t>
  </si>
  <si>
    <t>75 NATALIA FONTENELE GARCIA TUPINAMBA - CE 560 - Lotada na SECAD - saiu da 9ª Vara.</t>
  </si>
  <si>
    <r>
      <rPr>
        <b/>
        <sz val="13"/>
        <color rgb="FFFF0000"/>
        <rFont val="Arial"/>
        <family val="2"/>
        <charset val="1"/>
      </rPr>
      <t>76</t>
    </r>
    <r>
      <rPr>
        <sz val="13"/>
        <color rgb="FF000000"/>
        <rFont val="Arial"/>
        <family val="2"/>
        <charset val="1"/>
      </rPr>
      <t xml:space="preserve"> </t>
    </r>
    <r>
      <rPr>
        <sz val="13"/>
        <color rgb="FFFF0000"/>
        <rFont val="Arial"/>
        <family val="2"/>
        <charset val="1"/>
      </rPr>
      <t>De acordo com o Art 2º, § 3º da Portaria 138/2022 e Art 2º, § 2º da Portaria 481/2016, em que limita-se a 02 (dois ) AJOJ por Unidade Judiciária, acima desse valor, inclui-se na soma dos servidores da respectiva Unidade.</t>
    </r>
  </si>
  <si>
    <t>SEÇÃO JUDICIÁRIA DO CEARÁ</t>
  </si>
  <si>
    <t>RESPONSÁVEL POR ATUALIZAR: SERVIDOR QUE LANÇAR VACÂNCIA</t>
  </si>
  <si>
    <t>DATA ATUALIZAÇÃO: 20/05/2024</t>
  </si>
  <si>
    <t>ITEM</t>
  </si>
  <si>
    <t>SERVIDOR</t>
  </si>
  <si>
    <t>PROCESSO ADMINISTRATIVO</t>
  </si>
  <si>
    <t>LOCALIZAÇÃO</t>
  </si>
  <si>
    <t>CLARO DE LOTAÇÃO</t>
  </si>
  <si>
    <t>DATA DESLIGAMENTO</t>
  </si>
  <si>
    <t>MOTIVO</t>
  </si>
  <si>
    <t>SITUAÇÃO</t>
  </si>
  <si>
    <t>ATO PROVIMENTO e VACÂNCIA</t>
  </si>
  <si>
    <t>NOMEADO</t>
  </si>
  <si>
    <t>RESTRIÇÃO ORÇAMENTÁRIA</t>
  </si>
  <si>
    <t>FRANCISCA GOMES BARBOSA</t>
  </si>
  <si>
    <t>ADMINISTRATIVA</t>
  </si>
  <si>
    <t>FORTALEZA</t>
  </si>
  <si>
    <t>SEÇÃO DE MALOTES</t>
  </si>
  <si>
    <t>PROVIDO</t>
  </si>
  <si>
    <t>Nº 229/2019-TRF5</t>
  </si>
  <si>
    <t>DAVID PINTO SOARES</t>
  </si>
  <si>
    <t xml:space="preserve">Transformação do Cargo TÉCNICO JUDICIÁRIO - ÁREA ADMINISTRATIVA em TÉCNICO JUDICIÁRIO - APOIO ESPECIALIZADO - ESPECIALIDADE INFORMÁTICA </t>
  </si>
  <si>
    <t>MARTA TERESA FALCÃO FROTA</t>
  </si>
  <si>
    <t>Nº 210/2019-TRF5</t>
  </si>
  <si>
    <t>YURI MAGALHAES DO CARMO</t>
  </si>
  <si>
    <t>Transformação do Cargo ANALISTA JUDICIÁRIO - OFICIAL DE JUSTIÇA em ANALISTA JUDICIÁRIO - APOIO ESPECIALIZADO - ESPECIALIDADE INFORMÁTICA (DESENVOLVIMENTO)</t>
  </si>
  <si>
    <t>ELIENE FERNANDES E SILVA</t>
  </si>
  <si>
    <t>Nº 183/2020-TRF5</t>
  </si>
  <si>
    <t>RITA MARIA FERREIRA DA SILVA</t>
  </si>
  <si>
    <t>Nº 385/2020-TRF5</t>
  </si>
  <si>
    <t>KRISTIAN CLAUDIO CALLEGARI</t>
  </si>
  <si>
    <t>MARIA APARECIDA DA SILVA</t>
  </si>
  <si>
    <t>GABINETE</t>
  </si>
  <si>
    <t>Nº 424/2020-TRF5</t>
  </si>
  <si>
    <t>KLEDSON DE SOUSA CARVALHO</t>
  </si>
  <si>
    <t>MARCOS SAMUEL DE OLIVEIRA PINTO(solicitou posicionamento no final da lista). Daí nomeação de Kledson de Sousa Carvalho.</t>
  </si>
  <si>
    <t>ANTÔNIO CARLOS MARQUES</t>
  </si>
  <si>
    <t>Nº 386/2020-TRF5</t>
  </si>
  <si>
    <t xml:space="preserve">Transformação do Cargo TÉCNICO JUDICIÁRIO - ÁREA SEGURANÇA E TRANSPORTE em TÉCNICO JUDICIÁRIO - ÁREA APOIO ESPECIALIZADO - ESPECIALIDADE INFORMÁTICA </t>
  </si>
  <si>
    <t>VALDENIRA MUNIZ SOMBRA</t>
  </si>
  <si>
    <t xml:space="preserve">IRLENE DOS SANTOS RABELO </t>
  </si>
  <si>
    <t>MARIA PERPÉTUA DE FREITAS GOMES</t>
  </si>
  <si>
    <t>INCORPORADO AO TRF5</t>
  </si>
  <si>
    <t>Redistribuído para TRF5, conforme processo administrativo n. 0010738-85.2021.4.05.7000</t>
  </si>
  <si>
    <t>MARIA IVANDA GOMES DE LIMA</t>
  </si>
  <si>
    <t>APOIO MALOTE DAS VARAS</t>
  </si>
  <si>
    <t>ANTÔNIO AIRTON DA SILVA</t>
  </si>
  <si>
    <t>Transformado em cargo de Técnico Judiciario, Área Apoio Especializado, Especialidade Informática pelo ato n. 1762022 do TRF5 (link: https://sei.trf5.jus.br/sei/controlador.php?acao=procedimento_trabalhar&amp;id_procedimento=2833705)</t>
  </si>
  <si>
    <t>ERONILDE MARTA MATOS</t>
  </si>
  <si>
    <t>Nº 468/2023-TRF5</t>
  </si>
  <si>
    <t>PRISCILLA ISABELLE SILVA
DE MELO</t>
  </si>
  <si>
    <t>Autorização de provimento do TRF5, processo administrativo n. 0001768-28.2023.4.05.7000</t>
  </si>
  <si>
    <t>MARIA ACELMA RODRIGUES DE SÁ</t>
  </si>
  <si>
    <t>ALEXANDRE VERAS
NUNES</t>
  </si>
  <si>
    <t>RAIMUNDO GOMES DE LUNA</t>
  </si>
  <si>
    <t xml:space="preserve">ALEXANDRE DE OLIVEIRA E
CONCEICAO
</t>
  </si>
  <si>
    <t>ELEONORA PAIVA DE ARAÚJO PEIXOTO</t>
  </si>
  <si>
    <t>32ª Vara</t>
  </si>
  <si>
    <t>Nº 172/2020-TRF5</t>
  </si>
  <si>
    <t>MATEUS GOMES VIANA</t>
  </si>
  <si>
    <t>SONIA MARIA DE OLIVEIRA SCHRAMM</t>
  </si>
  <si>
    <t>SEÇÃO DE GESTÃO DO CONHECIMENTO</t>
  </si>
  <si>
    <t>Nº 502/2019-TRF5</t>
  </si>
  <si>
    <t>AMANDA LUISA PASSOS DE SOUSA</t>
  </si>
  <si>
    <t>Autorização de Provimento - PA: 0002175-73.2019.7000</t>
  </si>
  <si>
    <t>JOSE LUCIENIO GONZAGA VANDERLEY</t>
  </si>
  <si>
    <t>Nº 428/2019-TRF5</t>
  </si>
  <si>
    <t>LUIS FERNANDO COSTA PINTO</t>
  </si>
  <si>
    <t>Transformação do Cargo ANALISTA JUDICIÁRIO - OFICIAL DE JUSTIÇA em ANALISTA JUDICIÁRIO - AREA ADMINISTRATIVA. (Ato n 411 de 05/11/2020, publicado em 06/11/2020 DEA TRF5). Reservada à candidato negro.</t>
  </si>
  <si>
    <t>MARIA TERESA LIMA DALGE</t>
  </si>
  <si>
    <t>RENATO GONDIM GALDINO</t>
  </si>
  <si>
    <t>CRISTIANA CAPISTRANO TEIXEIRA</t>
  </si>
  <si>
    <t>EXONERAÇÃO</t>
  </si>
  <si>
    <t>RIVERCLEITON DE CARVALHO MOREIRA</t>
  </si>
  <si>
    <t>JOAO LUCAS PAIVA FERNANDES</t>
  </si>
  <si>
    <t>JUAZEIRO DO NORTE</t>
  </si>
  <si>
    <t>POSSE EM OUTRO CARGO INACUMULÁVEL</t>
  </si>
  <si>
    <t>Nº 105/2020-TRF5</t>
  </si>
  <si>
    <t>CLAUDIA MIRANDA GONÇALVES</t>
  </si>
  <si>
    <t>1. Reservado ao candidato negro CARLUCIO GERMANO DA SILVA. Sentença proferida em 28/08/2019 nos autos do Processo nº 0807762-72.2018.4.05.8101, ora em tramitação na 15ª Vara Federal dessa Seção Judiciária; 2. Determinação do Diretor do Foro que, quando da próxima nomeação ou remoção de servidor ocupante do cargo de Técnico Judiciário – Área Administrativa para a Subseção Judiciária de Juazeiro do Norte, o Núcleo de Gestão de Pessoas promova a sua lotação na 30ª Vara Federal.0004282-70.2018.4.05.7600(deficit Danielle 30ª Vara). - Processo remoção 1/2019 (0002869-85.2019.4.05.7600)</t>
  </si>
  <si>
    <t>HELENA VIDAL DE PAULA LIMA</t>
  </si>
  <si>
    <t>Nº 384/2020-TRF5</t>
  </si>
  <si>
    <t>GUILHERME CHOAIRY FONTENELE</t>
  </si>
  <si>
    <t>ANTONIO CARLOS RODRIGUES ARAGAO FILHO</t>
  </si>
  <si>
    <t>IGUATU</t>
  </si>
  <si>
    <t>JORGE EDUARDO DE FREITAS DIÓGENES</t>
  </si>
  <si>
    <t>MARIA DE LOURDES VIANA FEITOSA</t>
  </si>
  <si>
    <t>Francisco Adeilton de Araujo Rodrigues - PA 0000868-54.2024.4.05.7600 - Redistribuição por Reciprocidade com cargo vago de mesma denominação na SJCE.</t>
  </si>
  <si>
    <t>ERICA CLEA BARROS DE LIMA TAVARES</t>
  </si>
  <si>
    <t>QUIXADÁ</t>
  </si>
  <si>
    <t>Nº 468/2019-TRF5</t>
  </si>
  <si>
    <t>HELDER DE OLIVEIRA SANTOS</t>
  </si>
  <si>
    <t>MARIA DE FÁTIMA MULATO LIMA</t>
  </si>
  <si>
    <t>0002331-02.2022.4.05.7600</t>
  </si>
  <si>
    <t>3ª TR</t>
  </si>
  <si>
    <t>Nº 393/2024-TRF5</t>
  </si>
  <si>
    <t>BRUNO FACUNDO BRAGA</t>
  </si>
  <si>
    <t>Proposta de alteração de cargo para Técnico Judiciário- Apoio Especializado- Contabilidade</t>
  </si>
  <si>
    <t>SIM</t>
  </si>
  <si>
    <t>SILVINY DE MELO BARROS</t>
  </si>
  <si>
    <t>0006492-55.2022.4.05.7600</t>
  </si>
  <si>
    <t>ITAPIPOCA</t>
  </si>
  <si>
    <t>Nº 465/2019-TRF5</t>
  </si>
  <si>
    <t>MARIA DO SOCORRO PARENTE SOARES</t>
  </si>
  <si>
    <t>Ato vacância do Servidor Silviny de Melo Barros nº 399/2019 - TRF5</t>
  </si>
  <si>
    <t>KELSEN GONÇALVES DA SILVA</t>
  </si>
  <si>
    <t>0001117-39.2023.4.05.7600</t>
  </si>
  <si>
    <t>Nº 464/2019-TRF5</t>
  </si>
  <si>
    <t>PRISCILA WELLAUSEN DE ALENCAR ARARIPE</t>
  </si>
  <si>
    <t>Ato vacância do Servidor Kelsen Gonçalves da Silva nº 425/2019 - TRF5</t>
  </si>
  <si>
    <t>ANA MARIA CHAVES GUIDEM</t>
  </si>
  <si>
    <t>Januse Feitosa Macedo - PA 0000872-91.2024.4.05.7600 - Redistribuição por Reciprocidade com cargo vago de mesma denominação na SJCE.</t>
  </si>
  <si>
    <t>ROBERTO JULIO LIMA MARQUES</t>
  </si>
  <si>
    <t>LEOPOLDO PINHEIRO FILHO</t>
  </si>
  <si>
    <t>Transformado em cargo de Técnico Judiciario, Área Apoio Especializado, Especialidade Informática pelo ato n. 1762022 do TRF5 (link:https://sei.trf5.jus.br/sei/controlador.php?acao=procedimento_trabalhar&amp;id_procedimento=2833705))</t>
  </si>
  <si>
    <t>Nº 61/2020-TRF5</t>
  </si>
  <si>
    <t>Edital de Remoção Interna 2/2020.</t>
  </si>
  <si>
    <t>ALBERT ELI SILVA GONÇALVES</t>
  </si>
  <si>
    <t>SOBRAL</t>
  </si>
  <si>
    <t>RODRIGO CARDOSO PAULA</t>
  </si>
  <si>
    <t>2ª TR</t>
  </si>
  <si>
    <t>Gustavo Barreira Rodrigues - PA 0000870-24.2024.4.05.7600 - Redistribuição por Reciprocidade com cargo vago de mesma denominação na SJCE.</t>
  </si>
  <si>
    <t>EDSON JOSE PEREIRA AMADOR</t>
  </si>
  <si>
    <t>CARMEN MARIA SILVA NASCIMENTO</t>
  </si>
  <si>
    <t>SETOR DE MALOTE</t>
  </si>
  <si>
    <t>Sidney Fernandes da Silva - PA 0001062-54.2024.4.05.7600 - Redistribuição por Reciprocidade com cargo vago de mesma denominação na SJCE.</t>
  </si>
  <si>
    <t>RICARDO SERGIO COSTA LIMA</t>
  </si>
  <si>
    <t>JANEILINE DE SÁ CARNEIRO</t>
  </si>
  <si>
    <t>ANALISTA JUDICIÁRIO - AREA JUD</t>
  </si>
  <si>
    <t>CRATEÚS</t>
  </si>
  <si>
    <t>22ª Vara</t>
  </si>
  <si>
    <t>Nº 181/2020-TRF5</t>
  </si>
  <si>
    <t>MAISA DE CARVALHO GONÇALVES NUNES REIS</t>
  </si>
  <si>
    <t>Edital de Remoção 3/2020</t>
  </si>
  <si>
    <t>SILVANA FONTENELE BARBOSA BENSON</t>
  </si>
  <si>
    <t>0001344-63.2022.4.05.7600</t>
  </si>
  <si>
    <t>KLEFFERSON FREITAS DE JESUS</t>
  </si>
  <si>
    <t>FRANCISCO JOSÉ PEREIRA DE OLIVEIRA</t>
  </si>
  <si>
    <t>YURI MAGALHÃES DO CARMO</t>
  </si>
  <si>
    <t>Nº 325/2020-TRF5</t>
  </si>
  <si>
    <t>LEVI  LOPES SOARES E SILVA</t>
  </si>
  <si>
    <t xml:space="preserve">RODRIGO CARDOSO PAULA </t>
  </si>
  <si>
    <t>Nº 405/2020-TRF5</t>
  </si>
  <si>
    <t>LORENA DE PAULA CANDIDO</t>
  </si>
  <si>
    <t>JOSÉ LUCIOMAR FORTE DE OLIVEIRA</t>
  </si>
  <si>
    <t>01/10//2020</t>
  </si>
  <si>
    <t>Maria Cirene da Silva Guimaraes - PA 0004206-36.2024.4.05.7600 - Redistribuição por Reciprocidade com cargo vago de mesma denominação na SJCE. Na vaga da aposentadoria de JOSÉ LUCIOMAR FORTE DE OLIVEIRA (lotação na ativa: NIAP - Fortaleza).</t>
  </si>
  <si>
    <t>Nº 481/2020-TRF5</t>
  </si>
  <si>
    <t>DANTE LOPES RIBEIRO</t>
  </si>
  <si>
    <t>RAFAEL PEREIRA DE GOIS</t>
  </si>
  <si>
    <t>Nº20/2021-TRF5</t>
  </si>
  <si>
    <t>FRANCISCO JARDEL DE SOUSA SANTOS</t>
  </si>
  <si>
    <t>Edital de Remoção 1/2021</t>
  </si>
  <si>
    <t>Nº16/2021-TRF5</t>
  </si>
  <si>
    <t>MARIA ANTONIZETE DE OLIVEIRA SILVA</t>
  </si>
  <si>
    <t>CARLOS RAFAEL AGUIAR DIDIER</t>
  </si>
  <si>
    <t>Nº17/2021-TRF5</t>
  </si>
  <si>
    <t>FRANCISCA FERREIRA DOS SANTOS</t>
  </si>
  <si>
    <t>SALOMAO SA MENEZES MORAES</t>
  </si>
  <si>
    <t>Nº18/2021-TRF5</t>
  </si>
  <si>
    <t>IVO MASSUETE OLIVEIRA TEIXEIRA</t>
  </si>
  <si>
    <t>ROMILDO ROCHA PORFIRIO</t>
  </si>
  <si>
    <t>Nº 69/2021-TRF5</t>
  </si>
  <si>
    <t>Transformação do Cargo ANALISTA JUDICIÁRIO - OFICIAL DE JUSTIÇA em ANALISTA JUDICIÁRIO - AREA APOIO ESPEC-CONTADORIA. (Ato 359/2021, DEATRF5 DE 19/08/2021)</t>
  </si>
  <si>
    <t>ALEX SANDRO RODRIGUES OLIVEIRA</t>
  </si>
  <si>
    <t>DEMISSÃO</t>
  </si>
  <si>
    <t>Nº 299/2021-TRF5</t>
  </si>
  <si>
    <t>LORENA CORREIA PINHEIRO</t>
  </si>
  <si>
    <t>Edital de Remoção 2/2021</t>
  </si>
  <si>
    <t>LEVI LOPES SOARES E SILVA</t>
  </si>
  <si>
    <t>Nº 280/2021-TRF5</t>
  </si>
  <si>
    <t>Nº 341/2021-TRF5</t>
  </si>
  <si>
    <t>TIAGO SOUZA FERNANDES</t>
  </si>
  <si>
    <t>Edital de Remoção 3/2021</t>
  </si>
  <si>
    <t>JOSE GERARDO FREIRE</t>
  </si>
  <si>
    <t>Nº 361/2021-TRF5</t>
  </si>
  <si>
    <t xml:space="preserve">Transformação do Cargo ANALISTA JUDICIÁRIO - OFICIAL DE JUSTIÇA em ANALISTA JUDICIÁRIO - AREA APOIO ESPEC ENGENARIA CIVIL Ato 495/2021, DEATRF5 DE 25/11/2021 PA  0004405-63.2021.4.05.7600; Cargo Provido através do ato n. 518/2021 do TRF5 que consta nos autos do processo 0005849-34.2021.4.05.7600. </t>
  </si>
  <si>
    <t>Nº 404/2021-TRF5</t>
  </si>
  <si>
    <t>DYEGO TERCEIRO SÁ</t>
  </si>
  <si>
    <t>JOÃO EUDES MACHADO CAVALCANTE</t>
  </si>
  <si>
    <t>Nº 742/2022-TRF5</t>
  </si>
  <si>
    <t>PABLO GONÇALVES FERREIRA</t>
  </si>
  <si>
    <t>CLÁUDIA MIRANDA GONÇALVES</t>
  </si>
  <si>
    <t>Nº 2/2022-TRF5</t>
  </si>
  <si>
    <t>REBECA MARTINS (DESISTIR)</t>
  </si>
  <si>
    <t>MARIA REJANE ROCHA</t>
  </si>
  <si>
    <t>Rita de Cassia Memoria Barroso - PA 0004220-20.2024.4.05.7600 - Redistribuição por Reciprocidade com cargo vago de mesma denominação na SJCE. Na vaga da aposentadoria de MARIA REJANE ROCHA (lotação na ativa: NUJUD - Fortaleza).</t>
  </si>
  <si>
    <t>LUCIANO UCHOA HONORIO</t>
  </si>
  <si>
    <t>Cargo transformado de AJOJ para AJAJ-sem especialidade- RES 08/2022 Conselho de Administração TRF5 PA Sei 0010738-85.2021.4.05.7000. Cargo incorporado pelo TRF5 -RES 08/2022 Conselho de Administração TRF5 PA Sei 0010738-85.2021.4.05.7000 (Redistribuído para TRF5, conforme processo administrativo n. 0010738-85.2021.4.05.7000)</t>
  </si>
  <si>
    <t>RÔMEL CARVALHO BEZERRA</t>
  </si>
  <si>
    <t>0005205-91.2021.4.05.7600</t>
  </si>
  <si>
    <t>LIMOEIRO DO NORTE</t>
  </si>
  <si>
    <t>NATALIA GIRLENE DA SILVA LEOPOLDO NUNES</t>
  </si>
  <si>
    <t>ANTONIO CARLOS ALVES LOBO</t>
  </si>
  <si>
    <t>Nº 655/2024 - TRF 5</t>
  </si>
  <si>
    <t>LUIZ HENRIQUE LOPES RODRIGUES</t>
  </si>
  <si>
    <t>Nº 176/2022-TRF5</t>
  </si>
  <si>
    <t>DTI</t>
  </si>
  <si>
    <t>ATO Nº 293/2025 - TRF5</t>
  </si>
  <si>
    <t>ATO Nº 323/2025</t>
  </si>
  <si>
    <t>ELPIDIO FARNNEY FORTE E SILVA</t>
  </si>
  <si>
    <t>Nº 293/2025-TRF5</t>
  </si>
  <si>
    <t>VAGO</t>
  </si>
  <si>
    <t>THAIS FROTA RIBEIRO CAPISTRANO</t>
  </si>
  <si>
    <t>0002566-66.2022.4.05.7600</t>
  </si>
  <si>
    <t>Nº 411/2022-TRF5</t>
  </si>
  <si>
    <t>DEBORA NISHI MACHADO</t>
  </si>
  <si>
    <t>EDNA MARIA MESQUITA VIANA</t>
  </si>
  <si>
    <t>0000396-24.2022.4.05.7600</t>
  </si>
  <si>
    <t>SEÇÃO DE CONTADORIA</t>
  </si>
  <si>
    <t>Cargo incorporado pelo TRF5 -RES 08/2022 Conselho de Administração TRF5 PA Sei 0010738-85.2021.4.05.7000</t>
  </si>
  <si>
    <t>VALERIA MARIA PARENTE DE MENEZES</t>
  </si>
  <si>
    <t>0001871-15.2022.4.05.7600</t>
  </si>
  <si>
    <t>Helena de Nazareth Guimaraes - PA 0004636-85.2024.4.05.7600 - Redistribuição por Reciprocidade com cargo vago de mesma denominação na SJCE. Na vaga da aposentadoria de  VALERIA MARIA PARENTE DE MENEZES (lotação na ativa: NUGEP FOLHA DE PAGAMENTO - Fortaleza).</t>
  </si>
  <si>
    <t>0005679-62.2021.4.05.7600</t>
  </si>
  <si>
    <t>GILBERTO
AGUIAR PONTE</t>
  </si>
  <si>
    <t>ANTONIO ANDERLAN DE AGUIAR MOURA</t>
  </si>
  <si>
    <t>0003692-54.2022.4.05.7600</t>
  </si>
  <si>
    <t>BRUNO DE ALBUQUERQUE BARRETO</t>
  </si>
  <si>
    <t>0004360-25.2022.4.05.7600</t>
  </si>
  <si>
    <t>GLAUCIO FERREIRA PAZ</t>
  </si>
  <si>
    <t>0004248-56.2022.4.05.7600</t>
  </si>
  <si>
    <t>RUBIMAR JOSE DE CARVALHO</t>
  </si>
  <si>
    <t>Redistribuição Jose Alexandre Carneiro. PA 0004789-21.2024.4.05.7600</t>
  </si>
  <si>
    <t>0003277-71.2022.4.05.7600</t>
  </si>
  <si>
    <t>CARLENA MARIA DUARTE DE HOLANDA</t>
  </si>
  <si>
    <t>0001136-79.2022.4.05.7600</t>
  </si>
  <si>
    <t>SEÇÃO DE PATRIMÔNIO</t>
  </si>
  <si>
    <t>RAFAEL MAGALHAES
MACIEL</t>
  </si>
  <si>
    <t>EDUARDO WOLFF RODRIGUES</t>
  </si>
  <si>
    <t>0005616-03.2022.4.05.7600</t>
  </si>
  <si>
    <t>Nº 706/2022-TRF5</t>
  </si>
  <si>
    <t>DANIEL RODRIGUES FILHO</t>
  </si>
  <si>
    <t>FRANCISCO NAZARENO BRASILEIRO DIAS</t>
  </si>
  <si>
    <t>0000036-55.2023.4.05.7600</t>
  </si>
  <si>
    <t>MARIA ADRIANA
MATOS DA SILVA</t>
  </si>
  <si>
    <t>0000314-56.2023.4.05.7600</t>
  </si>
  <si>
    <t>Ato 372/2024</t>
  </si>
  <si>
    <t>PA 005378-13.2024.4.05.7600</t>
  </si>
  <si>
    <t>EUZEBIO LUIZ VILAR LIMA</t>
  </si>
  <si>
    <t>Nº 330/2025-TRF5</t>
  </si>
  <si>
    <t>ROBSON XAVIER GONDIM</t>
  </si>
  <si>
    <t xml:space="preserve"> </t>
  </si>
  <si>
    <t>NATÁLIA FONTENELE GARCIA TUPINAMBÁ</t>
  </si>
  <si>
    <t>0000670-51.2023.4.05.7600</t>
  </si>
  <si>
    <t>RACHEL MESQUITA DE
FIGUEIREDO CARVALHO</t>
  </si>
  <si>
    <t>JOSÉ FREDERICO DE ANDRADE AQUINO</t>
  </si>
  <si>
    <t>0006054-29.2022.4.05.7600</t>
  </si>
  <si>
    <t>BRENO DE LACERDA
MOURA</t>
  </si>
  <si>
    <t>AÍDA BEZERRA DE MENEZES GUEDES</t>
  </si>
  <si>
    <t>SEÇÃO DE PROVIMENTO</t>
  </si>
  <si>
    <t>RENAN BARROS MOURA COSTA</t>
  </si>
  <si>
    <t>0001009-10.2023.4.05.7600</t>
  </si>
  <si>
    <t>Nº 794/2023-TRF5</t>
  </si>
  <si>
    <t>ANTONIO FREIRE LIMA FILHO</t>
  </si>
  <si>
    <t>0002378-39.2023.4.05.7600</t>
  </si>
  <si>
    <t>PA 005382-50.2024.4.05.7600</t>
  </si>
  <si>
    <t>0000162-08.2023.4.05.7600</t>
  </si>
  <si>
    <t>Nº 775/2023-TRF5</t>
  </si>
  <si>
    <t>ANGELA MARIA ALVES PINHEIRO</t>
  </si>
  <si>
    <t>Transformado em cargo de Analista Judiciario, Área Apoio Especializado, Especialidade Informática (Desenvolvimento) pelo ato n. 646/2023 do TRF5</t>
  </si>
  <si>
    <t>MARIA EDNETE JUCÁ COUTO</t>
  </si>
  <si>
    <t>0002854-77.2023.4.05.7600</t>
  </si>
  <si>
    <t xml:space="preserve"> Nº 636/2023-TRF5</t>
  </si>
  <si>
    <t xml:space="preserve">CLÁUDIO FERREIRA DOS SANTOS </t>
  </si>
  <si>
    <t>MARCOS DE OLIVEIRA</t>
  </si>
  <si>
    <t>0002178-32.2023.4.05.7600</t>
  </si>
  <si>
    <t>SEÇÃO DE FOLHA</t>
  </si>
  <si>
    <t>MATHEUS DE MOURA E SOUZA</t>
  </si>
  <si>
    <t>ANTÔNIO ATAÍDE DA SILVA JÚNIOR</t>
  </si>
  <si>
    <t>0003815-52.2022.4.05.7600</t>
  </si>
  <si>
    <t>1ª TR</t>
  </si>
  <si>
    <t>Nº 700/2023-TRF5</t>
  </si>
  <si>
    <t>CAMILO PAIVA MATOS PIMENTEL</t>
  </si>
  <si>
    <t>LUANA ACOSTA MATOS</t>
  </si>
  <si>
    <t>0004576-49.2023.4.05.7600</t>
  </si>
  <si>
    <t>Nº 773/2023-TRF5</t>
  </si>
  <si>
    <t>RENAN MELO ARAGAO TIMBO MARTINS MENDES FURTADO</t>
  </si>
  <si>
    <t>0000225-33.2023.4.05.7600</t>
  </si>
  <si>
    <t>SEÇÃO DE ARQUIVO</t>
  </si>
  <si>
    <t>DIANA GABRIELA DE OLIVEIRA SILVA E SOUZA</t>
  </si>
  <si>
    <t>0003547-61.2023.4.05.7600</t>
  </si>
  <si>
    <t>33ª Vara</t>
  </si>
  <si>
    <t>Nº 837/2023-TRF5</t>
  </si>
  <si>
    <t>ARIMA COELHO DE FARIA PEREIRA</t>
  </si>
  <si>
    <t>0005565-55.2023.4.05.7600</t>
  </si>
  <si>
    <t>TAUÁ</t>
  </si>
  <si>
    <t>Nº 927/2023-TRF5</t>
  </si>
  <si>
    <t>LEANDRO RAVYELLE DA SILVA SALES</t>
  </si>
  <si>
    <t>DANIELE DE SOUSA OLIVEIRA</t>
  </si>
  <si>
    <t>0005677-24.2023.4.05.7600</t>
  </si>
  <si>
    <t xml:space="preserve">nº 04/2025 - TRF 5 </t>
  </si>
  <si>
    <t>JOAO VICTOR DINIZ PEQUENO</t>
  </si>
  <si>
    <t>NÃO</t>
  </si>
  <si>
    <t>SUZANA MAURÍCIO NOGUEIRA</t>
  </si>
  <si>
    <t>0005644-34.2023.4.05.7600</t>
  </si>
  <si>
    <t>MARACANAÚ</t>
  </si>
  <si>
    <t>MILENA MESQUITA DE ALMEIDA</t>
  </si>
  <si>
    <t>MARIA RACHEL SOUSA DO NASCIMENTO</t>
  </si>
  <si>
    <t>0005594-08.2023.4.05.7600</t>
  </si>
  <si>
    <t>REDISTRIBUIÇÃO</t>
  </si>
  <si>
    <t>PA 0000730-87.2024.4.05.7600 - Redistribuição por Reciprocidade em cargo vago na SJCE - Breno Edson Chaves</t>
  </si>
  <si>
    <t>0005488-46.2023.4.05.7600</t>
  </si>
  <si>
    <t>Nº 333/2024-TRF5</t>
  </si>
  <si>
    <t>JOSE RONIER DE FRANÇA SILVA</t>
  </si>
  <si>
    <t xml:space="preserve">PA 0004368-31.2024.4.05.7600 cargo de Analista Judiciário - Área Administrativa transformado em Analista Judiciário - Area de Apoio Especializado - Especialidade MEDICINA (CLINICA GERAL) </t>
  </si>
  <si>
    <t>0006233-26.2023.4.05.7600</t>
  </si>
  <si>
    <t>THIAGO SILVEIRA</t>
  </si>
  <si>
    <t>0006520-86.2023.4.05.7600</t>
  </si>
  <si>
    <t>Nº 973/2023-TRF5</t>
  </si>
  <si>
    <t>DAVI MENESES BESSA</t>
  </si>
  <si>
    <t>RODOLFO DE SOUZA CARDOZO DA COSTA</t>
  </si>
  <si>
    <t>0008534-97.2023.4.05.7000</t>
  </si>
  <si>
    <t>REDISTRIBUIÇÃO CARGO VAGO</t>
  </si>
  <si>
    <t>Nº 907/2023-TRF5</t>
  </si>
  <si>
    <t>0002539-49.2023.4.05.7600</t>
  </si>
  <si>
    <t>Nº 913/2023-TRF5</t>
  </si>
  <si>
    <r>
      <rPr>
        <b/>
        <u/>
        <sz val="11"/>
        <color rgb="FF0000FF"/>
        <rFont val="Calibri"/>
        <family val="2"/>
        <charset val="1"/>
      </rPr>
      <t xml:space="preserve">PA 0006101-66.2023.4.05.7600 cargo de Analista Judiciário - Área Administrativa transformado em  cargo de Analista Judiciario, Área Apoio Especializado, PSICOLOGIA.        </t>
    </r>
    <r>
      <rPr>
        <b/>
        <u/>
        <sz val="11"/>
        <color rgb="FFFF0000"/>
        <rFont val="Calibri"/>
        <family val="2"/>
        <charset val="1"/>
      </rPr>
      <t>PA 0004446-25.2024.4.05.7600 - Redistribuição por Reciprocidade em cargo de mesma denominação na SJPA/TRF1 URSULA CUSTODIO GOMES</t>
    </r>
  </si>
  <si>
    <t>0005968-24.2023.4.05.7600</t>
  </si>
  <si>
    <t>IZMIR DE ABREU BERNARDO</t>
  </si>
  <si>
    <t>SEVERINO TARCÍSIO NOBREGA QUEIROGA</t>
  </si>
  <si>
    <t>0006031-49.2023.4.05.7600</t>
  </si>
  <si>
    <t>ANDRE FURTADO DE SOUZA</t>
  </si>
  <si>
    <t>RODRIGO CAMPELO DIOGENES</t>
  </si>
  <si>
    <t>0005929-27.2023.4.05.7600</t>
  </si>
  <si>
    <t>Nº 35/2024-TRF5</t>
  </si>
  <si>
    <t>JONAS SAMPAIO SANTIAGO</t>
  </si>
  <si>
    <t>Nomeação Juazeiro do Norte</t>
  </si>
  <si>
    <t>0006921-85.2023.4.05.7600</t>
  </si>
  <si>
    <t>SOF</t>
  </si>
  <si>
    <t>ADJANE SARMENTO BARBOSA</t>
  </si>
  <si>
    <t>JOSE LUCAS CARVALHO SILVA</t>
  </si>
  <si>
    <t>0004041-23.2023.4.05.7600</t>
  </si>
  <si>
    <t>NGP.Provimento</t>
  </si>
  <si>
    <t>Nº 54/2024-TRF5</t>
  </si>
  <si>
    <t>ANDERSON DO NASCIMENTO BESERA</t>
  </si>
  <si>
    <t>Nomeação Juazeiro do Norte 30ª Vara Federal</t>
  </si>
  <si>
    <t>0000346-27.2024.4.05.7600</t>
  </si>
  <si>
    <t>17ª VARA</t>
  </si>
  <si>
    <t xml:space="preserve">Nº 04/2025 - TRF 5 </t>
  </si>
  <si>
    <t>MARINA RABELO TAVORA FURTADO</t>
  </si>
  <si>
    <t>0000421-66.2024.4.05.7600</t>
  </si>
  <si>
    <t>DIEGO RICARDO TEIXEIRA MATOS</t>
  </si>
  <si>
    <t xml:space="preserve">MARIA DE LOURDES ARAGAO LOPES PORTO </t>
  </si>
  <si>
    <t>0006548-54.2023.4.05.7600</t>
  </si>
  <si>
    <t>MARIANA OLIVEIRA DOS SANTOS PEREIRA</t>
  </si>
  <si>
    <t>FRANCISCO DE ASSIS DE ARAUJO</t>
  </si>
  <si>
    <t>0000618-21.2024.4.05.7600</t>
  </si>
  <si>
    <t>RUAN SOLVA RABELO</t>
  </si>
  <si>
    <t>PEDRO HENRIQUE NUNES FARIA</t>
  </si>
  <si>
    <t>0002009-11.2024.4.05.7600</t>
  </si>
  <si>
    <t>GUSTAVO HOLANDA FONTES</t>
  </si>
  <si>
    <t>0006774-59.2023.4.05.7600</t>
  </si>
  <si>
    <t xml:space="preserve">PA 0000844-89.2025.4.05.7600 cargo de Analista Judiciário - Área AdministrativaTRANSFORMADO para Analista Judiciário - Area de Apoio Especializado - Especialidade Engenharia Eletrica </t>
  </si>
  <si>
    <t>JACYRA MARLENE CHAVES LEITE</t>
  </si>
  <si>
    <t>0002060-22.2024.4.05.7600</t>
  </si>
  <si>
    <t>PA 0002388-49.2024.4.05.7600 - Redistribuição por Reciprocidade em cargo de mesma denominação no STF - IVAN MENDES COSTA</t>
  </si>
  <si>
    <t>MARCIA ASSUNÇÃO DE MEDEIROS</t>
  </si>
  <si>
    <t>0006617-86.2023.4.05.7600</t>
  </si>
  <si>
    <t>PA 0004171-33.2024.4.05.7000 - Redistribuição por Reciprocidade em cargo de mesma denominação na SJAP/TRF1 Claudia Portela Ribeiro Gonçalves</t>
  </si>
  <si>
    <t>RAQUEL ALICE ZILLI CAVALCANTE</t>
  </si>
  <si>
    <t>0004090-30.2024.4.05.7600</t>
  </si>
  <si>
    <t>PEDRO FERREIRA DIAS</t>
  </si>
  <si>
    <t>MANUEL DE BRITO CORREIA FILHO</t>
  </si>
  <si>
    <t>0003887-68.2024.4.05.7600</t>
  </si>
  <si>
    <t>ANDRESSA TORRES BESSA ROQUE</t>
  </si>
  <si>
    <t>MARCELO PONTES PONCIANO LIMA.</t>
  </si>
  <si>
    <t>PA 0002812-91.2024.4.05.7600 - Redistribuição por Reciprocidade em cargo de mesma denominação na SJBATRF1 Antonia Claudia Ferreira Torres</t>
  </si>
  <si>
    <t>MARIA DO SOCORRO FEITOSA ALMEIDA</t>
  </si>
  <si>
    <t>Nº 330/2024 TRF5</t>
  </si>
  <si>
    <t>JAMILE DA CUNHA BENEVIDES</t>
  </si>
  <si>
    <t>0003071-86.2024.4.05.7600</t>
  </si>
  <si>
    <t>4ª vARA</t>
  </si>
  <si>
    <t>AMANDA DE MELO RABELO</t>
  </si>
  <si>
    <t>AURENICE MARIA COSTA VIANA NEGREIROS</t>
  </si>
  <si>
    <t>0002793-85.2024.4.05.7600</t>
  </si>
  <si>
    <t>LIANA MONTEIRO PEREIRA</t>
  </si>
  <si>
    <t>0001083-30.2024.4.05.7600</t>
  </si>
  <si>
    <t>Nº 411/2024-TRF5</t>
  </si>
  <si>
    <t>PA 0001083-30.2024.4.05.7600 - Redistribuição por Reciprocidade com Rodrigo Matos de Araujo (AJAJ ) oriundo do STJ.</t>
  </si>
  <si>
    <t>0006961-33.2024.4.05.7600</t>
  </si>
  <si>
    <t>CONCILIAÇÃO</t>
  </si>
  <si>
    <t>Nº 332/2025-TRF5</t>
  </si>
  <si>
    <t>ENZO MAMEDE COSTA SIQUEIRA</t>
  </si>
  <si>
    <t>0004640-25.2024.4.05.7600</t>
  </si>
  <si>
    <t>ATERMAÇÃO</t>
  </si>
  <si>
    <t>ATO Nº 331/2025PRESTRF5</t>
  </si>
  <si>
    <t>ANDERSON AUGUSTINHO DE SALES OLIVEIRA</t>
  </si>
  <si>
    <t>MARIANA PEDREIRA FERNANDES</t>
  </si>
  <si>
    <t xml:space="preserve"> 0008649-30.2024.4.05.7600 </t>
  </si>
  <si>
    <t>LEÔNIDAS RODRIGUES DE OLIVEIRA</t>
  </si>
  <si>
    <t>0000288-87.2025.4.05.7600</t>
  </si>
  <si>
    <t>SEGURANÇA</t>
  </si>
  <si>
    <t>MARZA BRAGA FEIJÓ</t>
  </si>
  <si>
    <t>0007977-22.2024.4.05.7600</t>
  </si>
  <si>
    <t>INATIVO</t>
  </si>
  <si>
    <t>PAULO ANTONIO LIMA</t>
  </si>
  <si>
    <t>0001437-21.2025.4.05.7600</t>
  </si>
  <si>
    <t>AMANDA DE ALBUQUERQUE LIMA</t>
  </si>
  <si>
    <t>MARCIO FABRICIO DE ALMEIDA JUNIOR</t>
  </si>
  <si>
    <t>0001437-21.2025.4.05.7601</t>
  </si>
  <si>
    <t>Nº 331/2025-TRF6</t>
  </si>
  <si>
    <t>JULIANA IRIS DE OLIVEIRA ASSUNCAO</t>
  </si>
  <si>
    <t>ANTONIO AUGUSTO ALBURQUEQUE OLIVEIRA</t>
  </si>
  <si>
    <t>0003425-77.2025.4.05.7600</t>
  </si>
  <si>
    <t>Nº 148/2009-TRF7</t>
  </si>
  <si>
    <t>0002077-34.2019.4.05.7600</t>
  </si>
  <si>
    <t>Analista Judiciário - Área Judiciária</t>
  </si>
  <si>
    <t>Analista Judiciário - Área Judiciária - Especialidade Oficial de Justiça Avaliador Federal</t>
  </si>
  <si>
    <t>Analista Judiciário - Área Administrativa</t>
  </si>
  <si>
    <t>Analista Judiciário - Área Apoio Especializado - Especialidade Medicina (Clínica Geral)</t>
  </si>
  <si>
    <t>Analista Judiciário - Área Apoio Especializado - Especialidade Informática/Infraestrutura</t>
  </si>
  <si>
    <t>Analista Judiciário - Área Apoio Especializado - Especialidade Informática/Desenvolvimento</t>
  </si>
  <si>
    <t>Analista Judiciário - Área Apoio Especializado - Especialidade Contadoria</t>
  </si>
  <si>
    <t>Analista Judiciário - Área Apoio Especializado - Especialidade Engenharia Eletrica</t>
  </si>
  <si>
    <t>Analista Judiciário - Área Apoio Especializado - Especialidade Engenharia Civil</t>
  </si>
  <si>
    <t>Técnico Judiciário- Apoio Especializado- Contabilidade</t>
  </si>
  <si>
    <t xml:space="preserve">Técnico Judiciário - Área Administrativa </t>
  </si>
  <si>
    <t xml:space="preserve">Técnico Judiciário - Área Administrativa - Especialidade Segurança e Transporte </t>
  </si>
  <si>
    <t xml:space="preserve">Técnico Judiciário - Área Administrativa - Especialidade Informática </t>
  </si>
  <si>
    <t>VAGOS</t>
  </si>
  <si>
    <t>A SEREM PROVIDOS</t>
  </si>
  <si>
    <t>VACÂNCIAS POR ÁREA</t>
  </si>
  <si>
    <t xml:space="preserve">JUDICIÁRIA </t>
  </si>
  <si>
    <t>VACÂNCIAS POR ÁREA (PERCENTUAL)</t>
  </si>
  <si>
    <t>[01/04 17:52] Rodrigo Aprigio da Silva</t>
  </si>
  <si>
    <t>Marcia Assunção de Medeiros.</t>
  </si>
  <si>
    <t>[01/04 17:54] Rodrigo Aprigio da Silva</t>
  </si>
  <si>
    <t>PA 0006617-86.2023.4.05.7600</t>
  </si>
  <si>
    <t>[01/04 17:56] Rodrigo Aprigio da Silva</t>
  </si>
  <si>
    <t>Lotação atial NUJUD.</t>
  </si>
  <si>
    <t>LOTAÇÃO</t>
  </si>
  <si>
    <t>CE345</t>
  </si>
  <si>
    <t>ANTONIA DE MARIA MENDONCA OLIVEIRA</t>
  </si>
  <si>
    <t>SERVIDOR DO QUADRO ATIVO - EX. PROVISÓRIO</t>
  </si>
  <si>
    <t>SERVIDORES CEDIDOS/EXERCICIO PROVISÓRIO/REMOVIDO/LOTORG/CE</t>
  </si>
  <si>
    <t>CE694</t>
  </si>
  <si>
    <t>JOSE VALDIRAN DE MELO</t>
  </si>
  <si>
    <t>SERVIDOR DO QUADRO ATIVO REMOVIDO (SINAR)</t>
  </si>
  <si>
    <t>CE770</t>
  </si>
  <si>
    <t>FRANCISCO DE ASSIS VIEIRA PINTO</t>
  </si>
  <si>
    <t xml:space="preserve">SERVIDOR DO QUADRO ATIVO (SERVIDORES CEDIDOS COM ONUS PARA O ORGAO CEDENTE)
</t>
  </si>
  <si>
    <t>CE892</t>
  </si>
  <si>
    <t>ALUIZIO FERREIRA LOUREIRO</t>
  </si>
  <si>
    <t>CE926</t>
  </si>
  <si>
    <t>LUCIANA MARIA CARVALHO DE ARRUDA</t>
  </si>
  <si>
    <t>CE1001</t>
  </si>
  <si>
    <t>JULIANA NUNES DA COSTA E SILVA</t>
  </si>
  <si>
    <t>CE1039</t>
  </si>
  <si>
    <t>FRANCISCA KETELLE MAIA</t>
  </si>
  <si>
    <t>CE1066</t>
  </si>
  <si>
    <t>GRAZIELLA SOUSA E SILVA</t>
  </si>
  <si>
    <t>CE1129</t>
  </si>
  <si>
    <t>APARECIDA GONÇALVES BANDEIRA PINTO</t>
  </si>
  <si>
    <t>CE1149</t>
  </si>
  <si>
    <t>LUIS CARLOS OLIVEIRA DE ARROXELAS MACEDO</t>
  </si>
  <si>
    <t>SERVIDOR DO QUADRO ATIVO REMOVIDO (MOTIVO DE SAUDE)</t>
  </si>
  <si>
    <t>CE1189</t>
  </si>
  <si>
    <t>CELSO RODRIGO LOPES DA CRUZ</t>
  </si>
  <si>
    <t>CE1219</t>
  </si>
  <si>
    <t>CARLA FUGIWARA SANTOS</t>
  </si>
  <si>
    <t>CE1241</t>
  </si>
  <si>
    <t>FABIO REIS HENRIQUES</t>
  </si>
  <si>
    <t>CE1263</t>
  </si>
  <si>
    <t>MOACIR ALVES DE FREITAS</t>
  </si>
  <si>
    <t>CE1265</t>
  </si>
  <si>
    <t>NILTONIO DA SILVA DIOGO</t>
  </si>
  <si>
    <t>CE1274</t>
  </si>
  <si>
    <t>RICARDO BARBOSA DOS SANTOS</t>
  </si>
  <si>
    <t>CE1286</t>
  </si>
  <si>
    <t>DELCIO ABRANTES JUNIOR</t>
  </si>
  <si>
    <t>CE1287</t>
  </si>
  <si>
    <t>FREDERICO DE MENDONÇA ESTRELA FREIRE</t>
  </si>
  <si>
    <t>CE1308</t>
  </si>
  <si>
    <t>ADAUTO HENRIQUE DE PAULA FREITAS</t>
  </si>
  <si>
    <t>CE1312</t>
  </si>
  <si>
    <t>MARIANA ABREU PETERSEN DA ROCHA</t>
  </si>
  <si>
    <t>CE1326</t>
  </si>
  <si>
    <t>LARISSA GERMANA LUSTOSA DE MELO</t>
  </si>
  <si>
    <t>CE1350</t>
  </si>
  <si>
    <t>ARLENE ROGELIO DE SOUSA OLIVEIRA</t>
  </si>
  <si>
    <t>CE1360</t>
  </si>
  <si>
    <t>THAIS ROCHA CAVALCANTE FEITOSA</t>
  </si>
  <si>
    <t>CE1361</t>
  </si>
  <si>
    <t>FERNANDO SANTOS RODRIGUES</t>
  </si>
  <si>
    <t>CE1364</t>
  </si>
  <si>
    <t>ALEXANDRO DE SOUSA</t>
  </si>
  <si>
    <t>CE1365</t>
  </si>
  <si>
    <t>SINARA SAVARIS</t>
  </si>
  <si>
    <t>CE1375</t>
  </si>
  <si>
    <t>RUTHENIO PRADO BRITO BASTOS FILHO</t>
  </si>
  <si>
    <t>CE1400</t>
  </si>
  <si>
    <t>LORENA SOARES DOS SANTOS MEDEIROS</t>
  </si>
  <si>
    <t>CE1433</t>
  </si>
  <si>
    <t>MARIA DA LUZ OLIVEIRA SOUZA OLIVEIRA</t>
  </si>
  <si>
    <t>CE1452</t>
  </si>
  <si>
    <t>MARCILIO ARAGAO BRITO</t>
  </si>
  <si>
    <t>CE1456</t>
  </si>
  <si>
    <t>IAPONA FERNANDES CORTEZ</t>
  </si>
  <si>
    <t>KARINE LOPES DUARTE</t>
  </si>
  <si>
    <t>CE1460</t>
  </si>
  <si>
    <t>NAINY MENDES DE MELO</t>
  </si>
  <si>
    <t>CE1586</t>
  </si>
  <si>
    <t>REBECA XAVIER DE LIMA DOS SANTOS</t>
  </si>
  <si>
    <t>CE1590</t>
  </si>
  <si>
    <t>MARTIN SOARES DE ALENCAR</t>
  </si>
  <si>
    <t>CE1593</t>
  </si>
  <si>
    <t>MARIELLA CHRISTINA DE ALMEIDA E SILVA</t>
  </si>
  <si>
    <t>CE1596</t>
  </si>
  <si>
    <t>ALBA JAMILLE MENEZES DE SOUSA MOITINHO</t>
  </si>
  <si>
    <t>CE1598</t>
  </si>
  <si>
    <t>ANA CLARISSA OKA DE LIMA</t>
  </si>
  <si>
    <t>CE1622</t>
  </si>
  <si>
    <t>JONATAS NEDER ALMEIDA</t>
  </si>
  <si>
    <t>CE1632</t>
  </si>
  <si>
    <t>ALEXANDRE ROCHA DO NASCIMENTO</t>
  </si>
  <si>
    <t>CE1692</t>
  </si>
  <si>
    <t>JANILDO CARLOS TAVARES</t>
  </si>
  <si>
    <t>CE1570</t>
  </si>
  <si>
    <t>RAUL HOLANDA DE SOUSA</t>
  </si>
  <si>
    <t xml:space="preserve">OBS: ANA GLAUBIA DE SOUSA PAIVA AJOJ apresenta situação peculiar- ela é do QUADRO EFETIVO. Porém, foi REMOVIDO via SINAR para SJPR, e retornou para esta SJCE 21/01/2022 pq foi requisitada pela 9a Vara. 
Assim, ela saiu da contagem da coluna de CEDIDOS (porque houve mudança no perfil do sarh para SERV QUADRO ATIVO) e está sendo considerada na 9a vara, como efetiva (coluna de Oficiais de Justiça)- mesmo sendo sua condição atual de requisitada.
 Há uma dificuldade em selecionar a situação/perfil dela no SARH.Pois ele é do quadro da SJCE e foi requisitada pela SJCE. TEM O PERFIL DE SERVIDOR DO QUADRO ATIVO.
</t>
  </si>
  <si>
    <t>ANA GLAUBIA DE SOUSA PAIVA: AJOJ-  estava como SERVIDORES CEDIDOS/EXERCICIO PROVISÓRIO/REMOVIDO/LOTORG/CE ; mas entrou na 9a Vara dt incio
21/01/2022</t>
  </si>
  <si>
    <t>PRISCILA GUIMARAES MARCIANO AJAJ- saiu do quadro da SJCE -dt fim: 01/02/2022-foi redistribuída com Gisleide Farias Braz</t>
  </si>
  <si>
    <t xml:space="preserve">RAQUEL LEAL MAIA: saiu da 2a vara- cedida- dt fim na 2a vara: 09/03/2022 </t>
  </si>
  <si>
    <t>MICHELY DAMASCENO PORTO DE GOIS AJAJ: estava cedida ao TRF5; dt fim da cessão  28/04/2022 - Retornou sendo lotada na 13a Vara, como diretora de Secretaria dt inicio: 29/04/2022.</t>
  </si>
  <si>
    <t>ULISSES LOUREIRO GUTIERREZ: TJAA cedido ao TRF5 dt inicio: 07/06/2022 PA 0003458-29.2022.4.05.7600</t>
  </si>
  <si>
    <t>JULHOO 2022:</t>
  </si>
  <si>
    <t>ANTONIO ANDERLAN DE AGUIAR MOURA: TJAA desligado dt fim:08/07/2022</t>
  </si>
  <si>
    <t>RAIANNA SILVEIRA GOMES:  AJAJ removida SINAR dt fim na 17a vara:01/09/2022</t>
  </si>
  <si>
    <t>WESNA SOMBRA OLIVEIRA SARAIVA LEAO: TJAA removida SINAR dt fim na 14a vara:01/09/2022</t>
  </si>
  <si>
    <t xml:space="preserve">
VERA LUCIA PEREIRA BELO RODRIGUES: AJAJ redistribuída- saiu da SJCE dt fim: 01/09/2022
</t>
  </si>
  <si>
    <t>KARINE LOPES cedida para TRF5 em 19/06/2023</t>
  </si>
  <si>
    <t>WESNA SOMBRA OLIVEIRA SARAIVA LEAO saiu em 02/10/2023</t>
  </si>
  <si>
    <t>RAIANNA SILVEIRA GOMES saiu em 02/10/2023</t>
  </si>
  <si>
    <t>SIGLA</t>
  </si>
  <si>
    <t>Técnico Judiciário (Á. Segurança e Transporte)</t>
  </si>
  <si>
    <t>ANALISTA JUDICIÁRIO</t>
  </si>
  <si>
    <t>AJOJ (14/10/2022)</t>
  </si>
  <si>
    <t>AJAA (21/10/2022)</t>
  </si>
  <si>
    <t>PROJEÇÃO DAS APOSENTADORIAS DOS SERVIDORES EM ABONO DE PERMANÊNCIA DA SJCE</t>
  </si>
  <si>
    <t>TJAA (11/11/2022)</t>
  </si>
  <si>
    <t>ACUMULADA</t>
  </si>
  <si>
    <t>TJAS (18/10/2022)</t>
  </si>
  <si>
    <t>ÁREA JUDICIÁRIA</t>
  </si>
  <si>
    <t>ÁREA ADMINISTRATIVA</t>
  </si>
  <si>
    <t>TÉCNICO JUDICIÁRIO</t>
  </si>
  <si>
    <t>AGENTE DE POLÍCIA JUDICIAL</t>
  </si>
  <si>
    <t>CE1572</t>
  </si>
  <si>
    <t>JESSICA MAGALHAES GOMES</t>
  </si>
  <si>
    <t>CE1431</t>
  </si>
  <si>
    <t>MUNIQUE SANTOS CARVALHO CAVALCANTE</t>
  </si>
  <si>
    <t>CE1420</t>
  </si>
  <si>
    <t>ROSANA LIMA CRUZ ARAGÃO</t>
  </si>
  <si>
    <t>CE1381</t>
  </si>
  <si>
    <t>ALEXANDRE ROCHA PINHEIRO BASTOS</t>
  </si>
  <si>
    <t>CE1687</t>
  </si>
  <si>
    <t>WELTON COSTA PARENTE</t>
  </si>
  <si>
    <t>CE707</t>
  </si>
  <si>
    <t>ANTONIO ATAIDE DA SILVA JUNIOR</t>
  </si>
  <si>
    <t>CE939</t>
  </si>
  <si>
    <t>RAIMUNDO EVANDRO QUEIROS SOUSA</t>
  </si>
  <si>
    <t>CE1150</t>
  </si>
  <si>
    <t>SILVIA MARIA SALES CORREIA PAIVA</t>
  </si>
  <si>
    <t>CE1320</t>
  </si>
  <si>
    <t>MARIANA MOURA VIANA DINIZ</t>
  </si>
  <si>
    <t>CE1510</t>
  </si>
  <si>
    <t>SHIRLEY MAYARA DE OLIVEIRA AGUIAR SENA</t>
  </si>
  <si>
    <t>CE1054</t>
  </si>
  <si>
    <t>FRANCISCO EVANS CAVALCANTE MOTA</t>
  </si>
  <si>
    <t>CE1528</t>
  </si>
  <si>
    <t>ALANA SILVA LOBO</t>
  </si>
  <si>
    <t>CE1588</t>
  </si>
  <si>
    <t>LEANDRO FREITAS DA ROCHA</t>
  </si>
  <si>
    <t>CE1582</t>
  </si>
  <si>
    <t>BRUNO SILVEIRA DE ANDRADE AQUINO</t>
  </si>
  <si>
    <t>CE1280</t>
  </si>
  <si>
    <t>TELMA OLIVIA DE LACERDA SANTOS</t>
  </si>
  <si>
    <t>CE1301</t>
  </si>
  <si>
    <t>JOSE LEANDRO DE CASTRO SERPA FILHO</t>
  </si>
  <si>
    <t>CE1318</t>
  </si>
  <si>
    <t>MAYARA MACEDO DE ALMEIDA FERRER</t>
  </si>
  <si>
    <t>CE1313</t>
  </si>
  <si>
    <t>KARLOS EDUARDO GADELHA GOMES</t>
  </si>
  <si>
    <t>CE1281</t>
  </si>
  <si>
    <t>THAISA SILVERIO LEITE BENEVIDES</t>
  </si>
  <si>
    <t>CE1457</t>
  </si>
  <si>
    <t>DAILA LACERDA DE SA</t>
  </si>
  <si>
    <t>CE1252</t>
  </si>
  <si>
    <t>KARINA PONTE BANDEIRA DE MELO DE MOURA</t>
  </si>
  <si>
    <t>CE1520</t>
  </si>
  <si>
    <t>RACHEL MOREIRA DE OLIVEIRA BRASIL</t>
  </si>
  <si>
    <t>CE1279</t>
  </si>
  <si>
    <t>SERGIO SAMPAIO LIMA</t>
  </si>
  <si>
    <t>CE1472</t>
  </si>
  <si>
    <t>SAVIO CESAR DA COSTA E SILVA</t>
  </si>
  <si>
    <t>CE1641</t>
  </si>
  <si>
    <t>RAFAELA PARENTE LINHARES ASFOR PORTELA</t>
  </si>
  <si>
    <t>CE1342</t>
  </si>
  <si>
    <t>CAROLINA ARAUJO FELIPE TORRES LIMA</t>
  </si>
  <si>
    <t>CE1741</t>
  </si>
  <si>
    <t>DIEGO WAGNER FIGUEIREDO DE CARVALHO PARAÍSO</t>
  </si>
  <si>
    <t>CE1574</t>
  </si>
  <si>
    <t>ARLETE SANDRA RAFAEL E SILVA OLIVEIRA</t>
  </si>
  <si>
    <t>CE1290</t>
  </si>
  <si>
    <t>ROSANNE AIREMORAES LOPES DI MICELI</t>
  </si>
  <si>
    <t>CE1307</t>
  </si>
  <si>
    <t>JULIA SOUZA LOPES NOUSIAINEN</t>
  </si>
  <si>
    <t>CE1580</t>
  </si>
  <si>
    <t>PEDRO HENRIQUE NUNES FARIAS</t>
  </si>
  <si>
    <t>CE721</t>
  </si>
  <si>
    <t>SERGIO LUIZ CARVALHO SANTOS LIMA</t>
  </si>
  <si>
    <t>CE800</t>
  </si>
  <si>
    <t>ALEX CAVALCANTE LIMAO</t>
  </si>
  <si>
    <t>CE1277</t>
  </si>
  <si>
    <t>ROBSON MARTINS LOPES</t>
  </si>
  <si>
    <t>CE1637</t>
  </si>
  <si>
    <t>HELAINE RIBEIRO BAIAO</t>
  </si>
  <si>
    <t>CE1481</t>
  </si>
  <si>
    <t>CLAUDIO FRANCO MANESCHY</t>
  </si>
  <si>
    <t>ROSAMARIA ALENCAR DE OLIVEIRA: entoru dt inicio: 11/05/2020, veio da Secad- Setor de Análise Processual e Conferências</t>
  </si>
  <si>
    <t xml:space="preserve"> VICTOR EMANOEL DE CASTRO RIBEIRO: saiu da TR2 dt fim 30/06/2020 para o Gab SECAD                                                                                                       </t>
  </si>
  <si>
    <t>TR2: Entrou SAVIO CESAR DA COSTA E SILVA  dt inicio: 25/01/2021 ; veio da 29 Vara.</t>
  </si>
  <si>
    <t>ABRIL E MAIO 2021:</t>
  </si>
  <si>
    <t>TR3: saiu GIOVANA LORNA LOPES NOGUEIRA dt fim: 19/04/2021; foi para a 3 Vara dt inicio: 20/04/2021</t>
  </si>
  <si>
    <t>TR1: cessão de MICHELY DAMASCENO PORTO DE GOIS AJAJ ao TRF5; dt fim na TR1:03/05/2021 - GEROU AUMENTO DE 1 AJAJ NA COLUNA DE CEDIDOS. (DT FIM RETIFICADA!) AJUSTE JÁ REALIZADO NA PLANILHA MÊS DE ABRIL E MANTIDO NESTA.</t>
  </si>
  <si>
    <t>TR1: entrou EVANILDO DA PAZ GUIMARAES TJAA dt inicio: 24/05/2022; veio da 23a vara-estava como diretor e retornou à Sede.</t>
  </si>
  <si>
    <t>TR1: entrou FRANCISCO EVANS CAVALCANTE MOTA dt inicio: 24/05/2022; veio da 13a vara</t>
  </si>
  <si>
    <t>TR1:saiu MARIO CLETO SALES MOURA dt fim: 23/05/2022; foi para Setor tec apoio adm LIMoeiro do Norte</t>
  </si>
  <si>
    <t>TR1:saiu ULISSES LOUREIRO GUTIERREZ dt fim: 23/05/2022; foi para 13a vara dt inicio: 24/05/2022</t>
  </si>
  <si>
    <t>APOSENTADORIA GERUSA GOMES ROCHA EM 02/05/2023 DA TR3</t>
  </si>
  <si>
    <t>ROSAMARIA ALENCAR DE OLIVEIRA permutou com CLAUDIO FRANCO em 23/06/2023</t>
  </si>
  <si>
    <t>HELAINE RIBEIRO BAIAO entrou em 10/07/2023</t>
  </si>
  <si>
    <t>ALANA SILVA LOBO entrou em  25/07/2023</t>
  </si>
  <si>
    <t>DIRETOR</t>
  </si>
  <si>
    <t>CE1649</t>
  </si>
  <si>
    <t>CAMILA PONTES DE MELO PIRES ADJAFRE</t>
  </si>
  <si>
    <t>CE1774</t>
  </si>
  <si>
    <t>REJANE QUARESMA DE MORAIS</t>
  </si>
  <si>
    <t>EVANILDO DA PAZ GUIMARAES relotado na 25ª vara em 18/04/2023</t>
  </si>
  <si>
    <t>aposentado em 05/06/2023</t>
  </si>
  <si>
    <t>Requisitado para o TRF5 em 02/07/2025. PA 0009721-72.2025.4.05.7000</t>
  </si>
  <si>
    <t>Afastada por licença maternidade</t>
  </si>
  <si>
    <t>DIRETORA</t>
  </si>
  <si>
    <t>CE1950</t>
  </si>
  <si>
    <t>RAISSA MARIA POMPEU ROBERTO</t>
  </si>
  <si>
    <t>Requisitados para o TRF5 dia 02/07/2025. PA PA 0009721-72.2025.4.05.7000</t>
  </si>
  <si>
    <t>CLAUIDIO FRANCO MANESCHY</t>
  </si>
  <si>
    <t>CE1903</t>
  </si>
  <si>
    <t>JOSE BATISTA DE ALMEIDA JUNIOR</t>
  </si>
  <si>
    <t>Tiago Duarte de Oliveira</t>
  </si>
  <si>
    <t>TR4</t>
  </si>
  <si>
    <t>posse em outro cargo inacumulavel</t>
  </si>
  <si>
    <t>remoção para Taua edital 01/2025</t>
  </si>
  <si>
    <t>CE1278</t>
  </si>
  <si>
    <t>ROSAMARIA ALENCAR DE OLIVEIRA</t>
  </si>
  <si>
    <t>CE1021</t>
  </si>
  <si>
    <t>ANA CAROLINE MARTINS SARAIVA</t>
  </si>
  <si>
    <t>CE417</t>
  </si>
  <si>
    <t>ANDREA ARAUJO ROCHA</t>
  </si>
  <si>
    <t>CE723</t>
  </si>
  <si>
    <t>CARLOS ROBERTO LIMA VENANCIO</t>
  </si>
  <si>
    <t>CE426</t>
  </si>
  <si>
    <t>CRISTHIANNE TAVARES PINHEIRO</t>
  </si>
  <si>
    <t>CE635</t>
  </si>
  <si>
    <t>DYCERLANIO CALISTO FAMA</t>
  </si>
  <si>
    <t>CE423</t>
  </si>
  <si>
    <t>ELIANE MARIA PEREIRA DE ARAUJO</t>
  </si>
  <si>
    <t>CE990</t>
  </si>
  <si>
    <t>GIANPAOLO TEIXEIRA PRIANTE</t>
  </si>
  <si>
    <t>CE533</t>
  </si>
  <si>
    <t>JOAO EVANGELISTA LOBO DUARTE</t>
  </si>
  <si>
    <t>CE1845</t>
  </si>
  <si>
    <t>LEANDRO FALCAO AGUIAR</t>
  </si>
  <si>
    <t>CE1521</t>
  </si>
  <si>
    <t>MARISA LIMA SOMBRA PORTILHO</t>
  </si>
  <si>
    <t>CE378</t>
  </si>
  <si>
    <t>MONICA PINTO MONTENEGRO</t>
  </si>
  <si>
    <t>CE611</t>
  </si>
  <si>
    <t>ROSISLEDA MARCIA MOREIRA DANTAS FONTELES</t>
  </si>
  <si>
    <t>CE639</t>
  </si>
  <si>
    <t>ROSANE LIMA VALENTIM</t>
  </si>
  <si>
    <t>CE1485</t>
  </si>
  <si>
    <t>TERESINHA MORAIS RODRIGUES</t>
  </si>
  <si>
    <t>CE1282</t>
  </si>
  <si>
    <t>VIVIANNE BARRETO LOUREIRO SOUZA</t>
  </si>
  <si>
    <t>LAILTON ROCHA MELO: entrou (requisitado TJAA ST) dt inicio: 17/11/2021 (porém, está de fato no NIST)</t>
  </si>
  <si>
    <t>LAILTON ROCHA MELO: saiu dt fim: 03/05/2022 foi para NIST</t>
  </si>
  <si>
    <t xml:space="preserve">TERESINHA MORAIS RODRIGUES:REM SINAR TJAA; dt inicio: 01/06/2022; veio da Secad </t>
  </si>
  <si>
    <t>ADRIANA MARTINS LEAL:AJAJ aposentadoria dt desligamento: 05/09/2022</t>
  </si>
  <si>
    <t>CE246</t>
  </si>
  <si>
    <t>APOSENTADA em 01/07/2024</t>
  </si>
  <si>
    <t>CE655</t>
  </si>
  <si>
    <t>LISTER DE MELO SARAIVA LEAO</t>
  </si>
  <si>
    <t>CE1255</t>
  </si>
  <si>
    <t>MARCELLA FROTA SALLES BRAGA</t>
  </si>
  <si>
    <t>CE1013</t>
  </si>
  <si>
    <t>RUY DE ABREU MAGALHAES</t>
  </si>
  <si>
    <t>CE1029</t>
  </si>
  <si>
    <t>ELLIOTT SANDERBERGH LOPES DUTRA</t>
  </si>
  <si>
    <t>CE548</t>
  </si>
  <si>
    <t>JOSE GABRIEL DA COSTA BATISTA</t>
  </si>
  <si>
    <t>CE1662</t>
  </si>
  <si>
    <t>KIMBERLY RIBEIRO RISSO</t>
  </si>
  <si>
    <t>CE732</t>
  </si>
  <si>
    <t>MANUELA PORTO CAVALCANTI</t>
  </si>
  <si>
    <t>CE605</t>
  </si>
  <si>
    <t>ANA CELIA DE CARVALHO</t>
  </si>
  <si>
    <t>CE821</t>
  </si>
  <si>
    <t>KATIA MARIA LEAL</t>
  </si>
  <si>
    <t>CE1705</t>
  </si>
  <si>
    <t>JOSE EUDSON MOTA FELIX</t>
  </si>
  <si>
    <t>CE1114</t>
  </si>
  <si>
    <t>RAQUEL LEAL MAIA</t>
  </si>
  <si>
    <t>NATÁLIA THAIS JORGE MENDES DE ARAUJO</t>
  </si>
  <si>
    <t>CE1766</t>
  </si>
  <si>
    <t>ERLAN AMADEU LIMA DE CASTRO</t>
  </si>
  <si>
    <t>CE1767</t>
  </si>
  <si>
    <t>LUCIANA DO NASCIMENTO NOGUEIRA</t>
  </si>
  <si>
    <t>CE2000</t>
  </si>
  <si>
    <t>MAGNA MÁRCIA PINTO MOREIRA</t>
  </si>
  <si>
    <t>ALLEX MORORO XEREZ SILVA-AJAJ- entrou dt início: 29/05/2020. Veio da Seção de cadastro.</t>
  </si>
  <si>
    <t>ALLEX MORORO XEREZ SILVA-AJAJ- saiu dt fim:23/11/2021; foi para Gabinete da Secad.</t>
  </si>
  <si>
    <t xml:space="preserve">RAQUEL LEAL MAIA: cedida dt fim na 2a vara: 09/03/2022 </t>
  </si>
  <si>
    <t>JOSE EUDSON MOTA FELIX: requisitado relotação da 5a vara para a 2a vara dt inicio: 02/05/2022</t>
  </si>
  <si>
    <t>Retorno RAQUEL LEAL MAIA e permuta com servidor ILTON APARECIDO DE PAIVA</t>
  </si>
  <si>
    <t>ORISMAR BRAGA BARBOSA aposentadoria em 15/12/2023</t>
  </si>
  <si>
    <t>CE980</t>
  </si>
  <si>
    <t>GIANA MARIA MONTEIRO MOTA STUDART</t>
  </si>
  <si>
    <t>aposentadoria</t>
  </si>
  <si>
    <t>CE921</t>
  </si>
  <si>
    <t>aprovada juiza federal</t>
  </si>
  <si>
    <t xml:space="preserve"> TRF2</t>
  </si>
  <si>
    <t>CE1022</t>
  </si>
  <si>
    <t>CE1971</t>
  </si>
  <si>
    <t>HELENA DE NAZARETH</t>
  </si>
  <si>
    <t>ingresso da equipe de requalificação, veio da 13ª Vara</t>
  </si>
  <si>
    <t>saiu da 2ª Vara e foi para 3ª Vara</t>
  </si>
  <si>
    <t>CE1799</t>
  </si>
  <si>
    <t>LUIZ CLÁUDIO REQUIAO FONSECA</t>
  </si>
  <si>
    <t>saiu da 2ª Vara e foi para 21ª Vara</t>
  </si>
  <si>
    <t>CE1053</t>
  </si>
  <si>
    <t>MORGANA MARIA UCHOA BRITTO</t>
  </si>
  <si>
    <t>CE733</t>
  </si>
  <si>
    <t>TULIO FELIPE PEREIRA DE GOIS</t>
  </si>
  <si>
    <t>CE757</t>
  </si>
  <si>
    <t>JACQUELINE GUIMARAES PAMPONET</t>
  </si>
  <si>
    <t>CE510</t>
  </si>
  <si>
    <t>JOSE ARNALDO MELO DE ARAUJO</t>
  </si>
  <si>
    <t>CE667</t>
  </si>
  <si>
    <t>RENATA MAGALHAES CARVALHO</t>
  </si>
  <si>
    <t>CE1405</t>
  </si>
  <si>
    <t>FRANCISCA MARIA DE FARIAS PIMENTEL</t>
  </si>
  <si>
    <t>CE1276</t>
  </si>
  <si>
    <t>ROBSON ALVES DINIZ</t>
  </si>
  <si>
    <t>CE1109</t>
  </si>
  <si>
    <t>VICTOR CESAR FALCAO VIANA</t>
  </si>
  <si>
    <t>CE507</t>
  </si>
  <si>
    <t>GILSON HOLANDA SILVA</t>
  </si>
  <si>
    <t>CE1497</t>
  </si>
  <si>
    <t>BENEDITO ARAUJO UCHOA</t>
  </si>
  <si>
    <t>CE1407</t>
  </si>
  <si>
    <t>ANILMA LEITE BEZERRA</t>
  </si>
  <si>
    <t>CE924</t>
  </si>
  <si>
    <t>AUGUSTO CESAR DE MELO BANHOS</t>
  </si>
  <si>
    <t>CE1074</t>
  </si>
  <si>
    <t>ANA ROBERTA MENDES DE MAICY</t>
  </si>
  <si>
    <t>CE1785</t>
  </si>
  <si>
    <t>Tamires Gouveia Gomes</t>
  </si>
  <si>
    <t>AJUSTE: Saiu RAFAEL PEREIRA DE GOIS TJAA dt desligamento: 18/12/2020. - lançamento do desligamento ocorreu no SARH posteriormente a geração do relatório.</t>
  </si>
  <si>
    <t>3 VARA: entrou GIOVANA LORNA LOPES NOGUEIRA dt inicio 20/04/2021 . veio da TR3 dt fim: 19/04/2021.</t>
  </si>
  <si>
    <t>GIOVANA LORNA LOPES NOGUEIRA: ex prov desligada dt fim:07/07/2022</t>
  </si>
  <si>
    <t>CARLOS SERGIO LOPES TEIXEIRA: saiu dt fim:01/09/2022 foi para NEGI dt inicio: 02/09/2022.</t>
  </si>
  <si>
    <t>CE600</t>
  </si>
  <si>
    <t>MARIA DE LOURDES ARAGAO LOPES PORTO</t>
  </si>
  <si>
    <t>CE 574</t>
  </si>
  <si>
    <t>Elmano ingressou na unidade - unidade acolhedora</t>
  </si>
  <si>
    <t>Saiu do NEGI e veio para 3ª Vara</t>
  </si>
  <si>
    <t>ingressou na 3ª Vara e saiu da 2ª Vara</t>
  </si>
  <si>
    <t>ELMANO SIQUEIRA DE ARAÚJO CHAVES</t>
  </si>
  <si>
    <t>não contam como efetivos da vara</t>
  </si>
  <si>
    <t>CE1078</t>
  </si>
  <si>
    <t>GEORGE MAGALHAES RODRIGUES</t>
  </si>
  <si>
    <t>CE847</t>
  </si>
  <si>
    <t>NELITA SAMANTHA FONTENELE</t>
  </si>
  <si>
    <t>CE713</t>
  </si>
  <si>
    <t>ROBERTA GOMES FROTA</t>
  </si>
  <si>
    <t>CE853</t>
  </si>
  <si>
    <t>FERNANDA CAMINHA DE MORAIS</t>
  </si>
  <si>
    <t>CE849</t>
  </si>
  <si>
    <t>JOSEFA VALDENE MATIAS LOPES</t>
  </si>
  <si>
    <t>CE1810</t>
  </si>
  <si>
    <t>AMANDA CARVALHO DIOGENES QUEIROZ</t>
  </si>
  <si>
    <t>CE484</t>
  </si>
  <si>
    <t>ANNA CRISTINA PEREIRA</t>
  </si>
  <si>
    <t>CE645</t>
  </si>
  <si>
    <t>ANTONIA ELISA GOMES DE SOUSA</t>
  </si>
  <si>
    <t>CE709</t>
  </si>
  <si>
    <t>SERGIO MOTA TEIXEIRA</t>
  </si>
  <si>
    <t>CE960</t>
  </si>
  <si>
    <t>MARDEN BANDEIRA DE OLIVEIRA</t>
  </si>
  <si>
    <t>CE1020</t>
  </si>
  <si>
    <t>ANA RAQUEL MONTENEGRO ASSUNÇAO</t>
  </si>
  <si>
    <t>CE882</t>
  </si>
  <si>
    <t>LUCIA DE SOUSA LUZ</t>
  </si>
  <si>
    <t>CE870</t>
  </si>
  <si>
    <t>CAMILA VITORINO DANTAS MAZZA</t>
  </si>
  <si>
    <t>CE472</t>
  </si>
  <si>
    <t>GILBERTO LUIZ BEZERRA EDSON</t>
  </si>
  <si>
    <t>CE1779</t>
  </si>
  <si>
    <t>José Pereira Filho</t>
  </si>
  <si>
    <t>Francisco de Assis Araujo: saiu dt fim: 30/04/2022. foi para Seção de Arquivo e depósito judicial-NJ</t>
  </si>
  <si>
    <t>RUBIMAR JOSE DE CARVALHO: TJAA- aposentadoria dt fim:19/07/2022</t>
  </si>
  <si>
    <t>MARIA DE FATIMA LIMA GOMES aposentadoria em 18/05/2023</t>
  </si>
  <si>
    <t>CE783</t>
  </si>
  <si>
    <t>FERNANDO ALEXANDRE DE ARAUJO</t>
  </si>
  <si>
    <t>aposentadoria em 01/08/2024</t>
  </si>
  <si>
    <t>CE647</t>
  </si>
  <si>
    <t>ANDREA BARBOSA BELEM PONTES</t>
  </si>
  <si>
    <t>CE446</t>
  </si>
  <si>
    <t>EMERSON PEREIRA DE OLIVEIRA</t>
  </si>
  <si>
    <t>CE681</t>
  </si>
  <si>
    <t>HEVILA DE SAMPAIO MELO LANDIM</t>
  </si>
  <si>
    <t>CE753</t>
  </si>
  <si>
    <t>RACHEL ALENCAR DE ANDRADE GONDIM</t>
  </si>
  <si>
    <t>CE803</t>
  </si>
  <si>
    <t>JOAO CARLOS PIMENTEL DE PIMENTEL</t>
  </si>
  <si>
    <t>CE234</t>
  </si>
  <si>
    <t>MARIA JOSE FALCAO</t>
  </si>
  <si>
    <t>CE451</t>
  </si>
  <si>
    <t>FRANCISCA CRISTIANE CONDE SARAIVA</t>
  </si>
  <si>
    <t>CE511</t>
  </si>
  <si>
    <t>FRANCISCO WILSON BARROS</t>
  </si>
  <si>
    <t>CE638</t>
  </si>
  <si>
    <t>JOAO BATISTA DE ARAUJO CERQUEIRA</t>
  </si>
  <si>
    <t>CE802</t>
  </si>
  <si>
    <t>MARCOS SILVEIRA DO AMARAL</t>
  </si>
  <si>
    <t>CE804</t>
  </si>
  <si>
    <t>SANDRA MARIA DE OLIVEIRA RIBEIRO</t>
  </si>
  <si>
    <t>CE925</t>
  </si>
  <si>
    <t>FLAVIO OLIVEIRA VAZ</t>
  </si>
  <si>
    <t>CE991</t>
  </si>
  <si>
    <t>EMMANUELA MARIA ALBUQUERQUE MONT ALVERNE</t>
  </si>
  <si>
    <t>CE962</t>
  </si>
  <si>
    <t>CAROLINA MARTINS KLEIN</t>
  </si>
  <si>
    <t>CE1625</t>
  </si>
  <si>
    <t>Thalita Maria Tomaz de Sousa</t>
  </si>
  <si>
    <t>EMMANUELA MARIA ALBUQUERQUE MONT ALVERNE: entrou dt inicio: 01/06/2020, veio do Setor de MAlotes</t>
  </si>
  <si>
    <t>ROMEL CARVALHO BEZERRA:AJAJ- inativo dt fim 18/01/2022</t>
  </si>
  <si>
    <t>JOSE EUDSON MOTA FELIX: requisitado -saiu da 5a vara para a 2a vara dtfim na 5a vara:01/05/2022</t>
  </si>
  <si>
    <t>em 08/08/2022: correções em relação ao vínculo de Andrea barbosa: não é ex prov , e sim, requisitada. E Sandra Maria, que é removida.</t>
  </si>
  <si>
    <t>CE685</t>
  </si>
  <si>
    <t>aposentada 20/06/2024</t>
  </si>
  <si>
    <t>.</t>
  </si>
  <si>
    <t>CE494</t>
  </si>
  <si>
    <t>SERGIO AUGUSTO SANTANA ARRUDA</t>
  </si>
  <si>
    <t>CE1099</t>
  </si>
  <si>
    <t>SUSIANNE PEREIRA GRANGEIRO UCHOA</t>
  </si>
  <si>
    <t>FLAVIA MURATA SANTOS</t>
  </si>
  <si>
    <t>CE512</t>
  </si>
  <si>
    <t>VITOR BENEVIDES ROCHA</t>
  </si>
  <si>
    <t>CE1808</t>
  </si>
  <si>
    <t>JEFERSON MACIEL PIMENTEL</t>
  </si>
  <si>
    <t>CE313</t>
  </si>
  <si>
    <t>JOSE ALEXANDRE CARNEIRO</t>
  </si>
  <si>
    <t>CE1186</t>
  </si>
  <si>
    <t>ANA FABRICIA BEZERRA SANTANA</t>
  </si>
  <si>
    <t>CE1002</t>
  </si>
  <si>
    <t>MARIA DO CARMO MOREIRA CONRADO PINHEIRO</t>
  </si>
  <si>
    <t>CE501</t>
  </si>
  <si>
    <t>JOAQUIM MANOEL DE ALBUQUERQUE</t>
  </si>
  <si>
    <t>CE1679</t>
  </si>
  <si>
    <t>MARCOS DOS SANTOS CABRAL</t>
  </si>
  <si>
    <t>CE208</t>
  </si>
  <si>
    <t>JANIO ALCANTARA DE OLIVEIRA</t>
  </si>
  <si>
    <t>CE1275</t>
  </si>
  <si>
    <t>RICARDO CLEBER GONÇALVES DE AGUIAR</t>
  </si>
  <si>
    <t>CE1446</t>
  </si>
  <si>
    <t>JOILA BARREIRA DE OLIVEIRA VERAS</t>
  </si>
  <si>
    <t>CE801</t>
  </si>
  <si>
    <t>DOMINGOS SAVIO NOGUEIRA</t>
  </si>
  <si>
    <t>CE1454</t>
  </si>
  <si>
    <t>FABIO CORREIA FORTE</t>
  </si>
  <si>
    <t>CE889</t>
  </si>
  <si>
    <t>MARIA ALICE ALCANTARA RODRIGUES</t>
  </si>
  <si>
    <t>JANIO ALCANTARA DE OLIVEIRA:  entrou dt inicio:18/05/2020, veio do Gab NGP</t>
  </si>
  <si>
    <t>SONIA DUARTE FEREIRA: TJAA saiu da 6a vara dt fim: 01/02/2022 e entrou na Seção de Provimento e Informações Funcionais dt inicio: 02/02/2022</t>
  </si>
  <si>
    <t>VIVIANE MAIA CORDEIRO GOMES FERNANDES: TJAA-entrou na 6a vara dt inicio: 02/02/2022; veio do Setor Tecnico de Apoio a Magistratuta - NGP dt fim: 01/02/2022</t>
  </si>
  <si>
    <t>Ajuste na 6a vara: atualizando saída de VIVIANE MAIA CORDEIRO GOMES FERNANDES dt fim: 02/05/2022; foi para Seção de Provimento</t>
  </si>
  <si>
    <t>em 08/08/2022: correções em relação ao vínculo de Jeferson MAciel:: não é removido , e sim, requisitado.</t>
  </si>
  <si>
    <t>KARINE LOPES DUARTE relotada na 14ª vara federal</t>
  </si>
  <si>
    <t>JOSEANE CAMELO GUEDES SAWATANI  relotada na 13ª vara federal</t>
  </si>
  <si>
    <t>FABIO ANTONIO TEIXEIRA SABOIA  relotada na 13ª vara federal</t>
  </si>
  <si>
    <t>JOILA BARREIRA DE OLIVEIRA VERAS  relotada na 6ª vara</t>
  </si>
  <si>
    <t>DOMINGOS SAVIO NOGUEIRA relotado na 6ª vara</t>
  </si>
  <si>
    <t>FABIO CORREIA FORTE relotado na 6ª vara</t>
  </si>
  <si>
    <t>RICARDO CLEBER GONÇALVES DE AGUIAR  relotado na 6ª vara</t>
  </si>
  <si>
    <t>MARIA ALICE ALCANTARA RODRIGUES exercicio CJ03 na 6ª Vara Federral</t>
  </si>
  <si>
    <t>ANTONIO CARLOS MARQUES dispensado da função</t>
  </si>
  <si>
    <t>CE572</t>
  </si>
  <si>
    <t>FERNANDA ANGELICA FERREIRA DE SOUZA PORTO</t>
  </si>
  <si>
    <t>CE940</t>
  </si>
  <si>
    <t>MARCELO ANDRADE DA SILVEIRA</t>
  </si>
  <si>
    <t>CE718</t>
  </si>
  <si>
    <t>POLIANA COSTA LIMA CABRAL</t>
  </si>
  <si>
    <t>CE1019</t>
  </si>
  <si>
    <t>ANAIH CASTRO DE CARVALHO</t>
  </si>
  <si>
    <t>CE478</t>
  </si>
  <si>
    <t>EGLA BASTOS FREITAS</t>
  </si>
  <si>
    <t>CE1026</t>
  </si>
  <si>
    <t>PABLO MAURICIO LIMA SILVA</t>
  </si>
  <si>
    <t>CE1199</t>
  </si>
  <si>
    <t>ALEXANDRA ANFRIZIO CAVALCANTE BEZERRA</t>
  </si>
  <si>
    <t>SEM VÍNCULO</t>
  </si>
  <si>
    <t>CE965</t>
  </si>
  <si>
    <t>HELMA DUARTE DE SENA PINTO</t>
  </si>
  <si>
    <t>CE591</t>
  </si>
  <si>
    <t>RICARDO FILOMENO MONTEIRO</t>
  </si>
  <si>
    <t>CE811</t>
  </si>
  <si>
    <t>TRICIA MAGDALA CUNHA DE OLIVEIRA</t>
  </si>
  <si>
    <t>CE714</t>
  </si>
  <si>
    <t>ANA TEREZA CAVALCANTE LIMA</t>
  </si>
  <si>
    <t>CE607</t>
  </si>
  <si>
    <t>MONICA ELIZABETH NOGUEIRA RAMOS BRIGIDO</t>
  </si>
  <si>
    <t>CE878</t>
  </si>
  <si>
    <t>CLAUDIO CUNHA DA COSTA</t>
  </si>
  <si>
    <t>CE698</t>
  </si>
  <si>
    <t>GIOVANA ARAGAO NUNES</t>
  </si>
  <si>
    <t>CE 1955</t>
  </si>
  <si>
    <t>MARIA APARECIDA DE LIMA MOURA</t>
  </si>
  <si>
    <t>Saída de ANDERSON JOSE DIAS DAVI (redistribuição com Tiago) data fim:03/02/2020</t>
  </si>
  <si>
    <t>Entrada de TIAGO DUARTE DE OLIVEIRA(redistribuição com Anderson) data início: 19/02/2020</t>
  </si>
  <si>
    <t>TIAGO DUARTE DE OLIVEIRA: saiu dt fim: 26/09/2021 removido para 25 vara</t>
  </si>
  <si>
    <t>MARIA APARECIDA DE LIMA MOURA: requisitada desligada dt fim: 17/05/2022</t>
  </si>
  <si>
    <t xml:space="preserve">SEVERINO TARCISIO NOBREGA QUEIROGA  aposentadoria em 15/12/2023 </t>
  </si>
  <si>
    <t>janeiro de 2024</t>
  </si>
  <si>
    <t>CE529</t>
  </si>
  <si>
    <t>FRANCISCO VALDISIO GOMES</t>
  </si>
  <si>
    <t>RECONDUZIDA</t>
  </si>
  <si>
    <t>CE1035</t>
  </si>
  <si>
    <t>FRANCISCA ARIVANIA BRAGA MENDONCA</t>
  </si>
  <si>
    <t>CE909</t>
  </si>
  <si>
    <t>ALINE KESIA RODRIGUES GOMES</t>
  </si>
  <si>
    <t>CE668</t>
  </si>
  <si>
    <t>REGINA RODRIGUES RUSSO GOMES</t>
  </si>
  <si>
    <t>CE715</t>
  </si>
  <si>
    <t>VIVIANE DE CARVALHO REBOUÇAS</t>
  </si>
  <si>
    <t>CE906</t>
  </si>
  <si>
    <t>GIOVANNA BEZERRA SANTANA</t>
  </si>
  <si>
    <t>CE1130</t>
  </si>
  <si>
    <t>LIA ESPINDOLA ROMERO FERRO</t>
  </si>
  <si>
    <t>CE395</t>
  </si>
  <si>
    <t>RENATA MARIA BRHEM MONTEIRO</t>
  </si>
  <si>
    <t>CE1298</t>
  </si>
  <si>
    <t>ANA KELINE TOMAZ FONSECA ARAGAO</t>
  </si>
  <si>
    <t>CE791</t>
  </si>
  <si>
    <t>FLAVIA ROMERO CAMPOS</t>
  </si>
  <si>
    <t>CE923</t>
  </si>
  <si>
    <t>MARCOS FABIO OLIVEIRA BENTES</t>
  </si>
  <si>
    <t>CE539</t>
  </si>
  <si>
    <t>SILVIA MEIRY LIMA DE OLIVEIRA CASTRO</t>
  </si>
  <si>
    <t>CE633</t>
  </si>
  <si>
    <t>JOYCE MARIA RANGEL PIERRE MOREIRA</t>
  </si>
  <si>
    <t>CE487</t>
  </si>
  <si>
    <t>MARUSKA DUARTE CHAVES</t>
  </si>
  <si>
    <t>CE696</t>
  </si>
  <si>
    <t>MARCELO MATOSO PRADO</t>
  </si>
  <si>
    <t>CE434</t>
  </si>
  <si>
    <t>FRANCISCO AMERICO BRAZ DE ALMEIDA</t>
  </si>
  <si>
    <t>CE630</t>
  </si>
  <si>
    <t>ANA LUCIA FERNANDES DELLA GUARDIA</t>
  </si>
  <si>
    <t>JOSE BATISTA ALVES: ce661requisitado desligado dt fim: 02/05/2022</t>
  </si>
  <si>
    <t>CE1585</t>
  </si>
  <si>
    <t>ESEUMAR DE OLIVEIRA COSTA</t>
  </si>
  <si>
    <t>CE477</t>
  </si>
  <si>
    <t>ALEXANDRE GONDIM GOMES</t>
  </si>
  <si>
    <t>CE970</t>
  </si>
  <si>
    <t>KARINE ALBUQUERQUE CRUZ CANDEIRA</t>
  </si>
  <si>
    <t>CE1757</t>
  </si>
  <si>
    <t>MARCELO CORREIA CANDEIRA</t>
  </si>
  <si>
    <t>CE329</t>
  </si>
  <si>
    <t>RAIMUNDO LIMA DE FREITAS</t>
  </si>
  <si>
    <t>CE893</t>
  </si>
  <si>
    <t>MARIA ERONEIDE DE SOUSA DUARTE</t>
  </si>
  <si>
    <t>CE836</t>
  </si>
  <si>
    <t>GLAUCIA MOREIRA MESQUITA DE SOUSA</t>
  </si>
  <si>
    <t>CE1015</t>
  </si>
  <si>
    <t>MARIA EUGENIA MOTA DOS SANTOS</t>
  </si>
  <si>
    <t>CE1614</t>
  </si>
  <si>
    <t>DENISE HELENA FERNANDES PIRES CORTELETTI</t>
  </si>
  <si>
    <t>CE947</t>
  </si>
  <si>
    <t>FRANCISCO DE ASSIS BEZERRA</t>
  </si>
  <si>
    <t>CE1033</t>
  </si>
  <si>
    <t>CE894</t>
  </si>
  <si>
    <t>ANA WALESCA DE CASTRO ALVES</t>
  </si>
  <si>
    <t>CE1237</t>
  </si>
  <si>
    <t>CLEBER SOUZA CORDEIRO</t>
  </si>
  <si>
    <t>CE1309</t>
  </si>
  <si>
    <t>LUANA SANTANA DE CASTRO</t>
  </si>
  <si>
    <t>CE1125</t>
  </si>
  <si>
    <t>MARLICE PINTO DINIZ DE ARAUJO</t>
  </si>
  <si>
    <t>CE 997</t>
  </si>
  <si>
    <t>KEYLA DEBORA PATRICIO DOS SANTOS</t>
  </si>
  <si>
    <t>ELMANO SIQUEIRA DE ARAUJO CHAVES: entrou em 14/05/2020; relotação.</t>
  </si>
  <si>
    <t xml:space="preserve">ELMANO SIQUEIRA DE ARAUJO CHAVES: retorno à Seção de cadastro em 25/05/2020. </t>
  </si>
  <si>
    <t>JULHO:</t>
  </si>
  <si>
    <t>ISLAN TAYMON FONTELES: entrou em 02/07/2020, veio da SECAD.</t>
  </si>
  <si>
    <t>ANA GLAUBIA DE SOUSA PAIVA: AJOJ- entrou dt inicio:21/01/2022; estava como SERVIDORES CEDIDOS/EXERCICIO PROVISÓRIO/REMOVIDO/LOTORG/CE
OBS: Servidora do quadro efetivo SJCE removida SINAR para Curitiba/PR e requisitada pela origem- SJCE.</t>
  </si>
  <si>
    <t>JULIANA LACERDA DANTAS DE LIMA: MAT 1738; requisitada de Prefeitura, que foi cedida ao TRF; dt fim na 9a vara: 22/06/2022 (desligada)</t>
  </si>
  <si>
    <t>FRANCISCO EVANILSON VIANA relotado na 28ª vara federal</t>
  </si>
  <si>
    <t>ISLAN TAYMON FONTELES relotado na 28ª vara federal</t>
  </si>
  <si>
    <t>JOAO EUDES AZEVEDO DE SOUZA relotado na 28ª vara federal</t>
  </si>
  <si>
    <t>RAQUEL TELES DE SOUSA LEITE relotado na 28ª vara federal</t>
  </si>
  <si>
    <t>DIERLY RODRIGUES CORDEIRO relotado na 9ª vara federal</t>
  </si>
  <si>
    <t>DANIELA DE CASSIA SANTOS DA ROCHA relotado na 9ª vara federal</t>
  </si>
  <si>
    <t>ANA FATIMA DE CASTRO CRUZ relotado na 9ª vara federal</t>
  </si>
  <si>
    <t>CLEBER SOUZA CORDEIRO relotado na 9ª vara federal</t>
  </si>
  <si>
    <t>LUANA SANTANA DE CASTRO relotado na 9ª vara federal</t>
  </si>
  <si>
    <t>CE1239</t>
  </si>
  <si>
    <t>saiu da 9ª Vara e foi para 28ª Vara</t>
  </si>
  <si>
    <t>CE1359</t>
  </si>
  <si>
    <t>SILVIA COSTA PINTO BENEVIDES</t>
  </si>
  <si>
    <t>CE747</t>
  </si>
  <si>
    <t>AMERICO RAIMUNDO DE CARVALHO</t>
  </si>
  <si>
    <t>CE1271</t>
  </si>
  <si>
    <t>RENATA FELISMINO LIMA</t>
  </si>
  <si>
    <t>CE951</t>
  </si>
  <si>
    <t>RENATO MENDES BRITO</t>
  </si>
  <si>
    <t>CE1040</t>
  </si>
  <si>
    <t>ANA VERONICA MARTINS TORRES</t>
  </si>
  <si>
    <t>CE826</t>
  </si>
  <si>
    <t>CICERA GONCALVES DE SOUSA</t>
  </si>
  <si>
    <t>CE992</t>
  </si>
  <si>
    <t>LEONARDO AUGUSTO PINHEIRO GUIMARAES</t>
  </si>
  <si>
    <t>CE1559</t>
  </si>
  <si>
    <t>ELIANA MARIA RODRIGUES DE FARIAS</t>
  </si>
  <si>
    <t>CE1551</t>
  </si>
  <si>
    <t>GUILHERME SALES VASCONCELOS</t>
  </si>
  <si>
    <t>CE891</t>
  </si>
  <si>
    <t>MARCIA DERLANE LOBO LEITE</t>
  </si>
  <si>
    <t>CE496</t>
  </si>
  <si>
    <t>JOAO DE PAULA ARAUJO NETO</t>
  </si>
  <si>
    <t>CE860</t>
  </si>
  <si>
    <t>ANDREA LEAL RIBEIRO</t>
  </si>
  <si>
    <t>CE1161</t>
  </si>
  <si>
    <t>RICARDO FONTENELE CAVALCANTE</t>
  </si>
  <si>
    <t>CE773</t>
  </si>
  <si>
    <t>CYNTHIA DA COSTA MARROQUIM</t>
  </si>
  <si>
    <t>JANUSE FEITOSA MACEDO PASSOS: entrou dt inicio: 25/06/2021; veio da Seção de Saúde</t>
  </si>
  <si>
    <t>CARLOS ZEDI SOBRAL MACHADO: entrou dt inicio: 02/08/2021; veio do GAb Dirforo</t>
  </si>
  <si>
    <t>JANUSE FEITOSA MACEDO PASSOS: (removida) saiu da 10 Vara dt fim 01/08/2021; para a Seção de Biblioteca e, em seguida, para a Seção de Autogestão em Saúde-NGP dt inicio:25/08/2021</t>
  </si>
  <si>
    <t>CARLOS ZEDI SOBRAL MACHADO: AJAA inativo dt fim:01/06/2022- Já lançado na aba cargos vagos!</t>
  </si>
  <si>
    <t>JOSE PENIA aposentou em 11/07/2023</t>
  </si>
  <si>
    <t>CE736</t>
  </si>
  <si>
    <t>CARLOS ROBERTO BRITTO GOMES PINTO</t>
  </si>
  <si>
    <t>CE534</t>
  </si>
  <si>
    <t>KARLA PATRICIA MARTINS ARRUDA</t>
  </si>
  <si>
    <t>CE482</t>
  </si>
  <si>
    <t>MILENA GOMES DE MATOS E SOUSA RAULINO</t>
  </si>
  <si>
    <t>CE379</t>
  </si>
  <si>
    <t>CLOVIS BEZERRA DO CARMO</t>
  </si>
  <si>
    <t>CE516</t>
  </si>
  <si>
    <t>LAURO NOGUEIRA SA MOTA FILHO</t>
  </si>
  <si>
    <t>CE1601</t>
  </si>
  <si>
    <t>REBECA PINHEIRO DE OLIVEIRA</t>
  </si>
  <si>
    <t>CE795</t>
  </si>
  <si>
    <t>MARIA DO SOCORRO LECI</t>
  </si>
  <si>
    <t>CE460</t>
  </si>
  <si>
    <t>PEDRO DE ARAUJO MEIRA</t>
  </si>
  <si>
    <t>CE674</t>
  </si>
  <si>
    <t>MARIA RAQUEL SOEIRO MAIA</t>
  </si>
  <si>
    <t>CE470</t>
  </si>
  <si>
    <t>ARLINEIDE BARROS VIANA</t>
  </si>
  <si>
    <t>CE1028</t>
  </si>
  <si>
    <t>FABIO MAGALHAES RODRIGUES</t>
  </si>
  <si>
    <t>CE785</t>
  </si>
  <si>
    <t>VANESSA MACHADO MONTE</t>
  </si>
  <si>
    <t>CE341</t>
  </si>
  <si>
    <t>TERESA CRISTINA ROCHA GOMES GARCEZ</t>
  </si>
  <si>
    <t>CE564</t>
  </si>
  <si>
    <t>AGNOR DA SILVA CARMO JUNIOR</t>
  </si>
  <si>
    <t>CE1084</t>
  </si>
  <si>
    <t>REBECA FERREIRA BRASIL</t>
  </si>
  <si>
    <t>FRANCISCO JOSE FACANHA FELIX TJAS (era requisitado): desligado dt fim: 03/05/2021</t>
  </si>
  <si>
    <t>MARIANNE SAUNDERS GUIMARAES UCHOA: Sem vínculo desligada- dt fim: 31/01/2022</t>
  </si>
  <si>
    <t>CE1177</t>
  </si>
  <si>
    <t>ANISLAY LIMA XIMENES</t>
  </si>
  <si>
    <t>CE1674</t>
  </si>
  <si>
    <t>ENEIDA ARRUDA FERREIRA GOMES</t>
  </si>
  <si>
    <t>CE1092</t>
  </si>
  <si>
    <t>RONALDO MOTA LEITE BARBOSA</t>
  </si>
  <si>
    <t>CE913</t>
  </si>
  <si>
    <t>SERGIANO QUEIROZ GUIMARAES</t>
  </si>
  <si>
    <t>CE1088</t>
  </si>
  <si>
    <t>CLEBER VINICIUS MAIA MASCARENHAS</t>
  </si>
  <si>
    <t>CE944</t>
  </si>
  <si>
    <t>JOAO PAULO ARAUJO CARNEIRO</t>
  </si>
  <si>
    <t>CE1395</t>
  </si>
  <si>
    <t>RAPHAEL NOGUEIRA BEZERRA DE MENEZES</t>
  </si>
  <si>
    <t>CE1488</t>
  </si>
  <si>
    <t>EDIENE SANTANA DE OLIVEIRA</t>
  </si>
  <si>
    <t>CE1093</t>
  </si>
  <si>
    <t>JOAO GETULIO CHAVES SAMPAIO</t>
  </si>
  <si>
    <t>CE541</t>
  </si>
  <si>
    <t>MAXWELL TEIXEIRA DE PAULA</t>
  </si>
  <si>
    <t>CE805</t>
  </si>
  <si>
    <t>AGNEVALDO LIMA FONTELES</t>
  </si>
  <si>
    <t>CE616</t>
  </si>
  <si>
    <t>DENISE MARIA PINTO GIRAO</t>
  </si>
  <si>
    <t>CE954</t>
  </si>
  <si>
    <t>LORENA DE PAULA PESSOA SA</t>
  </si>
  <si>
    <t>CE901</t>
  </si>
  <si>
    <t>HUMBERTO ALVES QUEZADO JUNIOR</t>
  </si>
  <si>
    <t>CE567</t>
  </si>
  <si>
    <t>SANDRA REGIA SALES SOARES</t>
  </si>
  <si>
    <t>CE835</t>
  </si>
  <si>
    <t>KLECIUS MESQUITA DE SOUSA</t>
  </si>
  <si>
    <t>ROBERTA FERNANDES GRADVOHL: sem ví´nculo desligamento dt fim: 03/07/2022</t>
  </si>
  <si>
    <t>CE1212</t>
  </si>
  <si>
    <t>LEONARDO MONACO FERRARI</t>
  </si>
  <si>
    <t>CE1068</t>
  </si>
  <si>
    <t>MARTHA REJANE MELO SILVA</t>
  </si>
  <si>
    <t>CE731</t>
  </si>
  <si>
    <t>ADILIA SARICA MELO SILVA BASTOS</t>
  </si>
  <si>
    <t>CE1077</t>
  </si>
  <si>
    <t>REJANE FARIAS NOBRE</t>
  </si>
  <si>
    <t>CE1579</t>
  </si>
  <si>
    <t>FILIPE ANTONIO LOPES DA SILVA</t>
  </si>
  <si>
    <t>CE1240</t>
  </si>
  <si>
    <t>DAYSE ARAUJO ABREU</t>
  </si>
  <si>
    <t>CE1024</t>
  </si>
  <si>
    <t>AUGUSTO PASSOS SOBRAL</t>
  </si>
  <si>
    <t>CE1840</t>
  </si>
  <si>
    <t>IGOR VIEIRA DE MACEDO FERNANDES</t>
  </si>
  <si>
    <t>CE1702</t>
  </si>
  <si>
    <t>IVANA MAGALHAES VIEIRA</t>
  </si>
  <si>
    <t>CE1327</t>
  </si>
  <si>
    <t>BARBARA ELIGIA DE ALENCAR E SILVA</t>
  </si>
  <si>
    <t>CE416</t>
  </si>
  <si>
    <t>FABIO ANTONIO TEIXEIRA SABOIA</t>
  </si>
  <si>
    <t>CE861</t>
  </si>
  <si>
    <t>GEORGE WASHINGTON CARDOSO DE SOUZA</t>
  </si>
  <si>
    <t>CE1913</t>
  </si>
  <si>
    <t>VINICIUS SOUSA E SILVA</t>
  </si>
  <si>
    <t>CE1919</t>
  </si>
  <si>
    <t>MARIO CESAR LOPES DA PONTE</t>
  </si>
  <si>
    <t>CE309</t>
  </si>
  <si>
    <t>lotação fisica 3ª Vara</t>
  </si>
  <si>
    <t>lotação fisica SECAD</t>
  </si>
  <si>
    <t>JOSE LUCIANO FARIAS- exerc provisório: falecimento dt fim:19/06/2020</t>
  </si>
  <si>
    <t>VICTOR EMANOEL DE CASTRO RIBEIRO: entrou em 08/07/2020, veio do GABINETE DO DIRETOR DE SECRETARIA ADMINISTRATIVA/GDS/SA-CE</t>
  </si>
  <si>
    <t>VICTOR EMANOEL DE CASTRO RIBEIRO: saiu em 22/02/2021, foi para GABINETE DO DIRETOR DE SECRETARIA ADMINISTRATIVA/GDS/SA-CE dt início: 23/02/2021.</t>
  </si>
  <si>
    <t>JOSE RONALD MAIA BARRETO:  veio do Setor de gestão de expedientes e Plantão/NJ dt inicio na 13a VAra: 19/01/2022</t>
  </si>
  <si>
    <t>FRANCISCO EVANS CAVALCANTE MOTA: saiu dt fim 23/05/2022; foi para TR1</t>
  </si>
  <si>
    <t>ULISSES LOUREIRO GUTIERREZ entrou dt inicio: 24/05/2022; veio da TR1</t>
  </si>
  <si>
    <t>ULISSES LOUREIRO GUTIERREZ TJAA: saiu da 13a vara foi cedido ao TRF5 dt fim: 06/06/2022</t>
  </si>
  <si>
    <t>ANIBAL MATOS PITA: saiu da 13a vara  dt fim: 19/07/2022; foi para Seçãõ de Biblioteca</t>
  </si>
  <si>
    <t>INACIA VANY BONFIM PITA:  saiu da 13a vara  dt fim: 19/07/2022; foi para Seção de Biblioteca</t>
  </si>
  <si>
    <t>BARBARA ELIGIA DE ALENCAR E SILVA: AJAA entrou dt inicio: 26/09/2022; veio da 31a vara</t>
  </si>
  <si>
    <t>FABIO ANTONIO TEIXEIRA SABOIA  relotado na 13ª vara federal</t>
  </si>
  <si>
    <t>MARIA CIRLENE PINHEIRO CAMPOS  relotada na 14ª vara federal</t>
  </si>
  <si>
    <t>INACIO GOMES DE CARVALHO NETO relotada na 14ª vara federal</t>
  </si>
  <si>
    <t>ANA DANIELE DOS SANTOS SOUSA relotada na 14ª vara federal</t>
  </si>
  <si>
    <t>ULISSES LOUREIRO GUTIERREZ relotada na 14ª vara federal</t>
  </si>
  <si>
    <t>HELENA DE NAZARETH GUIMARAES relotada na 13ª vara federal</t>
  </si>
  <si>
    <t>GEORGE WASHINGTON CARDOSO DE SOUZA relotado na 13ª vara</t>
  </si>
  <si>
    <t>JOANA ROBERTA BESSA BARREIRA retorno ao orgao de origem em 04/05/2023</t>
  </si>
  <si>
    <t>MARIO CESAR LOPES DA PONTE entrou em 17/04/2023</t>
  </si>
  <si>
    <t>MARCUS ANDRE CUNHA PORTO ROSA entrou dia 03/07/2023</t>
  </si>
  <si>
    <t>saiu da 13ª e foi para a Seção de Apoio à Atividade Judiciária- Núcleo Judiciário</t>
  </si>
  <si>
    <t>Unidade acolhedora</t>
  </si>
  <si>
    <t>saiu da 13ª e foi para a 2ª Vara</t>
  </si>
  <si>
    <t>posto a disposição saber qual será sua lotação (Falar Raquel SECAD)</t>
  </si>
  <si>
    <t>CE857</t>
  </si>
  <si>
    <t>FRANCISCO ALLYSON DE SIQUEIRA NOBREGA</t>
  </si>
  <si>
    <t>CE362</t>
  </si>
  <si>
    <t>JOSE JORGE CIDADE NETO</t>
  </si>
  <si>
    <t>CE1615</t>
  </si>
  <si>
    <t>ADRIANO DA SILVA LIMA</t>
  </si>
  <si>
    <t>CE1441</t>
  </si>
  <si>
    <t>KARINE STUDART CYSNE LIMA</t>
  </si>
  <si>
    <t>CE1067</t>
  </si>
  <si>
    <t>LUCIANA MACEDO BARCELAR CANECA</t>
  </si>
  <si>
    <t>CE1506</t>
  </si>
  <si>
    <t>PRISCILA SUELEN COSTA DA SILVEIRA SAMPAIO</t>
  </si>
  <si>
    <t>CE1611</t>
  </si>
  <si>
    <t>ANA GEORGEA GOMES PINHEIRO PRADO</t>
  </si>
  <si>
    <t>CE819</t>
  </si>
  <si>
    <t>LUIZ GONZAGA ARAUJO VASCONCELOS</t>
  </si>
  <si>
    <t>CE515</t>
  </si>
  <si>
    <t>NILO SARAIVA FILHO</t>
  </si>
  <si>
    <t>CE982</t>
  </si>
  <si>
    <t>ROBERTO LIMA DE SOUZA</t>
  </si>
  <si>
    <t>CE581</t>
  </si>
  <si>
    <t>SORAYA LEITE ALBUQUERUQE</t>
  </si>
  <si>
    <t>CE1027</t>
  </si>
  <si>
    <t>ANA DANIELE DOS SANTOS SOUSA</t>
  </si>
  <si>
    <t>CE745</t>
  </si>
  <si>
    <t>INACIO GOMES DE CARVALHO NETO</t>
  </si>
  <si>
    <t>CE1578</t>
  </si>
  <si>
    <t>CE1215</t>
  </si>
  <si>
    <t>ULISSES LOUREIRO GUTIERREZ</t>
  </si>
  <si>
    <t>CE977</t>
  </si>
  <si>
    <t>CE1932</t>
  </si>
  <si>
    <t>ROSALYNNE PRACIANO PONTES BRAQUEHAIS</t>
  </si>
  <si>
    <t>WESNA SOMBRA OLIVEIRA SARAIVA LEAO: TJAA-saiu da 14a vara removida SINAR dt fim: 01/09/2022- contabilizada em SERVIDORES CEDIDOS/EXERCICIO PROVISÓRIO/REMOVIDO/LOTORG/CE</t>
  </si>
  <si>
    <t>HELENA DE NAZARETH GUIMARAES relotada na 13ª vara</t>
  </si>
  <si>
    <t>JOAO BATISTA CATUNDA ARAGAO saiu da 14 vara e foi para o NIST</t>
  </si>
  <si>
    <t>KARINE LOPES DUARTE cedida para TRF5 dia 19/06/2023</t>
  </si>
  <si>
    <t>ROSALYNNE PRACIANO PONTES BRAQUEHAIS entrou em 10/08/2023</t>
  </si>
  <si>
    <t>CE1661</t>
  </si>
  <si>
    <t>ARILDO DAMASCENO FARIAS</t>
  </si>
  <si>
    <t>15ªVARA</t>
  </si>
  <si>
    <t>CE1775</t>
  </si>
  <si>
    <t>SORAIA MARIA NOBRE ALVES</t>
  </si>
  <si>
    <t>TAMYRES GOUVEIA GOMES</t>
  </si>
  <si>
    <t>CE1563</t>
  </si>
  <si>
    <t>ANA CARLA VASCONCELOS FREITAS</t>
  </si>
  <si>
    <t>CE1552</t>
  </si>
  <si>
    <t>GISLEIDE FARIAS BRAZ</t>
  </si>
  <si>
    <t>CE1733</t>
  </si>
  <si>
    <t>CARLOS ESTEVAO LIMA PIMENTEL</t>
  </si>
  <si>
    <t>CE1708</t>
  </si>
  <si>
    <t>ARISTEU ANTONIO DE LIMA NETO</t>
  </si>
  <si>
    <t>CE1628</t>
  </si>
  <si>
    <t>MARIA CIRLANE ANDRADE DE ABREU</t>
  </si>
  <si>
    <t>CE1660</t>
  </si>
  <si>
    <t>MICHAEL ESTEVAM DE ALMEIDA</t>
  </si>
  <si>
    <t>CE1581</t>
  </si>
  <si>
    <t>MIRO SAMIR DE MOURA VIANA</t>
  </si>
  <si>
    <t>SUBDIRFORO</t>
  </si>
  <si>
    <t>Setor Técnico de Apoio Jud</t>
  </si>
  <si>
    <t>CE1165</t>
  </si>
  <si>
    <t>ANTONIO LAERCIO NOGUEIRA MAIA</t>
  </si>
  <si>
    <t>CE517</t>
  </si>
  <si>
    <t>AUBENIS IVANILDE DE MOISES</t>
  </si>
  <si>
    <t>CE1085</t>
  </si>
  <si>
    <t>FABIANA NOGUEIRA NUNES SARAIVA</t>
  </si>
  <si>
    <t>CE1518</t>
  </si>
  <si>
    <t>LUANA MOTA ELLERY</t>
  </si>
  <si>
    <t>CE1877</t>
  </si>
  <si>
    <t>CE1907</t>
  </si>
  <si>
    <t>GILBERTO COMIN NUNES</t>
  </si>
  <si>
    <t>CE1670</t>
  </si>
  <si>
    <t>DEBORAH BORGES ARAUJO TIGRE LEITAO</t>
  </si>
  <si>
    <t>CAMILA PONTE DE MELO PIRES ADJAFRE</t>
  </si>
  <si>
    <t>CE1119</t>
  </si>
  <si>
    <t>ZÉLIA GUSMÃO FERREIRA</t>
  </si>
  <si>
    <t>Seção de Apoio Adm e Jud</t>
  </si>
  <si>
    <t>CE1697</t>
  </si>
  <si>
    <t>CAIO FARIAS DA COSTA</t>
  </si>
  <si>
    <t>29ªVARA</t>
  </si>
  <si>
    <t>CE1683</t>
  </si>
  <si>
    <t>CYDLLA SALES BRUNO</t>
  </si>
  <si>
    <t>CE1082</t>
  </si>
  <si>
    <t>FRANCISCO ANTONIO DE OLIVEIRA</t>
  </si>
  <si>
    <t>CE1482</t>
  </si>
  <si>
    <t>GERMANO PAIVA DE CASTRO</t>
  </si>
  <si>
    <t>CE1394</t>
  </si>
  <si>
    <t>JOAQUIM SERGIO GONCALVES LEMOS DANTAS</t>
  </si>
  <si>
    <t>CE1752</t>
  </si>
  <si>
    <t>MAGNO SILVA DE PAULA</t>
  </si>
  <si>
    <t>CE1560</t>
  </si>
  <si>
    <t>THIAGO MENEZES GABRIEL</t>
  </si>
  <si>
    <t>CE1577</t>
  </si>
  <si>
    <t>CRISTIANE CAVALCANTI DA TRINDADE</t>
  </si>
  <si>
    <t>CE1659</t>
  </si>
  <si>
    <t>DANIEL CABO DIOGENES</t>
  </si>
  <si>
    <t>CE1747</t>
  </si>
  <si>
    <t>PAULA MIRLLA BARBOSA MENDES</t>
  </si>
  <si>
    <t>CE1600</t>
  </si>
  <si>
    <t>TAYNAN DA SILVA FIUZA</t>
  </si>
  <si>
    <t>CE1466</t>
  </si>
  <si>
    <t>ITALO OLIVEIRA</t>
  </si>
  <si>
    <t>CE1304</t>
  </si>
  <si>
    <t>FRANCISCO GIOVANNI DE OLIVEIRA GURGEL</t>
  </si>
  <si>
    <t>CE1232</t>
  </si>
  <si>
    <t>ALEX VICTOR COSTA FARIA</t>
  </si>
  <si>
    <t>CE1571</t>
  </si>
  <si>
    <t>MARIANA DE ANDRADE</t>
  </si>
  <si>
    <t>CE1701</t>
  </si>
  <si>
    <t>CHRISTOPHER ANTUNIS PINTO DE MESQUITA</t>
  </si>
  <si>
    <t>CE1871</t>
  </si>
  <si>
    <t>CE920</t>
  </si>
  <si>
    <t>MARIO CLETO SALES MOURA</t>
  </si>
  <si>
    <t>CE1700</t>
  </si>
  <si>
    <t>CAMILA FARIAS FOX CANTARELLI</t>
  </si>
  <si>
    <t>CE1925</t>
  </si>
  <si>
    <t>GILBERTO AGUIAR PONTE</t>
  </si>
  <si>
    <t>CE1898</t>
  </si>
  <si>
    <t>ADRIANA SALGADO DE LIMA MOURA</t>
  </si>
  <si>
    <t>Setor Técnico de Apoio Adm</t>
  </si>
  <si>
    <t>Ajuste: FRANCISCO JOSE VALE DE MORAIS saiu da 15ª vara df fim:17/11/2019 para Sede - Ceman  NJ-Secad</t>
  </si>
  <si>
    <t>Ajuste: CHRISTOPHER ANTUNIS PINTO DE MESQUITA saiu da 17ª vara dt fim: 27/11/2019 e foi para a 15ª vara dt inicio:28/11/2019</t>
  </si>
  <si>
    <t>NOVEMBRO2020:</t>
  </si>
  <si>
    <t>GUILHERME CHOAIRY FONTENELE: nomeação; entrou na 29 vara dt incício:23/11/2020.</t>
  </si>
  <si>
    <t>JANEIRO2020:</t>
  </si>
  <si>
    <t>Apoio Adm de limoeiro do Norte: Saiu JOSÉ ALMAR SANTOAGO DE ALMEIDA (requisitado) dt fim: 04/01/2021</t>
  </si>
  <si>
    <t>29 Vara: Saiu SAVIO CESAR DA COSTA E SILVA - AJAJ removido Sinar- dt fim:24/01/2021; para a TR2 dt inicio:25/01/2021</t>
  </si>
  <si>
    <t>29 Vara: saiu MARCOS ANTONIO BELEM PONTES dt fim: 17/03/2021; para Seção de Apoio Administrativo de Limoeiro dt inicio: 18/03/2021.</t>
  </si>
  <si>
    <t>15 Vara: entrou GEOVANI COSTA BEZERRA TJAA: entrou na 15 vara dt inicio: 12/04/2025; veio da 17 vara dt fim:11/04/2021</t>
  </si>
  <si>
    <t>15 Vara: saiu REJANE QUARESMA DE MORAIS TJAA dt fim:18/04/2021; foi para a 27 Vara.</t>
  </si>
  <si>
    <t>15 Vara: saiu FRANCISCO FERREIRA GUSMAO NETO: era requisitado- desligado dt fim:11/05/2021</t>
  </si>
  <si>
    <t>15 Vara: CAMILA FARIAS FOX CANTARELLI: (serv de outros órgãos/Ativo remov SINAR) retorno à SJCE dt início: 23/06/2021</t>
  </si>
  <si>
    <t>15 VARA: DYEGO TERCEIRO SA: entrou nomeação dt inicio:01/10/2021</t>
  </si>
  <si>
    <t xml:space="preserve">15 VARA: GEOVANI COSTA BEZERRA TJAA: saiu dt fim 21/09/2021 removido para Fortaleza, Seção de Licitações </t>
  </si>
  <si>
    <t>DIEGO KEMPS DE OLIVEIRA DOS SANTOS: saiu da Seção de Apoio Jud para a 15a Vara dt inicio: 03/01/2022</t>
  </si>
  <si>
    <t>MARCOS ANTONIO BELEM PONTES: saiu da Seçãõ de Apoio Adm para o Setor Técnico de Apoio Adm</t>
  </si>
  <si>
    <t>MIRO SAMIR DE MOURA VIANA: saiu da 15a Vara para Setor Técnico Apoio Jud dt inicio: 03/01/2022</t>
  </si>
  <si>
    <t>ZÉLIA GUSMÃO FERREIRA: saiu da Seção de Apoio Adm para a Seção de Apoio Adm e Jud dt inicio: 03/01/2022</t>
  </si>
  <si>
    <t>15 vara: DYEGO TERCEIRO SA: TJAA DESLIGADO dt fim:28/02/2022</t>
  </si>
  <si>
    <t>15 vara: GISLEIDE FARIAS BRAZ: era removida; desligamento dt fim: 01/02/2022</t>
  </si>
  <si>
    <t>15 vara:GISLEIDE FARIAS BRAZ: AJAJ entrou na 15a vara atraves de redistribução com Priscila Guimaraes Marciano dt inicio: 01/02/2022</t>
  </si>
  <si>
    <t>Setor tec Apoio Adm LIM: entrou MARIO CLETO SALES MOURA dt inicio: 24/05/2022; veio da TR1</t>
  </si>
  <si>
    <t>JULHO 2022:</t>
  </si>
  <si>
    <t>ADRIANA SALGADO DE LIMA MOURA: requisitada Setor tec apoio Adm LIM dt inicio: 11/07/2022 iniciou na 29a vara e foi relotada no Setor Tec Apoio Adm em 15/07/2022</t>
  </si>
  <si>
    <t>MARIO CLETO SALES MOURA: saiu do Setor tec de apoio Adm dt fim 14/07/2022; foi para 29a vara dt inicio: 15/07/2022</t>
  </si>
  <si>
    <t>AJUSTE/ATUALIZAÇÃO: SUBDIRETORIA LIM: MARCOS ANTONIO BELEM PONTES: desligamento retorno a origem dt fim: 24/05/2022</t>
  </si>
  <si>
    <t>BRUNO DE ALBUQUERQUE BARRETO: AJAJ- desligamento dt fim: 19/08/2022</t>
  </si>
  <si>
    <t>OUTUBRO 2022:</t>
  </si>
  <si>
    <t>FRANCISCA FERREIRA DOS SANTOS: saiu da 31ª Vara p/15ª : dt inicio 17/10/2022</t>
  </si>
  <si>
    <t>GILBERTO COMIM NOMEAÇÃO 15ª VARA AJAJ EM 28/10/2022</t>
  </si>
  <si>
    <t>GILBERTO AGUIAR PONTE exercicio em 16/06/2023</t>
  </si>
  <si>
    <t>FABIO MOTA FURTADO saiu em 21/06/2023</t>
  </si>
  <si>
    <t>DANIELE DE SOUSA OLIVEIRA saiu em 30/10/2023</t>
  </si>
  <si>
    <t>CAMILA PONTES saiu em 04/12/2023</t>
  </si>
  <si>
    <t>DESLIGADO EM  26/01/2024</t>
  </si>
  <si>
    <t>CE1322</t>
  </si>
  <si>
    <t>DIEGO KEMPS DE OLIVEIRA DOS SANTOS</t>
  </si>
  <si>
    <t>AMANDA CARVALHO DIOGENES QUEIROZ -LIC GESTANTE 22/10/2021</t>
  </si>
  <si>
    <t>16ªVARA</t>
  </si>
  <si>
    <t>CE1469</t>
  </si>
  <si>
    <t>CLAUDIA PORTELA RIBEIRO GONÇALVES</t>
  </si>
  <si>
    <t>Setor de Apoio Adm</t>
  </si>
  <si>
    <t>CE1929</t>
  </si>
  <si>
    <t>IARA FREIRES DE OLIVEIRA</t>
  </si>
  <si>
    <t>CE1714</t>
  </si>
  <si>
    <t>FRANCISCA KERCIA DA ROCHA VERAS SANTOS</t>
  </si>
  <si>
    <t>CE1696</t>
  </si>
  <si>
    <t>JOSE RODRIGUES PEIXOTO</t>
  </si>
  <si>
    <t>CE1553</t>
  </si>
  <si>
    <t>LUIZ FABIO TEIXEIRA</t>
  </si>
  <si>
    <t>CE1764</t>
  </si>
  <si>
    <t>MARIA DE LOURDES SILVA SANTOS</t>
  </si>
  <si>
    <t>CE1630</t>
  </si>
  <si>
    <t>JOSE DAMIAO SILVA</t>
  </si>
  <si>
    <t>CE1526</t>
  </si>
  <si>
    <t>RAFAEL MENDES PINHEIRO</t>
  </si>
  <si>
    <t>CE994</t>
  </si>
  <si>
    <t>ANDREZA BRINGEL OLIVEIRA LIMA MOREIRA</t>
  </si>
  <si>
    <t>CE1684</t>
  </si>
  <si>
    <t>PATRICIA GOMES DA CRUZ</t>
  </si>
  <si>
    <t>CE1549</t>
  </si>
  <si>
    <t>JOSE JOSIVALDO ROCHA DOS REIS</t>
  </si>
  <si>
    <t>FRANCISCA VALDILENE FERNANDES BARBOSA</t>
  </si>
  <si>
    <t>CE1412</t>
  </si>
  <si>
    <t>SILVANA TORRES MACIEL</t>
  </si>
  <si>
    <t>CE1180</t>
  </si>
  <si>
    <t>VINICIUS NASCIMENTO SILVA</t>
  </si>
  <si>
    <t>Central de Agentes de Segurança Juazeiro do Norte</t>
  </si>
  <si>
    <t>CE1656</t>
  </si>
  <si>
    <t>ELIZABETH BARBOZA VIEIRA</t>
  </si>
  <si>
    <t>CE1868</t>
  </si>
  <si>
    <t>CE1885</t>
  </si>
  <si>
    <t>CE1403</t>
  </si>
  <si>
    <t>ESPEDITO ANDRADE RIBEIRO</t>
  </si>
  <si>
    <t>CE1657</t>
  </si>
  <si>
    <t>FRANCISCO ANTONIO MENDONÇA FEITOSA FILHO</t>
  </si>
  <si>
    <t>CE1888</t>
  </si>
  <si>
    <t>ROSA GALDINA DA SILVA SOARES</t>
  </si>
  <si>
    <t>Setor de Apoio Jud</t>
  </si>
  <si>
    <t>CE1905</t>
  </si>
  <si>
    <t>GUSTAVO SOUSA COSTA</t>
  </si>
  <si>
    <t>CE1923</t>
  </si>
  <si>
    <t>MARIA ADRIANA MATOS DA SILVA</t>
  </si>
  <si>
    <t>17ªVARA</t>
  </si>
  <si>
    <t>CE1606</t>
  </si>
  <si>
    <t>HELDER LACERDA LEITE</t>
  </si>
  <si>
    <t>CE1695</t>
  </si>
  <si>
    <t>THICIANE ANDRADE DE ALMEIDA ARRAIS</t>
  </si>
  <si>
    <t>CE1179</t>
  </si>
  <si>
    <t>ILANA DE SOUSA QUESADO</t>
  </si>
  <si>
    <t>CE1432</t>
  </si>
  <si>
    <t>ADRIANA MACHADO BESERRA</t>
  </si>
  <si>
    <t>CE1352</t>
  </si>
  <si>
    <t xml:space="preserve">ALINE ALVES DE ALENCAR </t>
  </si>
  <si>
    <t>CE1138</t>
  </si>
  <si>
    <t>NATANIEL BENVINDO DA ROCHA CARVALHO</t>
  </si>
  <si>
    <t>CE1855</t>
  </si>
  <si>
    <t>ANA FLAVIA PEREIRA MADUREIRA</t>
  </si>
  <si>
    <t>CE978</t>
  </si>
  <si>
    <t>JOSE ALBERTO MONTEIRO RODRIGUES JUNIOR</t>
  </si>
  <si>
    <t>CE872</t>
  </si>
  <si>
    <t>LUIZ ANTONIO ARAUJO GRANJEIRO</t>
  </si>
  <si>
    <t>CE1011</t>
  </si>
  <si>
    <t>LUZINERY DE QUEIROZ SAMPAIO VIANA</t>
  </si>
  <si>
    <t>CE1112</t>
  </si>
  <si>
    <t>TACIANA FURTADO DE CARVALHO SOUSA</t>
  </si>
  <si>
    <t>CE1089</t>
  </si>
  <si>
    <t>MARCOS GIAN AUGUSTO MARQUES</t>
  </si>
  <si>
    <t>CE1302</t>
  </si>
  <si>
    <t>CICERO ERIVANIO ARAUJO DE SOUSA</t>
  </si>
  <si>
    <t>CE1289</t>
  </si>
  <si>
    <t>ROBERIO TAVARES NOGUEIRA</t>
  </si>
  <si>
    <t>CE1214</t>
  </si>
  <si>
    <t>ITALO DE QUEIROZ FORTE</t>
  </si>
  <si>
    <t>CE1346</t>
  </si>
  <si>
    <t>MIRNNA CHRISTINA GUILHERME BENEVIDES</t>
  </si>
  <si>
    <t>CE1976</t>
  </si>
  <si>
    <t>RODRIGO MATOS DE ARAUJO</t>
  </si>
  <si>
    <t>CE1873</t>
  </si>
  <si>
    <t>ARIANE BRITO DE ARAUJO</t>
  </si>
  <si>
    <t>CE1908</t>
  </si>
  <si>
    <t>PAULO ROBERTO SOUSA DE ARAUJO</t>
  </si>
  <si>
    <t>CE1608</t>
  </si>
  <si>
    <t>GILMAR GOMES LIMA</t>
  </si>
  <si>
    <t>CE1246</t>
  </si>
  <si>
    <t>FRANCISCO DEMONTIER ARAUJO GRANJEIRO</t>
  </si>
  <si>
    <t>30ªVARA</t>
  </si>
  <si>
    <t xml:space="preserve"> CE1428</t>
  </si>
  <si>
    <t>LUIZ ANTONIO NUNES BEZERRA</t>
  </si>
  <si>
    <t>CE1385</t>
  </si>
  <si>
    <t>CE1430</t>
  </si>
  <si>
    <t>MONALISA BEZERRA HOLANDA TIMBO DE LIMA</t>
  </si>
  <si>
    <t>CE1188</t>
  </si>
  <si>
    <t>ROSICLEIDE LUZ MOURA</t>
  </si>
  <si>
    <t>CE1305</t>
  </si>
  <si>
    <t>EDUARDO PEREIRA COSTA</t>
  </si>
  <si>
    <t>CE1424</t>
  </si>
  <si>
    <t>JANIELLE FERREIRA LEANDRO</t>
  </si>
  <si>
    <t>CE1724</t>
  </si>
  <si>
    <t>WELLDER DE OLIVEIRA FREIRE</t>
  </si>
  <si>
    <t>CE1213</t>
  </si>
  <si>
    <t>MAGNOLIA DE SOUSA ALEXANDRE</t>
  </si>
  <si>
    <t>CE1216</t>
  </si>
  <si>
    <t>MARCONDES OLIVEIRA DA SILVA</t>
  </si>
  <si>
    <t>CE1293</t>
  </si>
  <si>
    <t>JEFERSON GALDINO OLIVEIRA</t>
  </si>
  <si>
    <t>CE1284</t>
  </si>
  <si>
    <t>WILSON LOPES ROCHA</t>
  </si>
  <si>
    <t>CE1778</t>
  </si>
  <si>
    <t>VINICIUS DE BRITO MARINHO</t>
  </si>
  <si>
    <t>CE1884</t>
  </si>
  <si>
    <t>DANIELLE VANESSA ALVES ANDRADE</t>
  </si>
  <si>
    <t>CE1699</t>
  </si>
  <si>
    <t>FERNANDA MAGALHAES ALBUQUERQUE ARANHA</t>
  </si>
  <si>
    <t>CE1900</t>
  </si>
  <si>
    <t>CE1440</t>
  </si>
  <si>
    <t>RUBIA ALVES DE ARAUHO</t>
  </si>
  <si>
    <t>CE610</t>
  </si>
  <si>
    <t>GISELE PEIXOTO BEZERRA LIMA</t>
  </si>
  <si>
    <t>Saiu da 16ª vara FRANCISCO ANTONIO MENDONÇA FEITOSA FILHO dt fim:05/02/2020</t>
  </si>
  <si>
    <t>Entrou no Apoio Judiciário de Juazeiro do Norte FRANCISCO ANTONIO MENDONÇA FEITOSA FILHO dt início: 06/02/2020</t>
  </si>
  <si>
    <t>Ajuste: CHRISTOPHER ANTUNIS PINTO DE MESQUITA saiu da 17ª vara dt fim: 27/11/2019 e foi para a 15ª vara</t>
  </si>
  <si>
    <t>Ajuste: SABINO GOMES APOLONIO FILHO saiu da ceman NJ Secad dt fim: 27/11/2019 para a 17ª vara dt início:28/11/2019</t>
  </si>
  <si>
    <t>ANGELA CARLOS ABRANTES DA SILVA - requisitada: entrou na 30ª vara dt inicio:12/03/2020</t>
  </si>
  <si>
    <t>ELISEU DE MATTOS BATISTA -sem vínculo: Saiu da 30ª vara dt fim: 12/03/2020</t>
  </si>
  <si>
    <t xml:space="preserve">ESAU NOBRE BEZERRA: saiu da 16ª vara (dt fim: 25/03/2020)  para o Apoio Adm JUA (dt inicio: 26/03/2020) </t>
  </si>
  <si>
    <t>JOSE GUSTAVO GOMES PEREIRA CASSIANO- Requisitado: saiu da 16ª vara dt fim: 11/03/2020</t>
  </si>
  <si>
    <t>LUIS FERNANDO COSTA PINTO: Nomeado: entrou na 30ª vara dt inicio: 16/03/2020</t>
  </si>
  <si>
    <t>RAUL HOLANDA DE SOUSA: Saiu do Apoio Adm JUA (dt fim: 17/03/2020) para a 16ª vara (dt inicio:18/03/2020)</t>
  </si>
  <si>
    <t>RODRIGO CARDOSO PAULA: Nomeado: entrou na 16ª vara dt inicio: 20/03/2020</t>
  </si>
  <si>
    <t>ABRIL 2020:</t>
  </si>
  <si>
    <t>30ª vara: Entrou DIANA MARIA SOARES MACHADO- Ex provisório: dt inicio 22/04/2020</t>
  </si>
  <si>
    <t>16 vara: RODRIGO CARDOSO PAULA TJAA: desligado dt fim: 30/07/2020</t>
  </si>
  <si>
    <r>
      <rPr>
        <b/>
        <sz val="11"/>
        <color rgb="FF000000"/>
        <rFont val="Calibri"/>
        <family val="2"/>
        <charset val="1"/>
      </rPr>
      <t>LUIS FERNANDO COSTA PINTO TJAA</t>
    </r>
    <r>
      <rPr>
        <sz val="11"/>
        <color rgb="FF000000"/>
        <rFont val="Calibri"/>
        <family val="2"/>
        <charset val="1"/>
      </rPr>
      <t>: desligado da 30 vara dt fim:23/11/2020</t>
    </r>
  </si>
  <si>
    <t>DANTE LOPES RIBEIRO: entrou 30 vara nomeação dt inicio:17/12/2020</t>
  </si>
  <si>
    <t>AJUSTE: 16 vara: KRISTIAN CLAUDIO CALLEGARI: entrou na 16 vara dt inicio: 13/11/2020 (computado, no mapa, agora em dezembro de 2020)</t>
  </si>
  <si>
    <r>
      <rPr>
        <b/>
        <sz val="11"/>
        <color rgb="FF000000"/>
        <rFont val="Calibri"/>
        <family val="2"/>
        <charset val="1"/>
      </rPr>
      <t>AJUSTE : 17 vara: LUIS FERNANDO COSTA PINTO</t>
    </r>
    <r>
      <rPr>
        <sz val="11"/>
        <color rgb="FF000000"/>
        <rFont val="Calibri"/>
        <family val="2"/>
        <charset val="1"/>
      </rPr>
      <t>:AJAA Lotado na Secretaria Administrativa pela nomeação AJAA, de23/11 a 29/11/2020. Com resultado da remoção foi para a 17 Vara dt inicio:30/11/2020.</t>
    </r>
  </si>
  <si>
    <t>AJUSTE:17 vara:  entrou ARIANE BRITO DE ARAUJO TJAA- REMOVIDA motivo saude - dt inicio: 23/11/2020</t>
  </si>
  <si>
    <t>OBS: A 17 VARA ESTÁ COM 22 SERVIDORES , INCLUINDO A ALINE ALVES, QUE ESTÁ DE LICENÇA GESTANTE, NO SARH. (NO RELATÓRIO DO SARH - SERVIDORES POR LOTAÇÃO SÓ TOTALIZAM 21 SERVIDORES, POIS NÃO CONSTA NO REFERIDO RELATÓRIO O NOME DA SERVIDORA ALINE ALVES). PORÉM, A LICENÇA ENCERROU- LIC GESTANTE: 27/04/2020 A 24/08/2020 E PRORROGAÇÃO DA LICENÇA : 25/08/2020 A 23/10/2020.</t>
  </si>
  <si>
    <t>PROVIDÊNCIA A SER TOMADA: ATUALIZAR A OTAÇÃO DA SERVIDORA NO SARH, DE MODO QUE ELA PASSE A SER LISTADA NA 17 VARA NO RELATÓRIO SERVIDORES POR LOTAÇÃO DO SARH</t>
  </si>
  <si>
    <t>OBS: AJUSTE: 17 VARA: HOUVE ATUALIZAÇÃO NO SARH LOTANDO A SERVIDORA  ALINE ALVES NA 17 VARA, TENDO EM VISTA FIM DE SUA LICENÇA GESTANTE EM 23/10/2020. ATUALIZAÇÃO NO SARH FEITA EM FEVEREIRO DE 2021.</t>
  </si>
  <si>
    <t>17 Vara :ADRIANA MACHADO BESERRA: a servidora entrou em licença gestante exerc. função  em 01/03/2021.</t>
  </si>
  <si>
    <t>APOIO ADM: saiu Esau Nobre Bezerra dt fim: 10/03/2021; para a 16 Vara dt inicio:11/3/2021</t>
  </si>
  <si>
    <t>17 Vara : entrou FRANCISCO JARDEL DE SOUSA SANTOS TJAA- nomeação dt inicio: 23/03/2021</t>
  </si>
  <si>
    <t>17 Vara: saiu TACIANA FURTADO DE CARVALHO SOUSA dt fim: 02/03/2021; para a Seção de Apoio Administrativo de JUA dt inicio: 03/03/2021.</t>
  </si>
  <si>
    <t>OBS:Este mês, apartir de 11/03/2021,  VINICIUS NASCIMENTO SILVA foi relotado na CENTRAL DE AGENTES DE SEGURANÇA-JUAZEIRO DO
NORTE/CASEG/GAB/SUB-JUA-CE. Está contabilizado na vara, para o mapa da corregedoria.</t>
  </si>
  <si>
    <t>16 Vara: CYNTHIA LIMEIRA TAVARES: saiu desligada dt fim 08/04/2021 era requisitada</t>
  </si>
  <si>
    <t>17 Vara: GEOVANI COSTA BEZERRA TJAA: saiu da 17 vara dt fim:11/04/2021 para a 15 vara dt inicio: 12/04/2021</t>
  </si>
  <si>
    <t>16 vara: CLAUDIA PORTELA RIBEIRO GONÇALVES: saiu dt fim 15/08/2021 para a Seção de apoio Adm de Juazeiro dt inicio: 16/08/2021</t>
  </si>
  <si>
    <t>SEÇÃO DE APOIO ADM JUA:   CLAUDIA PORTELA RIBEIRO GONÇALVES : entrou  no apoio em 16/08/2021; veio da 16 Vara Juazeiro dt fim 15/08/2021</t>
  </si>
  <si>
    <t>30 Vara:  entrou DANIELLE VANESSA ALVES ANDRADE: serv outros orgao AT REM SINAR dt inicio:19/08/2021</t>
  </si>
  <si>
    <t>Apoio Administrativo JUA: falecimento de JOÃO EUDES MACHADO CAVALCANTE mat 941 (TST): dt fim: 19/08/2021</t>
  </si>
  <si>
    <t>16 VARA: LORENA CORREIA PINHEIRO: entrou nomeação dt inicio:13/08/2021</t>
  </si>
  <si>
    <t>16 Vara: saiu CLAUDIA PORTELA RIBEIRO GONÇALVES  dt fim: 15/08/2021 ;para a Seção de apoio adm de JUA dt inicio: 16/08/2021</t>
  </si>
  <si>
    <t>Apoio Adm JUA: entrou CLAUDIA PORTELA RIBEIRO GONÇALVES dt inicio: 16/08/2021 ; veio da 16 vara</t>
  </si>
  <si>
    <t>16 Vara: AMANDA CARVALHO DIOGENES QUEIROZ:a servidora entrou em licença gestante exerc. função  em  22/10/2021</t>
  </si>
  <si>
    <t>Apoio Judiciário JN: saiu  FRANCISCO ANTONIO MENDONÇA FEITOSA FILHO dt fim:</t>
  </si>
  <si>
    <t>16 Vara:   entrou FRANCISCO ANTONIO MENDONÇA FEITOSA FILHO dt inicio:</t>
  </si>
  <si>
    <t xml:space="preserve">16 Vara: entrouROSA GALDINA DA SILVA SOARES: requisitada dt inicio: 22/10/2021 </t>
  </si>
  <si>
    <r>
      <rPr>
        <sz val="11"/>
        <color rgb="FF000000"/>
        <rFont val="Calibri"/>
        <family val="2"/>
        <charset val="1"/>
      </rPr>
      <t xml:space="preserve">Apoio Judiciário JN: entrou "relotada/retificada a lotação" ROSA GALDINA DA SILVA SOARE: requisitada dt inicio: 22/10/2021; </t>
    </r>
    <r>
      <rPr>
        <b/>
        <sz val="11"/>
        <color rgb="FF000000"/>
        <rFont val="Calibri"/>
        <family val="2"/>
        <charset val="1"/>
      </rPr>
      <t>saindo da 16 Vara ;</t>
    </r>
  </si>
  <si>
    <t>Apoio Judiciário JN: saiu ELIANE PEREIRA DOS SANTOS(req), desligada dt fim:17/11/2021</t>
  </si>
  <si>
    <t>16 Vara: saiu ESAU NOBRE BEZERRA AJAJ dt fim:23/11/2021; foi para Apoio Jud JN.</t>
  </si>
  <si>
    <t>Apoio Judiciário JN: entrou ESAU NOBRE BEZERRA AJAJ dt inicio: 24/11/2021; veio da 16 vara.</t>
  </si>
  <si>
    <t>DEZEMBRO 2021:</t>
  </si>
  <si>
    <t>16 Vara: entrou ESAU NOBRE BEZERRA AJAJ dt inicio:14/12/2021 ; veio do Apoio Jud de JN.</t>
  </si>
  <si>
    <t>Apoio Judiciário JN: saiu ESAU NOBRE BEZERRA AJAJ dt fim:13/12/2021 ; foi para a da 16 vara.</t>
  </si>
  <si>
    <t>16 Vara: saiu FRANCISCO ANTONIO MENDONÇA FEITOSA FILHO dt fim:12/12/2021; foi para Apoio Jud JN.</t>
  </si>
  <si>
    <t>Apoio Judiciário JN: entrou FRANCISCO ANTONIO MENDONÇA FEITOSA FILHO  dt inicio:14/12/2021; veio da 16 vara.</t>
  </si>
  <si>
    <t>CLAUDIA PORTELA RIBEIRO GONÇALVES: saiu da Seçãõ de Apoio Adm para o Setor de Apoio Adm dt inicio: 03/01/2022</t>
  </si>
  <si>
    <t>ROSA GALDINA DA SILVA SOARES: saiu da Seçãõ de Apoio Jud para o Setor de Apoio Jud dt inicio: 03/01/2022</t>
  </si>
  <si>
    <t>TACIANA FURTADO DE CARVALHO SOUSA: saiu da Seçãõ de Apoio Adm para Seçãõ de Apoio Adm e Jud  dt inicio: 03/01/2022</t>
  </si>
  <si>
    <t>Apoio Judiciário JN: saiu FRANCISCO ANTONIO MENDONÇA FEITOSA FILHO  dt fim:16/02/2022</t>
  </si>
  <si>
    <t>16 vara: entrou FRANCISCO ANTONIO MENDONÇA FEITOSA FILHO dt inicio: 17/02/2022</t>
  </si>
  <si>
    <t>ANGELA CARLOS ABRANTES DA SILVA saiu 13/02/2023</t>
  </si>
  <si>
    <t xml:space="preserve">SABINO GOMES APOLONIO FILHO: AJAJ OJ- saiu da 17a vara dt fim:23/06/2022 para Ceman Fortaleza </t>
  </si>
  <si>
    <t>30a vara: DEBORA NISHI MACHADO:AJAJ nomeação dt inicio:29/07/2022</t>
  </si>
  <si>
    <t>17a Vara:THICIANE ANDRADE DE ALMEIDA ARRAIS entrou em lic gestante julho/2022</t>
  </si>
  <si>
    <t>30a vara: AMANDA LUISA PASSOS DE SOUSA: AJAA: remoção da 30a vara dt fim 15/08/2022 para a 27a vara</t>
  </si>
  <si>
    <t>17a vara: GLAUCIO FERREIRA PAZ: TJAA desligado dt fim: 16/08/2022</t>
  </si>
  <si>
    <t>17a vara:GUSTAVO SOUSA COSTA AJAJ entrou dt inicio:22/09/2022- remoçãõ SINAR</t>
  </si>
  <si>
    <t>30a vara: JOSE BATISTA DE ALMEIDA JUNIOR: desligado como requisitado dt fim:01/09/2022; passou a ser efetivo AJAJ- registro jáconstava no relatório de Agosto, que foi elaborado no início de Setembro. REDISTRIBUIÇÃO</t>
  </si>
  <si>
    <t>17a vara: RAIANNA SILVEIRA GOMES-AJAJ foi removida SINAR dt fim: 01/09/2022- foi para lotação SERVIDORES CEDIDOS/EXERCICIO PROVISÓRIO/REMOVIDO/LOTORG/CE</t>
  </si>
  <si>
    <t>DIANA MARIA SOARES MACHADO saiu em 23 de fevereiro de 2023</t>
  </si>
  <si>
    <t>ALIANY ADRINA AVELINO CORTEZ MOURA entrou em 04/05/2023</t>
  </si>
  <si>
    <t>MARIA ADRIANA entrou em 19/06/2023</t>
  </si>
  <si>
    <t>ITALO WEYNE saiu em 22/06/2023</t>
  </si>
  <si>
    <t>ESAU NOBRE BEZERRA saiu em 12/07/2023</t>
  </si>
  <si>
    <t>IARA FREIRES DE OLIVEIRA entrou em 07/07/2023</t>
  </si>
  <si>
    <t>GILMA GOMES entrou em 06/07/2023</t>
  </si>
  <si>
    <t>CARLOS RICARDO saiu em 11/07/2023</t>
  </si>
  <si>
    <t>ALIANY ADRINA AVELINO CORTEZ MOURA saiu em 14/07/2023</t>
  </si>
  <si>
    <t>VINICIUS DE BRITO MARINHO entrou em 04/09/2023</t>
  </si>
  <si>
    <t>DANTE RIBEIRO saiu em 07/09/2023</t>
  </si>
  <si>
    <t>Milena Mesquita de Almeida saiu em 07/12/2023</t>
  </si>
  <si>
    <t>CE1872</t>
  </si>
  <si>
    <t>REDISTRIBUIDO DA 17[ Vara  PARA O STJ</t>
  </si>
  <si>
    <t>REDISTRIBUIDO do STJ para 17ª Vara</t>
  </si>
  <si>
    <t>CE727</t>
  </si>
  <si>
    <t>JOSE ALMEIDA DE ARAUJO</t>
  </si>
  <si>
    <t>CE688</t>
  </si>
  <si>
    <t>ALESSANDRA MELO DE SABOYA RANGEL</t>
  </si>
  <si>
    <t>CE603</t>
  </si>
  <si>
    <t>FABIO ALESSANDRO LIMA</t>
  </si>
  <si>
    <t>CE1101</t>
  </si>
  <si>
    <t>MANUELA EDSON CHAVES REGADAS</t>
  </si>
  <si>
    <t>CE1014</t>
  </si>
  <si>
    <t>FRANCISCO RICARDO FERREIRA DA CUNHA</t>
  </si>
  <si>
    <t>CE1146</t>
  </si>
  <si>
    <t>MARIA RAQUEL CARVALHO DE MATTOS DOURADO</t>
  </si>
  <si>
    <t>CE1098</t>
  </si>
  <si>
    <t>RENATA WERTON VERAS CHAVES</t>
  </si>
  <si>
    <t>CE1064</t>
  </si>
  <si>
    <t>MARIA BERNADETE GUEDES LIMA MOREL LOPES</t>
  </si>
  <si>
    <t>CE359</t>
  </si>
  <si>
    <t>SILVIA FERNANDA HOLANDA DE CASTRO</t>
  </si>
  <si>
    <t>CE1167</t>
  </si>
  <si>
    <t>CARLOS ROGERIO OLIVEIRA FREIRE</t>
  </si>
  <si>
    <t>CE911</t>
  </si>
  <si>
    <t>DENISE FEITOZA NUNES</t>
  </si>
  <si>
    <t>CE527</t>
  </si>
  <si>
    <t>JOSE ALBERTO LIMA TORRES</t>
  </si>
  <si>
    <t>CE855</t>
  </si>
  <si>
    <t>SAMIA PONTES GONDIM</t>
  </si>
  <si>
    <t>CE518</t>
  </si>
  <si>
    <t>JORGE ROBERTO DE GOIS RODRIGUES</t>
  </si>
  <si>
    <t>CE1477</t>
  </si>
  <si>
    <t>FRANCISCA FRANCELY CORDEIRO DE BRITO</t>
  </si>
  <si>
    <t>CE933</t>
  </si>
  <si>
    <t>ALLEX MORORO XEREZ SILVA</t>
  </si>
  <si>
    <t>MARÇO:</t>
  </si>
  <si>
    <t>SILVANA FONTENELE BARBOSA BENSON: Saiu aposentadoria dt fim: 03/03/2020</t>
  </si>
  <si>
    <t>ANTONIO CARLOS ALVES LOBO: remanejamento, entrou em 25/05/2020, veio do Setor Técnico de Malotes</t>
  </si>
  <si>
    <t>DENISE BEZERRA NOGUEIRA: remanejamento, entrou em 25/05/2020, veio do Setor Técnico de Malotes</t>
  </si>
  <si>
    <t>JOAQUIM PAULO NETO: entrou em 25/05/2020, remanejamento, veio da SEÇAO DE ARQUIVO E DEPOSITO JUDICIAL/NJ</t>
  </si>
  <si>
    <t>JOSE LUCIOMAR FORTE DE OLIVEIRA: entrou em 25/05/2020, veio do  SETOR TECNICO DE ADMINISTRAÇAO PREDIAL/NA</t>
  </si>
  <si>
    <t>MARIA REJANE ROCHA: remanejamento: entrou em 25/05/2020, veio da Seção de Distribuição</t>
  </si>
  <si>
    <t>JOAQUIM PAULO NETO: saiu em 23/06/2020, retornou para SEÇAO DE ARQUIVO E DEPOSITO JUDICIAL/NJ</t>
  </si>
  <si>
    <t>MARIA REJANE ROCHA: saiu em 23/06/2020, retornou para SEÇAO DE DISTRIBUIÇÃO/NJ</t>
  </si>
  <si>
    <t>DENISE BEZERRA NOGUEIRA: saiu em 23/06/2020, retornou para o NUAD</t>
  </si>
  <si>
    <t>JOSE LUCIOMAR FORTE DE OLIVEIRA: saiu em 23/06/2020, retornou para o NUAD</t>
  </si>
  <si>
    <t>SETEMBRO:</t>
  </si>
  <si>
    <t>ISABEL MARTINS ARAUJO: Ajuste correspondente à Agosto: EX. Prov- desligamento da 20 Vara dt fim: 13/08/2020</t>
  </si>
  <si>
    <t>DAMIANA MACEDO REGO: saiu dt fim 05/08/2021; foi para a 33 Vara dt inicio:06/08/2021.</t>
  </si>
  <si>
    <t>FRANCISCA FRANCELY CORDEIRO DE BRITO: (removida sinar): entrou dt início: 06/08/2021; veio da 33 VAra</t>
  </si>
  <si>
    <t>ANTONIO CARLOS ALVES LOBO TJAA: falecimento dt 23/04/2022</t>
  </si>
  <si>
    <t>ALLEX MORORO: AJAJ entrou dt inicio: 12/09/2022</t>
  </si>
  <si>
    <t>saiu da 20ª e foi para CEMAN</t>
  </si>
  <si>
    <t>CE1597</t>
  </si>
  <si>
    <t>CARLA SARAIVA ABREU</t>
  </si>
  <si>
    <t>CE390</t>
  </si>
  <si>
    <t>MARIA AILCAR DE LIMA CARTAXO ROLIM</t>
  </si>
  <si>
    <t>CE447</t>
  </si>
  <si>
    <t>MARIA EVANDA DE OLIVEIRA</t>
  </si>
  <si>
    <t>CE457</t>
  </si>
  <si>
    <t>NAEDIA ROSANNA ALENCAR JULIAO DE MENEZES</t>
  </si>
  <si>
    <t>CE503</t>
  </si>
  <si>
    <t>SILVANA ALVES GONCALVES RIOS</t>
  </si>
  <si>
    <t>CE1139</t>
  </si>
  <si>
    <t>FRANCISCA VERUSCHKA CARNEIRO CATONHO</t>
  </si>
  <si>
    <t>CE183</t>
  </si>
  <si>
    <t>GILBERTO LEAL DE ARAUJO</t>
  </si>
  <si>
    <t>CE1713</t>
  </si>
  <si>
    <t>SARAH FELIPE GOMES ANDRADE</t>
  </si>
  <si>
    <t>CE287</t>
  </si>
  <si>
    <t>FRANCISCO WERBSTER BRAGA FEITOSA</t>
  </si>
  <si>
    <t>CE975</t>
  </si>
  <si>
    <t>LUIZ LENINE MENDES QUARESMA</t>
  </si>
  <si>
    <t>CE443</t>
  </si>
  <si>
    <t>MARIA GORETTI CAVALCANTE BARROSO</t>
  </si>
  <si>
    <t>CE274</t>
  </si>
  <si>
    <t>RITA DE CASSIA MEMORIA BARROSO</t>
  </si>
  <si>
    <t>CE1065</t>
  </si>
  <si>
    <t>GUYLLEWMA DAMASCENO DE ARAÚJO</t>
  </si>
  <si>
    <t>CE1463</t>
  </si>
  <si>
    <t>LUISA DE MARILAC LIMA NASCIMENTO HERMSEN</t>
  </si>
  <si>
    <t>CE205</t>
  </si>
  <si>
    <t>SAMUEL LIMA DE QUEIROZ</t>
  </si>
  <si>
    <t>CE258</t>
  </si>
  <si>
    <t>SERGIO LUIS CIDRAO DUARTE</t>
  </si>
  <si>
    <t>CE1589</t>
  </si>
  <si>
    <t xml:space="preserve"> JULIANO MACHADO ARRUDA</t>
  </si>
  <si>
    <t>21 Vara: ROMILDO ROCHA PORFIRIO AJOJ: inativo dt fim: 06/04/2021</t>
  </si>
  <si>
    <t>21 Vara: JULIANO MACHADO ARRUDA: AJOJ entrou dt inicio: 31/05/2021; veio da CEMAN</t>
  </si>
  <si>
    <t>21 Vara: FRANCISCO NAZARENO BRASILEIRO DIAS TJAS desligado em 05/01/2022</t>
  </si>
  <si>
    <t>21 Vara: MARIA JOSE ALMEIDA FRANCA TJAS desligado em 17/04/2023</t>
  </si>
  <si>
    <t>aposentadoria Liliana Lucia Queiroz Gomes em 01/12/2023</t>
  </si>
  <si>
    <t>CE1760</t>
  </si>
  <si>
    <t>FRANCISCO DO NASCIMENTO SUDARIO</t>
  </si>
  <si>
    <t>22ªVARA</t>
  </si>
  <si>
    <t>CE1846</t>
  </si>
  <si>
    <t>JORGE EDUARDO DE FREITAS DIOGENES</t>
  </si>
  <si>
    <t>CE1853</t>
  </si>
  <si>
    <t>CE1369</t>
  </si>
  <si>
    <t>ADRIANO DE FREITAS CARVALHO</t>
  </si>
  <si>
    <t>CE1761</t>
  </si>
  <si>
    <t xml:space="preserve">TICIANA MEDEIROS PINHEIRO </t>
  </si>
  <si>
    <t>CE1681</t>
  </si>
  <si>
    <t>CARINE LIMA GUIMARAES</t>
  </si>
  <si>
    <t>CE1744</t>
  </si>
  <si>
    <t>GARCIAS ALENCAR FILHO</t>
  </si>
  <si>
    <t>CE1651</t>
  </si>
  <si>
    <t>ANA PAULA MOURA PESSOA RAMALHO- licença gestante inicio em dez/2021</t>
  </si>
  <si>
    <t>CE1765</t>
  </si>
  <si>
    <t>VICTOR GOMES DE OLIVEIRA</t>
  </si>
  <si>
    <t>CE1703</t>
  </si>
  <si>
    <t>CLARISSA DUMMAR PONTES</t>
  </si>
  <si>
    <t>CE1633</t>
  </si>
  <si>
    <t>JOSE WILTON EVANGELISTA FREIRES</t>
  </si>
  <si>
    <t>CE1776</t>
  </si>
  <si>
    <t>NADIR COSTA MAIA</t>
  </si>
  <si>
    <t>CE1646</t>
  </si>
  <si>
    <t>LORENA SILVA BARBOSA</t>
  </si>
  <si>
    <t>CE1635</t>
  </si>
  <si>
    <t>TANIA MARIA CHAGAS OLIVEIRA</t>
  </si>
  <si>
    <t>CE1751</t>
  </si>
  <si>
    <t>NATANE CRISTINA BRAINER AMORIM DA SILVA</t>
  </si>
  <si>
    <t>CE1769</t>
  </si>
  <si>
    <t>FLAVIA RABELLO DE MOURA</t>
  </si>
  <si>
    <t>CE1438</t>
  </si>
  <si>
    <t>LEANDRO SANTOS SOARES</t>
  </si>
  <si>
    <t>CE1404</t>
  </si>
  <si>
    <t>REGIS CLEITON ARAUJO LOIOLA</t>
  </si>
  <si>
    <t>CE1876</t>
  </si>
  <si>
    <t>MAISA NUNES REIS DE OLIVEIRA</t>
  </si>
  <si>
    <t>desligamento de JANEILINE DE SA CARNEIRO dt fim: 04/02/2020</t>
  </si>
  <si>
    <t>ABRIL 2020 (AJUSTE):</t>
  </si>
  <si>
    <t>Inclusão de  NATANE CRISTINA BRAINER AMORIM DA SILVA (que estava de licença maternidade e retornou dt início:16/04/2020). Porém, era para estar contabilizada na planilha anteriormente.</t>
  </si>
  <si>
    <t>MAISA NUNES REIS DE OLIVEIRA: entrou nomeação. dt início: 16/12/2020</t>
  </si>
  <si>
    <t>22 Vara :TICIANA MEDEIROS PINHEIRO AJAJ: a servidora entrou em licença gestante exerc. função  em 21/05/2021.</t>
  </si>
  <si>
    <t>22 Vara :TICIANA MEDEIROS PINHEIRO AJAJ: fim da licença gestante exerc. função  em 04/11/2021</t>
  </si>
  <si>
    <t>FLAVIA RABELLO DE MOURA: Saiu da Seção de APoio Adm para A Seção de APoio Adm e Jud dt inicio: 03/01/2022</t>
  </si>
  <si>
    <t>GARCIAS ALENCAR FILHO: saiu da 22a Vara para o Setor Tecnico de Apoio Jud dt inicio:03/01/2022</t>
  </si>
  <si>
    <t>JOSE WILTON EVANGELISTA FREIRES: saiu da 22a Vara para o Setor Tecnico de Apoio Adm dt inicio:03/01/2022</t>
  </si>
  <si>
    <t>LEANDRO SANTOS SOARES: saiu da Seção de Apoio Adm para a 22 Vara dt inicio: 03/01/2022</t>
  </si>
  <si>
    <t>REGIS CLEITON ARAUJO LOIOLA: saiu da Seçãõ de APoio Jud para a 22a Vara dt inicio: 03/01/2022</t>
  </si>
  <si>
    <t>ANA PAULA MOURA PESSOA RAMALHO : entrou em lic gestante exerc função - inicio: dezembro/2021</t>
  </si>
  <si>
    <t>22 Vara :ANA PAULA MOURA PESSOA RAMALHO AJAJ: fim da licença gestante exerc. função retorno àlotação25/07/2022</t>
  </si>
  <si>
    <t>CE1672</t>
  </si>
  <si>
    <t>ANDREA DORIA DE VASCONCELOS SALES</t>
  </si>
  <si>
    <t>23ªVARA</t>
  </si>
  <si>
    <t>CE1667</t>
  </si>
  <si>
    <t>CARLOS RICARDO DE SOUSA NASCIMENTO</t>
  </si>
  <si>
    <t>CE1850</t>
  </si>
  <si>
    <t>CE1732</t>
  </si>
  <si>
    <t>RENATA BARROCAS FACO LIMA</t>
  </si>
  <si>
    <t>24ªVARA</t>
  </si>
  <si>
    <t>CE1716</t>
  </si>
  <si>
    <t>RHIANA MARA BESSA GOMES</t>
  </si>
  <si>
    <t>CE1496</t>
  </si>
  <si>
    <t>IANDRA RAQUELLY BRITO DE OLIVEIRA</t>
  </si>
  <si>
    <t>CE1758</t>
  </si>
  <si>
    <t>ESAU NOBRE BEZERRA</t>
  </si>
  <si>
    <t>CE1567</t>
  </si>
  <si>
    <t>CARLOS EDUARDO VASCONCELOS NOGUEIRA</t>
  </si>
  <si>
    <t>CE1545</t>
  </si>
  <si>
    <t>IZABEL PIMENTEL OLIVEIRA LIMA</t>
  </si>
  <si>
    <t>CE1717</t>
  </si>
  <si>
    <t>CINTHIA MARIA NASCIMENTO RODRIGUES</t>
  </si>
  <si>
    <t>CE1254</t>
  </si>
  <si>
    <t>LIEBERT JACKSON FREIRE LIMA</t>
  </si>
  <si>
    <t>CE1678</t>
  </si>
  <si>
    <t>LUCIANO ALBUQUERQUE BENEVIDES</t>
  </si>
  <si>
    <t>CE1411</t>
  </si>
  <si>
    <t>JOEL PONTE TABOSA</t>
  </si>
  <si>
    <t>CE1856</t>
  </si>
  <si>
    <t>TIAGO DUARTE DE OLIVEIRA</t>
  </si>
  <si>
    <t>CE1897</t>
  </si>
  <si>
    <t>RAFAEL MARCOS LOIOLA DE CARVALHO</t>
  </si>
  <si>
    <t>CE1924</t>
  </si>
  <si>
    <t>RAFAEL MAGALHÃES MACIEL</t>
  </si>
  <si>
    <t>CE1652</t>
  </si>
  <si>
    <t>CE1772</t>
  </si>
  <si>
    <t>DEIVIS CAVALCANTE AUR</t>
  </si>
  <si>
    <t>23 Vara :TATIANA MAGALHAES CAVALCANTE AJAJ: a servidora entrou em licença gestante exerc. função  em 18/05/2021.</t>
  </si>
  <si>
    <t>ALINE DE MOURA TELES: TJAA- saiu dt fim: 30/01/2022; foi para Secad-Fortaleza</t>
  </si>
  <si>
    <t>LIEBERT JACKSON FREIRE LIMA: saiu da Seção de Apoio Adm para a Seção de Apoio Adm e Jud dt inicio: 03/01/2022</t>
  </si>
  <si>
    <t>LUCIANO ALBUQUERQUE BENEVIDES: saiu do apoio adm para a 23 Vara dt inicio: 03/01/2022</t>
  </si>
  <si>
    <t>PRISCILA WELLAUSEN DE ALENCAR ARARIPE: saiu da 23 Vara para o Setor Técnico de Apoio Adm dt inicio: 03/01/2022</t>
  </si>
  <si>
    <t>TIAGO DUARTE DE OLIVEIRA: TJAA entrou na 23a Vara dt inicio: 24/01/2022; removido; veio da 25a Vara.</t>
  </si>
  <si>
    <t>EVANILDO DA PAZ GUIMARAES: TJAA saiu da 23a Varadt fim: 23/05/2022- estava como diretor, retornou para Sede após remoção de dr Ricardo para Sede.</t>
  </si>
  <si>
    <t>RAFAEL MARCOS LOIOLA DE CARVALHO: sem vínculo dt inicio: 24/05/2022 Diretor de Secretaria</t>
  </si>
  <si>
    <t>AJUSTE: PRISCILA WELLAUSEN DE ALENCAR ARARIPE saiu do Setor Apoio Adm dt fim 01/05/2022; para a 23a vara dt inicio: 02/05/2022</t>
  </si>
  <si>
    <t>RAFAEL MAGALHÃES MACIEL exercicio em 16/06/2023</t>
  </si>
  <si>
    <t>CLAUDIO FRANCO MANESCHY saiu em 21/06/2023</t>
  </si>
  <si>
    <t>LUCIANA DO NASCIMENTO NOGUEIRA entrou em 20/07/2023</t>
  </si>
  <si>
    <t>ESAU NOBRE BEZERRA entrou em 24/07/2023</t>
  </si>
  <si>
    <t>CARLOS RICARDO entrou em 21/07/2023</t>
  </si>
  <si>
    <t>CINTHIA MARIA entrou em 24/07/2023</t>
  </si>
  <si>
    <t>ALANA SILVA LOBO saiu em 25/07/2023</t>
  </si>
  <si>
    <t>TATIANA MAGALHAES saiu em 07/08/2023</t>
  </si>
  <si>
    <t>IESKA AMORIM saiu em 07/08/2023</t>
  </si>
  <si>
    <t>IGOR CAVALCANTE saiu em 10/08/2023 no NIST</t>
  </si>
  <si>
    <t>LUANA ACOSTA MOTA saiu em 23/08/2023</t>
  </si>
  <si>
    <t>CE1729</t>
  </si>
  <si>
    <t>FELIPE ALBUQUERQUE PENAFORTE</t>
  </si>
  <si>
    <t>CE1514</t>
  </si>
  <si>
    <t>HALLEY MAIA SAMPAIO</t>
  </si>
  <si>
    <t>CE1211</t>
  </si>
  <si>
    <t>CAIO VIEIRA DE BRITO</t>
  </si>
  <si>
    <t>Setor técnico de Apoio Adm</t>
  </si>
  <si>
    <t>CE1258</t>
  </si>
  <si>
    <t>MARCONE PEREIRA DA SILVA FILHO</t>
  </si>
  <si>
    <t>ERLANE AMADEU LIMA DE CASTRO</t>
  </si>
  <si>
    <t>CE1565</t>
  </si>
  <si>
    <t>FRANCISCO FELIPE ANDRIOLA NETO</t>
  </si>
  <si>
    <t>CE1644</t>
  </si>
  <si>
    <t>IARA NASCIMENTO DA SILVA</t>
  </si>
  <si>
    <t>CE1721</t>
  </si>
  <si>
    <t>JOSE LOURENCO COLARES NETO</t>
  </si>
  <si>
    <t>CE1568</t>
  </si>
  <si>
    <t>ITALO WEYNE BARROS CHAGAS</t>
  </si>
  <si>
    <t>CE1530</t>
  </si>
  <si>
    <t>ROMULO MOURAO CAVALCANTE</t>
  </si>
  <si>
    <t>CE1725</t>
  </si>
  <si>
    <t>ALBERTO CESAR GOMES JUNIOR</t>
  </si>
  <si>
    <t>CE1922</t>
  </si>
  <si>
    <t>RACHEL MESQUITA DE FIGUEIREDO CARVALHO</t>
  </si>
  <si>
    <t>CE1928</t>
  </si>
  <si>
    <t>PRISCILLA ISABELLE SILVA DE MELO</t>
  </si>
  <si>
    <t>CE1931</t>
  </si>
  <si>
    <t>CLÁUDIO FERREIRA DOS SANTOS FILHO</t>
  </si>
  <si>
    <t>CE1926</t>
  </si>
  <si>
    <t>ALEXANDRE DE OLIVEIRA E CONCEIÇÃO</t>
  </si>
  <si>
    <t>CE1927</t>
  </si>
  <si>
    <t>CE1944</t>
  </si>
  <si>
    <t>CE1866</t>
  </si>
  <si>
    <t>Setor técnico de Apoio Jud</t>
  </si>
  <si>
    <t>DEZEMBRO 2020 (AJUSTE):</t>
  </si>
  <si>
    <r>
      <rPr>
        <b/>
        <sz val="11"/>
        <color rgb="FF000000"/>
        <rFont val="Calibri"/>
        <family val="2"/>
        <charset val="1"/>
      </rPr>
      <t xml:space="preserve">AJUSTE: MATEUS GOMES VIANA </t>
    </r>
    <r>
      <rPr>
        <sz val="11"/>
        <color rgb="FF000000"/>
        <rFont val="Calibri"/>
        <family val="2"/>
        <charset val="1"/>
      </rPr>
      <t>- AJAA: nomeação dt inicio:15/10/2020. Saiu ato lotando-o na 24 Vara. Estava na Secad inicialmente.</t>
    </r>
  </si>
  <si>
    <t>CAIO VIEIRA DE BRITO: saiu da 24a Vara para Setor Técnico de Apoio Adm 24a Vara dt inicio:03/01/2022</t>
  </si>
  <si>
    <t>CINTHIA MARIA NASCIMENTO RODRIGUES: saiu da Seção de Apoio Adm para a 24a Vara, dt inicio:03/01/2022</t>
  </si>
  <si>
    <t>ERLANE AMADEU LIMA DE CASTRO: saiu da 24 vara pra Setor tecnico de Apoio Jud dt inicio: 03/01/2022</t>
  </si>
  <si>
    <t>GILMAR GOMES LIMA: saiu da seçãõ de apoio adm para  a Seçãõ de Apoio Adm e Jud dt inicio:03/01/2022</t>
  </si>
  <si>
    <t>ROMULO MOURAO CAVALCANTE: saiu do Apoio Jud para  a 24a Vara dt inicio: 03/01/2022</t>
  </si>
  <si>
    <t>ERLANE AMADEU LIMA DE CASTRO: TJAA saiu do Setor tec de Apoio Jud TAU para 24a Vara dt inicio: 02/05/2022</t>
  </si>
  <si>
    <t>AJUSTE: MATEUS GOMES VIANA: SAIU DA 24A VARA PARA Setor de Apoio Judiciário TAUÁ</t>
  </si>
  <si>
    <t>WALDIR BARRETO saiu em 13/02/2023</t>
  </si>
  <si>
    <t>RACHEL MESQUITA DE FIGUEIREDO CARVALHO exercicio em 15/06/2023</t>
  </si>
  <si>
    <t>LUCAS LEOPOLDINO MOTA saiu em 18/06/2023</t>
  </si>
  <si>
    <t>ALEXANDRE DE OLIVEIRA E CONCEIÇÃO ENTROU EM 23/06/2023</t>
  </si>
  <si>
    <t>RENATO GONDIM entrou em 23/06/2023</t>
  </si>
  <si>
    <t>HELAINE RIBEIRO BAIAO saiu em 10/07/2023</t>
  </si>
  <si>
    <t>VICTOR BRENO DE FREITAS COELHO saiu em 10/07/2023</t>
  </si>
  <si>
    <t>LUCIANA DO NASCIMENTO NOGUEIRA saiu em 10/07/2023</t>
  </si>
  <si>
    <t>PRISCILLA ISABELLE SILVA DE MELO entrou em 05/07/2023</t>
  </si>
  <si>
    <t>ITALO WEYNE entrou em 03/07/2023</t>
  </si>
  <si>
    <t>GILMAR GOMES saiu em 06/07/2023</t>
  </si>
  <si>
    <t>CINTHIA MARIA saiu em 24/07/2023</t>
  </si>
  <si>
    <t>MARIANA PEDREIRA FERNANDES entrou em 07/07/2023</t>
  </si>
  <si>
    <t>CLÁUDIO FERREIRA DOS SANTOS FILHO entrou em 07/08/2023</t>
  </si>
  <si>
    <t>CAIO VIEIRA DE BRITO saiu em 21/08/2023</t>
  </si>
  <si>
    <t>MILENA MESQUITA DE ALMEIDA entrou em 07/12/2023</t>
  </si>
  <si>
    <t>LEANDRO RAVYELLE DA SILVA SALES entrou em 14\12\2023</t>
  </si>
  <si>
    <t>CE1930</t>
  </si>
  <si>
    <t>aprovação em outro cargo publico.</t>
  </si>
  <si>
    <t>CE1849</t>
  </si>
  <si>
    <t>25ªVARA</t>
  </si>
  <si>
    <t>CE1750</t>
  </si>
  <si>
    <t>MAISA SANTOS ALVES</t>
  </si>
  <si>
    <t>CE1814</t>
  </si>
  <si>
    <t>ALLAN MENDES MARQUES</t>
  </si>
  <si>
    <t>CE1621</t>
  </si>
  <si>
    <t>GERSON FERNANDES BARRONCAS JUNIOR</t>
  </si>
  <si>
    <t>CE1624</t>
  </si>
  <si>
    <t>MIKE LIVIO COELHO BATISTA CAVALCANTE NOGUEIRA</t>
  </si>
  <si>
    <t>CE1548</t>
  </si>
  <si>
    <t>LAURO DOUZINHO DOS SANTOS JUNIOR</t>
  </si>
  <si>
    <t>CE1604</t>
  </si>
  <si>
    <t>ARNALDO CESAR PINHEIRO</t>
  </si>
  <si>
    <t>RUBIA ALVES DE ARAUJO</t>
  </si>
  <si>
    <t>CE1782</t>
  </si>
  <si>
    <t>KENNEDY SANTOS BRAGA</t>
  </si>
  <si>
    <t>CE1797</t>
  </si>
  <si>
    <t>THIAGO GOMES ALVES</t>
  </si>
  <si>
    <t>CE1406</t>
  </si>
  <si>
    <t>GABRIEL VIANA RODRIGUES</t>
  </si>
  <si>
    <t>CE1880</t>
  </si>
  <si>
    <t>CE1826</t>
  </si>
  <si>
    <t>ANGELO REGADAS DE BARROS</t>
  </si>
  <si>
    <t>CE1892</t>
  </si>
  <si>
    <t>IRLENE DOS SANTOS RABELO</t>
  </si>
  <si>
    <t>CE822</t>
  </si>
  <si>
    <t>EVANILDO DA PAZ GUIMARAES</t>
  </si>
  <si>
    <t>CE1890</t>
  </si>
  <si>
    <t>CE1977</t>
  </si>
  <si>
    <t>MARCOS ANTONIO SORARES SILVA</t>
  </si>
  <si>
    <t xml:space="preserve">CRISTIANE LAMOUNIER BAPTISTA CHAGAS: saiu da 25ª vara (dt fim: 05/04/2020) para a 18ª vara (dt início:06/04/2020)  </t>
  </si>
  <si>
    <t xml:space="preserve">OUTUBRO 2020: </t>
  </si>
  <si>
    <t>CLAUDIA MIRANDA GONÇALVES: nomeação dt inicio:13/10/2020.</t>
  </si>
  <si>
    <t>RIVERCLEITON DE CARVALHO MOREIRA: TJAA desligamento dt fim: 11/01/2021</t>
  </si>
  <si>
    <t>SALOMAO SA MENEZES MORAES: AJAJ desligamento dt fim: 13/01/2021</t>
  </si>
  <si>
    <t>IVO MASSUETE OLIVEIRA TEIXEIRA- AJAJ- entrou -nomeação dt inicio:26/03/2021</t>
  </si>
  <si>
    <t>MARIA ANTONIZETE DE OLIVEIRA SILVA-TJAA-entrou-nomeação dt inicio: 12/03/2021</t>
  </si>
  <si>
    <t>MARIA ANTONIZETE DE OLIVEIRA SILVA (TJAA): desligamento dt fim 16/08/2021</t>
  </si>
  <si>
    <t>TIAGO DUARTE DE OLIVEIRA: TJAA: entrou dt inicio: 27/09/2021 ; veio removido da 7 vara.</t>
  </si>
  <si>
    <t>CLAUDIA MIRANDA GONÇALVES: TJAA: desligamento dt fim:01/12/2021</t>
  </si>
  <si>
    <t>IRLENE DOS SANTOS RABELO: TJAA dt inicio: 16/12/2021 nomeação</t>
  </si>
  <si>
    <t>ALLAN MENDES MARQUES: saiu da 25 vara dt fim: 02/01/2022; para  SETOR TECNICO DE APOIO JUDICIARIO de IGUATU dt inicio: 03/01/2022</t>
  </si>
  <si>
    <t>ESPEDITO ANDRADE RIBEIRO: saiu da 25a Vara para o Setor tecnico de Apoio Adm dt inicio:03/01/2022</t>
  </si>
  <si>
    <t>GABRIEL VIANA RODRIGUES: saiu do Apoio Jud para a 25a Vara dt inicio:03/01/2022</t>
  </si>
  <si>
    <t>KENNEDY SANTOS BRAGA: saiu da Seção de Apoio Adm para a Seção de Apoio Adm e Jud dt inicio: 03/01/2022</t>
  </si>
  <si>
    <t>THIAGO GOMES ALVES: saiu da Seçãõ de Apoio Adm para a 25a vara dt inicio: 03/01/2022</t>
  </si>
  <si>
    <t>TIAGO DUARTE DE OLIVEIRA: TJAA saiu da 25a vara dt fim: 23/01/2022; removido para a 23a VAra</t>
  </si>
  <si>
    <t>MARIA RACHEL SOUSA DO NASCIMENTO: entrou nomeação dt inicio: 31/03/2022</t>
  </si>
  <si>
    <t>ALLAN MENDES MARQUES: AJAJ saiu do Setor tecnico Ap Jud para 25 Vara dt inicio:05/05/2022</t>
  </si>
  <si>
    <t>IVO MASSUETE OLIVEIRA TEIXEIRA: AJAJ saiu da 25a vara dt fim:26/6/22; foi para o setor téc de Apoio Jud Iguatu dt inicio:27/06/2022</t>
  </si>
  <si>
    <t>EDUARDO WOLFF: pediu Vacancia do cargo em 28/10/2022</t>
  </si>
  <si>
    <t>FEVEREIRO 2023:</t>
  </si>
  <si>
    <t>SAMUEL OLIVEIRA: exonerado da função de Diretor da 25ª e foi para 35ª.</t>
  </si>
  <si>
    <t>ESPEDITO ANDRADE saiu em 23/02/2023</t>
  </si>
  <si>
    <t>CAIO VIEIRA DE BRITO entrou em 21/08/2023</t>
  </si>
  <si>
    <t>MARIA RACHEL SOUSA DO NASCIMENTO saiu em 11/11/2023</t>
  </si>
  <si>
    <t>PABLO GONÇALVES FERREIRA SAIU EM 24/11/2023</t>
  </si>
  <si>
    <t>INGRESSO EM 02/09/2024</t>
  </si>
  <si>
    <t>CE1620</t>
  </si>
  <si>
    <t xml:space="preserve">		</t>
  </si>
  <si>
    <t>nomeação</t>
  </si>
  <si>
    <t>CE1726</t>
  </si>
  <si>
    <t>ANDRE PENNELLA PEREIRA</t>
  </si>
  <si>
    <t>18ªVARA</t>
  </si>
  <si>
    <t>CE1655</t>
  </si>
  <si>
    <t>CONNIE FRANCIS ANDRADE CASTELO BRANCO</t>
  </si>
  <si>
    <t>CE1789</t>
  </si>
  <si>
    <t>CRISTIANE LAMOUNIER BAPTISTA CHAGAS</t>
  </si>
  <si>
    <t>CE1784</t>
  </si>
  <si>
    <t>EDINALDO GONCALVES NUNES JUNIOR</t>
  </si>
  <si>
    <t>JOSE PEREIRA FILHO</t>
  </si>
  <si>
    <t>CE1720</t>
  </si>
  <si>
    <t>MARLON MAX PAZETA MEDERO</t>
  </si>
  <si>
    <t>CE1783</t>
  </si>
  <si>
    <t>TALITA LIMA DA CRUZ</t>
  </si>
  <si>
    <t>THALITA MARIA TOMAZ DE SOUSA</t>
  </si>
  <si>
    <t>CE1618</t>
  </si>
  <si>
    <t>WAGNER SOUSA CAVALCANTE</t>
  </si>
  <si>
    <t>ce1511</t>
  </si>
  <si>
    <t>JANIO PONTES LOIOLA</t>
  </si>
  <si>
    <t>CE1643</t>
  </si>
  <si>
    <t>LEANDRO PIRES LOBO</t>
  </si>
  <si>
    <t>CE1619</t>
  </si>
  <si>
    <t>ANA VALESKA TEIXEIRA MEDEIROS CAPOTE</t>
  </si>
  <si>
    <t>CE1584</t>
  </si>
  <si>
    <t>CAYO PEREIRA SABINO</t>
  </si>
  <si>
    <t>CE1393</t>
  </si>
  <si>
    <t>ABRAAO FRANKLIN RODRIGUES RIBEIRO MACEDO</t>
  </si>
  <si>
    <t>CE995</t>
  </si>
  <si>
    <t>MARCELO SILVA DAMASCENO</t>
  </si>
  <si>
    <t>CE1094</t>
  </si>
  <si>
    <t>LILIAN CRISTINA MENDES DA COSTA</t>
  </si>
  <si>
    <t>CE1003</t>
  </si>
  <si>
    <t>ANTONIO VERNER DE ALBUQUERQUE CAPOTE</t>
  </si>
  <si>
    <t>CE930</t>
  </si>
  <si>
    <t>JOSE MACEDO VASCONCELOS</t>
  </si>
  <si>
    <t>CE1244</t>
  </si>
  <si>
    <t>FRANCIJANE SILVA MESQUITA</t>
  </si>
  <si>
    <t>CE1296</t>
  </si>
  <si>
    <t>DORA CRISTINA ARAGAO DE VASCONCELOS</t>
  </si>
  <si>
    <t>CE1156</t>
  </si>
  <si>
    <t>FRANCISCO PEREIRA LIMA</t>
  </si>
  <si>
    <t>CE1719</t>
  </si>
  <si>
    <t>ROBERTA CARNEIRO DA CUNHA BEZERRA</t>
  </si>
  <si>
    <t>Apoio Adm</t>
  </si>
  <si>
    <t>CE1540</t>
  </si>
  <si>
    <t>ADRIANA MARIA GOMES RAMOS</t>
  </si>
  <si>
    <t>CE1049</t>
  </si>
  <si>
    <t>JUSCELINO MOURÃO ALCÂNTARA</t>
  </si>
  <si>
    <t>19ªVARA</t>
  </si>
  <si>
    <t>CE1806</t>
  </si>
  <si>
    <t>CARLOS ALBERTO VICENTE PIEDADE</t>
  </si>
  <si>
    <t>CE1824</t>
  </si>
  <si>
    <t>HERNANY BARROS DE ALENCAR</t>
  </si>
  <si>
    <t>CE1857</t>
  </si>
  <si>
    <t>JAQUELINE ELIAS PIMENTA</t>
  </si>
  <si>
    <t>CE1627</t>
  </si>
  <si>
    <t>KELTON SOUSA FERNANDES SILVA</t>
  </si>
  <si>
    <t>CE1647</t>
  </si>
  <si>
    <t>FRANCISCO JOSE VALE DE MORAIS</t>
  </si>
  <si>
    <t>CE1711</t>
  </si>
  <si>
    <t>ROBERTA DE ANDRADE RIBEIRO</t>
  </si>
  <si>
    <t>CE1455</t>
  </si>
  <si>
    <t>ALINE ALENCAR DE OLIVEIRA</t>
  </si>
  <si>
    <t>CE1591</t>
  </si>
  <si>
    <t>CHRISTIANE DOS REIS OLIVEIRA</t>
  </si>
  <si>
    <t>CE1654</t>
  </si>
  <si>
    <t>MARCOS VICTOR DE ASSIS VERAS</t>
  </si>
  <si>
    <t>CE1269</t>
  </si>
  <si>
    <t>RAFAEL CERQUEIRA LIMA</t>
  </si>
  <si>
    <t>CE1602</t>
  </si>
  <si>
    <t>KRISHNAMURTI CABRAL NETO</t>
  </si>
  <si>
    <t>CE1513</t>
  </si>
  <si>
    <t>VITOR VENICIUS BARBOSA LOPES</t>
  </si>
  <si>
    <t>CE1121</t>
  </si>
  <si>
    <t>ANDREA OLIVEIRA FERREIRA</t>
  </si>
  <si>
    <t>CE1264</t>
  </si>
  <si>
    <t>NARA REIS LUZ SEABRA</t>
  </si>
  <si>
    <t>CE1709</t>
  </si>
  <si>
    <t>JOSE ALVES GUARANI NETO</t>
  </si>
  <si>
    <t>CE1174</t>
  </si>
  <si>
    <t>MARTA LUCIA RIBEIRO MAZZA</t>
  </si>
  <si>
    <t>CE1486</t>
  </si>
  <si>
    <t>PAULO AUGUSTO DE CARVALHO</t>
  </si>
  <si>
    <t>CE1152</t>
  </si>
  <si>
    <t>ANTONIA ERLANIA ARAUJO</t>
  </si>
  <si>
    <t>CE1409</t>
  </si>
  <si>
    <t>ELISANGELA CAVALCANTE COSTA</t>
  </si>
  <si>
    <t>CE1311</t>
  </si>
  <si>
    <t>GERLASIO MARTINS DE LOIOLA</t>
  </si>
  <si>
    <t>CE1915</t>
  </si>
  <si>
    <t>AURINEIDE RODRIGUES DA SILVA</t>
  </si>
  <si>
    <t>CE1875</t>
  </si>
  <si>
    <t>CE1718</t>
  </si>
  <si>
    <t>JOSE DACIO LEITE NETO</t>
  </si>
  <si>
    <t>31ªVARA</t>
  </si>
  <si>
    <t>CE1753</t>
  </si>
  <si>
    <t>JOSE SENHOR ILARIO ANDRADE</t>
  </si>
  <si>
    <t>CE1617</t>
  </si>
  <si>
    <t>MILCA MARNIELLY BARROSO COSTA LIMA</t>
  </si>
  <si>
    <t>CE1543</t>
  </si>
  <si>
    <t>THIAGO DE SOUSA MUNIZ NASCIMENTO</t>
  </si>
  <si>
    <t>CE1629</t>
  </si>
  <si>
    <t>VALDELIO MOREIRA DA SILVA</t>
  </si>
  <si>
    <t>CE1376</t>
  </si>
  <si>
    <t>THIAGO AUGUSTO MOURA REGO DE SANTANA</t>
  </si>
  <si>
    <t>CE1715</t>
  </si>
  <si>
    <t>JULIANA SILVA DE CARVALHO</t>
  </si>
  <si>
    <t>CE1480</t>
  </si>
  <si>
    <t>TIAGO MAGALHAES MAPURUNGA BEZERRA</t>
  </si>
  <si>
    <t>CE1187</t>
  </si>
  <si>
    <t>MARCOS AUGUSTO DE FREITAS RAMOS</t>
  </si>
  <si>
    <t>CE1639</t>
  </si>
  <si>
    <t>LEIDEJANE ARAUJO GOMES</t>
  </si>
  <si>
    <t>CE1465</t>
  </si>
  <si>
    <t>DIEGO DAMASCENO PONTE</t>
  </si>
  <si>
    <t>CE1504</t>
  </si>
  <si>
    <t>JOAO OSCAR DE ANDRADE QUEIROZ</t>
  </si>
  <si>
    <t>CE1523</t>
  </si>
  <si>
    <t>NATANAEL BARROS FIRMIANO</t>
  </si>
  <si>
    <t>JOBSON CLOVES AGUIAR PONTE</t>
  </si>
  <si>
    <t>CE1414</t>
  </si>
  <si>
    <t>LUCIANA ALBUQUERQUE DE SOUSA</t>
  </si>
  <si>
    <t>CE1906</t>
  </si>
  <si>
    <t>CE1910</t>
  </si>
  <si>
    <t>DANIEL RODRIGUES RIBEIRO FILHO</t>
  </si>
  <si>
    <t>CE1920</t>
  </si>
  <si>
    <t>WALMIR RODRIGUES DE ARAÚJO</t>
  </si>
  <si>
    <t>CE1916</t>
  </si>
  <si>
    <t>FRANCISCO CLEYTON LIRA FERREIRA</t>
  </si>
  <si>
    <t>18ª Vara: Sai DIEGO HENRIQUE DE OLIVEIRA TJAA data final: 06/02/2020, removido para a 27ª Vara.</t>
  </si>
  <si>
    <t>31ª Vara: Sai José Valter Mendes Junior TJAA data final: 09/02/2020, removido para Fortaleza (lotado na Seção de cadastro)</t>
  </si>
  <si>
    <t>19ª Vara: Entrou JAQUELINE ELIAS PIMENTA - Requisitada- dt início: 14/02/2020 (compto já foi feito na planilha mês de janeiro)</t>
  </si>
  <si>
    <t>ABRIL:</t>
  </si>
  <si>
    <t xml:space="preserve">18ª Vara : Entrou CRISTIANE LAMOUNIER BAPTISTA CHAGAS TJAA: Dt início:06/04/2020; veio removida da 25 vara.  </t>
  </si>
  <si>
    <t>KLEDSON DE SOUSA CARVALHO:nomeação; entrou na 31 vara dt incicio:19/11/2020</t>
  </si>
  <si>
    <t>DANIEL LEITE PEREIRA: saiu da 31 vara dt fim 03/12/2020 para a 27 vara.</t>
  </si>
  <si>
    <t>LORENA DE PAULA CANDIDO: entrou 18 vara nomeação dt início: 10/12/2020.</t>
  </si>
  <si>
    <t>31 VARA: Saiu CARLOS RAFAEL AGUIAR DIDIER Tjaa dt fim: 11/01/2021</t>
  </si>
  <si>
    <t xml:space="preserve">19 Vara: GERLASIO MARTINS DE LOIOLA: dt inicio na 19 vara:01/01/2021. Era servidor cedido/exercicio provisóro/removido/lotorg dt fim: 31/12/2020. </t>
  </si>
  <si>
    <t>18 Vara: Saiu TERESINHA MORAIS RODRIGUES dt fim: 20/01/2021, para a Secad.</t>
  </si>
  <si>
    <t>31 Vara: saiu ANA YARA LISBOA SANTOS- sem vínculo dt fim: 01/03/2021</t>
  </si>
  <si>
    <t>31 Vara: entrou FRANCISCA FERREIRA DOS SANTOS nomeação- dt inicio: 12/03/2021</t>
  </si>
  <si>
    <t>19 vara: FRANCISCO REGIS CAPISTRANO DE OLIVEIRA- ex provisório- saiu dt fim: 07/03/2021; foi para Gabsa 08/03/2021 e, após, lotado na Seçãõ de licitações-NFP dt início: 09/03/2021.</t>
  </si>
  <si>
    <t>31 Vara: KLEDSON DE SOUSA CARVALHO: (TJAA)saiu da 31 vara desligado dt fim:09/08/2021</t>
  </si>
  <si>
    <t xml:space="preserve">31 vara: entrou JOBSON CLOVES AGUIAR PONTES (req) dt inicio:03/11/2021 </t>
  </si>
  <si>
    <t>31 vara: entrou TIAGO SOUZA FERNANDES TJAA dt inicio: 03/11/2021</t>
  </si>
  <si>
    <t>ADRIANA MARIA GOMES RAMOS: saiu da Seção de Apoio Jud para o Setor de Apoio Jud dt inicio: 03/01/2022</t>
  </si>
  <si>
    <t>FRANCISCO PEREIRA LIMA: saiu da Seçãõ de apoio Adm para a Seçãõ de Apoio Adm e Jud dt inicio:03/01/2022</t>
  </si>
  <si>
    <t>JUSCELINO MOURÃO ALCÂNTARA: da Seçãõ de Apoio Jud para a 19a Vara; dt inicio: 03/01/2022</t>
  </si>
  <si>
    <t>19a vara: entrou FRANCISCO JOSE VALE DE MORAIS: AJOJ; veio da 26a vara</t>
  </si>
  <si>
    <t>19a vara: saiu RAFAELA LIMA TEIXEIRA AJOJ ; foi para 26a vara</t>
  </si>
  <si>
    <t>31a vara:LUCIANA ALBUQUERQUE DE SOUSA  AJAA -entrou na 31a vara dt inicio:29/08/2022; veio da 27a vara</t>
  </si>
  <si>
    <t>31a vara: BARBARA ELIGIA DE ALENCAR E SILVA AJAA: saiu (remoção interna)-dt fim: 25/09/2022; foi para 13a vara Sede</t>
  </si>
  <si>
    <t>31a vara:NATALIA GIRLENE DA SILVA LEOPOLDO NUNES: dt inicio: 03/10/2022 nomeação</t>
  </si>
  <si>
    <t xml:space="preserve">ELISANGELA CAVALCANTE COSTA: saiu da 34ª e foi para 19 Seção de Apoio Adm Dt inicio:03/10/2022 </t>
  </si>
  <si>
    <t>LIGIA PEREIRA SANTIAGO desligada em 17/04/2023</t>
  </si>
  <si>
    <t>WALMIR RODRIGUES DE ARAÚJO requisitado em 08/05/2023</t>
  </si>
  <si>
    <t>IGOR CALVACANTE saiu em 10/08/2023</t>
  </si>
  <si>
    <t>DANTE RIBEIRO entrou em 18/09/2023</t>
  </si>
  <si>
    <t>LORENA DE PAULA CANDIDO saiu em 24/11/2023</t>
  </si>
  <si>
    <t>CE1157</t>
  </si>
  <si>
    <t>ANDRE LIMA SILVA</t>
  </si>
  <si>
    <t>CE1147</t>
  </si>
  <si>
    <t>RONALDO LEITE RODRIGUES</t>
  </si>
  <si>
    <t>CE1631</t>
  </si>
  <si>
    <t>TICIANA PINTO TORRES DE MELO</t>
  </si>
  <si>
    <t>CE1612</t>
  </si>
  <si>
    <t>LUCAS LEOPOLDINO MOTA</t>
  </si>
  <si>
    <t>CE1391</t>
  </si>
  <si>
    <t>JOAO VICTOR CARVALHO BARBOSA</t>
  </si>
  <si>
    <t>CE695</t>
  </si>
  <si>
    <t>GABRIELA DE SOUSA SILVA</t>
  </si>
  <si>
    <t>CE1083</t>
  </si>
  <si>
    <t>REJANE ALBUQUERQUE LIMA BRAGA</t>
  </si>
  <si>
    <t>CE1100</t>
  </si>
  <si>
    <t>ANA BEATRIZ MELO FELISMINO</t>
  </si>
  <si>
    <t>CE1158</t>
  </si>
  <si>
    <t>PEDRO EDUARDO POMPEU DE SOUSA BRASIL</t>
  </si>
  <si>
    <t>CE1340</t>
  </si>
  <si>
    <t>GINA EMANUELA CARVALHO DE CERQUEIRA E PINHEIRO</t>
  </si>
  <si>
    <t>CE1249</t>
  </si>
  <si>
    <t>GRAZIELE MATEUS XAVIER</t>
  </si>
  <si>
    <t>CE1091</t>
  </si>
  <si>
    <t>CARLOS HORACIO MELO FALCAO</t>
  </si>
  <si>
    <t>CE1225</t>
  </si>
  <si>
    <t>FRANCISCO WILSON DE BRITO AGUIAR</t>
  </si>
  <si>
    <t>CE1535</t>
  </si>
  <si>
    <t>RAFAEL ALVES MONTEIRO RODRIGUES</t>
  </si>
  <si>
    <t>CE1550</t>
  </si>
  <si>
    <t>RAFAELA LIMA TEIXEIRA ROCHA</t>
  </si>
  <si>
    <t>CE1978</t>
  </si>
  <si>
    <t>ANA PAULA PEREIRA DOS SANTOS</t>
  </si>
  <si>
    <t>REQUISITADA</t>
  </si>
  <si>
    <t>JOSE GERARDO FREIRE:(AJOJ) : aposentadoria- servidor inativo dt fim: 23/08/2021</t>
  </si>
  <si>
    <t>ANTONIO ADRIANO CIDRAO PINHEIRO:  TJAA saiu dt fim: 15/09/2021; foi para Secad</t>
  </si>
  <si>
    <t>RAFAEL ALVES MONTEIRO RODRIGUES: TJAA- entrou dt inicio: 16/09/2021; veio da 27 vara removido para Fortaleza (inicialmente para Secad) até sua lotação na 26 Vara dt início:16/09/2021.</t>
  </si>
  <si>
    <t>FRANCISCO JOSE VALE DE MORAIS: AJOJ entrou dt inicio: 04/10/2021; veio da CEMAN Fortaleza</t>
  </si>
  <si>
    <t>ROSANA DANIELLE COUTINHO DOS SANTOS: TJAA saiu dt fim: 17/10/2021; foi para SECAD</t>
  </si>
  <si>
    <t>26a vara: saiu FRANCISCO JOSE VALE DE MORAIS: AJOJ ; foi para 19a vara</t>
  </si>
  <si>
    <t>26a vara: entrou RAFAELA LIMA TEIXEIRA  AJOJ; veio da 19a vara</t>
  </si>
  <si>
    <t>CE559</t>
  </si>
  <si>
    <t>CE1792</t>
  </si>
  <si>
    <t>ALISSON COSTA COUTINHO</t>
  </si>
  <si>
    <t>CE1745</t>
  </si>
  <si>
    <t>DIEGO HENRIQUE DE OLIVEIRA</t>
  </si>
  <si>
    <t>27ªVARA</t>
  </si>
  <si>
    <t>CE1837</t>
  </si>
  <si>
    <t>FRANCISCO FLAVIO CASIMIRO DE ANDRADE</t>
  </si>
  <si>
    <t>CE1616</t>
  </si>
  <si>
    <t>IOMILSON DE PAULA SILVEIRA</t>
  </si>
  <si>
    <t>CE1257</t>
  </si>
  <si>
    <t>MARCELO PONTES PONCIANO LIMA</t>
  </si>
  <si>
    <t>CE1453</t>
  </si>
  <si>
    <t>SANDRO GALVAO DE SOUZA</t>
  </si>
  <si>
    <t>CE1564</t>
  </si>
  <si>
    <t>WILLIAN ALVES DA COSTA</t>
  </si>
  <si>
    <t>CE1623</t>
  </si>
  <si>
    <t>MARIANA AGUIAR GONÇALVES EVANGELISTA</t>
  </si>
  <si>
    <t>CE1762</t>
  </si>
  <si>
    <t>ROBERTA PESSOA MOREIRA</t>
  </si>
  <si>
    <t>CE1658</t>
  </si>
  <si>
    <t>ANDREA ROCHA FERREIRA</t>
  </si>
  <si>
    <t>CE1759</t>
  </si>
  <si>
    <t>MARIA APARECIDA LOURENCO GURGURI</t>
  </si>
  <si>
    <t>CE916</t>
  </si>
  <si>
    <t>ALOISIO LINHARES CRUZ</t>
  </si>
  <si>
    <t>CE1648</t>
  </si>
  <si>
    <t>RAFAEL LIMA FERNANDES</t>
  </si>
  <si>
    <t>CE1942</t>
  </si>
  <si>
    <t>CE888</t>
  </si>
  <si>
    <t>AUGUSTO DE QUEIROZ LIMA</t>
  </si>
  <si>
    <t>CE1668</t>
  </si>
  <si>
    <t>DANIEL LEITE PEREIRA</t>
  </si>
  <si>
    <t>CE1854</t>
  </si>
  <si>
    <t>CE1642</t>
  </si>
  <si>
    <t>IESKA AMORIM GURGEL DO AMARAL MARTINS</t>
  </si>
  <si>
    <t>CE1813</t>
  </si>
  <si>
    <t>DANIELLE LIRA PINHEIRO</t>
  </si>
  <si>
    <t>DIEGO HENRIQUE DE OLIVEIRA: início em Itapipoca em 07/02/2020</t>
  </si>
  <si>
    <t xml:space="preserve">LUCIANA ALBUQUERQUE DE SOUSA saiu da 30ª vara (dt fim: 16/02/2020) para a 27ª vara (dt início:17/02/2020) </t>
  </si>
  <si>
    <t xml:space="preserve">LUCIANA ALBUQUERQUE DE SOUSA saiu da 27ª vara (dt fim: 27/02/2020) para a Seção de Apoio Judiciário de Itapipoca (dt início:28/02/2020) </t>
  </si>
  <si>
    <t>ALESSANDRO PORTILHO DE MOURA: saiu do Apoio Jud ITAPIPOCA (dt fim:01/03/2020) para a Secad (dt início: 02/03/2020)</t>
  </si>
  <si>
    <t>AUGUSTO DE QUEIROZ LIMA: entrou dt inicio: 01/04/2020 veio da secad</t>
  </si>
  <si>
    <t>ISLAN TAYMON FONTELES: saiu para Secad-Fortaleza dt fim: 14/05/2020</t>
  </si>
  <si>
    <t>ANNE KAROLINE ANDRADE ROCHA: saiu Apoio Adm 27  dt fim: 06/12/2020 para Seção de Orçamento e finanças Fortalezad dt incicio:07/12/2020</t>
  </si>
  <si>
    <t>DANIEL LEITE PEREIRA: entrou dt inicio: 04/12/2020; veio da 31 vara .</t>
  </si>
  <si>
    <t>27 Vara: DIEGO HENRIQUE DE OLIVEIRA saiu da lotação 27 vara para o Apoio Administrativo da 27 vara, dt inicio: 18/01/2021</t>
  </si>
  <si>
    <t>27 Vara: entrou REJANE QUARESMA DE MORAIS TJAA dt inicio: 19/04/2021 ; veio da 15 Vara dt fim:18/04/2021.</t>
  </si>
  <si>
    <t>27 Vara: saiu MILENNA CRISOSTOMO CHAVES PEQUENO GOMES TJAA dt fim: 02/05/2021; para a Seção de Arquivo e depósito Judicial/NJ Fortaleza</t>
  </si>
  <si>
    <t>RAFAEL ALVES MONTEIRO RODRIGUES: TJAA- saiu dt fim 12/09/2021; remoção; foi para Fortaleza (inicialmente Secad) até sua lotação na 26 Vara dt início:16/09/2021</t>
  </si>
  <si>
    <t>AUGUSTO DE QUEIROZ LIMA: saiu da 27 vara para o Setor Tecnico de Apoio Judiciario dt inicio:03/01/2022</t>
  </si>
  <si>
    <t>CAMILA PONTE DE MELO PIRES ADJAFRE: saiu da Seçãõ de Apoio Adm para Seção de Apoio Adm e JUD dt inicio: 03/01/2022</t>
  </si>
  <si>
    <t>DANIEL LEITE PEREIRA: saiu da 27a Vara para o Setor tecnico de Apoio Adm dt inicio: 03/01/2022</t>
  </si>
  <si>
    <t>DIEGO HENRIQUE DE OLIVEIRA: saiu da Seçãõ de apoio Adm para a 27 Vara dt inicio: 03/01/2022</t>
  </si>
  <si>
    <t>LUCIANA ALBUQUERQUE DE SOUSA: saiu da Seção de Apoio Jud para 27a Vara dt inicio: 03/01/2022</t>
  </si>
  <si>
    <t>AUGUSTO DE QUEIROZ LIMA: TJAA Saiu do Setor tec de Ap Jud ITA para 27a Vara dt inicio: 02/05/2022</t>
  </si>
  <si>
    <t>DANIEL LEITE PEREIRA:  TJAA Saiu do Setor tec de Ap Adm ITA para 27a Vara dt inicio: 02/05/2022</t>
  </si>
  <si>
    <t>FRANCISCO FLAVIO CASIMIRO DE ANDRADE: ex. provis. Saiu da 27a vara para o Setor Tec de apoio Adm ITA dt inicio:06/05/2022</t>
  </si>
  <si>
    <t>AMANDA LUISA PASSOS DE SOUSA: AJAA entrou na 27a vara dt incio: 15/08/2022; veio da 30a vara</t>
  </si>
  <si>
    <t>LUCIANA ALBUQUERQUE DE SOUSA: AJAJ  saiu da 27a vara dt fim: 29/08/2022; foi para 31a vara</t>
  </si>
  <si>
    <t>LUCAS LEOPOLDINO MOTA ENTROU EM 03/07/2023</t>
  </si>
  <si>
    <t>IESKA AMORIM entrou em 07/08/2023</t>
  </si>
  <si>
    <t>DIEGO WAGNER saiu em 07/08/2023</t>
  </si>
  <si>
    <t>ARIMA COELHO DE FARIA PEREIRA entrou em 23/11/2023</t>
  </si>
  <si>
    <t>CE1159</t>
  </si>
  <si>
    <t>ANA FÁTIMA DE CASTRO CRUZ</t>
  </si>
  <si>
    <t>CE829</t>
  </si>
  <si>
    <t>ANA RUTH FERNANDES MENDES</t>
  </si>
  <si>
    <t>CE1106</t>
  </si>
  <si>
    <t>CARLOS CELIO ROQUE DE ARAUJO</t>
  </si>
  <si>
    <t>CE1546</t>
  </si>
  <si>
    <t>CELIO JOSE SOUSA DO CARMO</t>
  </si>
  <si>
    <t>CE824</t>
  </si>
  <si>
    <t>FRANCIVALDO GOMES DE SOUZA</t>
  </si>
  <si>
    <t>CE415</t>
  </si>
  <si>
    <t>JOAO EUDES AZEVEDO DE SOUZA</t>
  </si>
  <si>
    <t>CE755</t>
  </si>
  <si>
    <t>JORGE ALBERTO PONTES MASCARENHAS</t>
  </si>
  <si>
    <t>CE590</t>
  </si>
  <si>
    <t>MARCOS AURELIO SOUSA MOURA</t>
  </si>
  <si>
    <t>CE1160</t>
  </si>
  <si>
    <t>NEWTON LAMEIRA DA SILVA</t>
  </si>
  <si>
    <t>CE1435</t>
  </si>
  <si>
    <t>RAFAELLA SOUSA MARTINS</t>
  </si>
  <si>
    <t>CE760</t>
  </si>
  <si>
    <t>RAQUEL TELES DE SOUSA LEITE</t>
  </si>
  <si>
    <t>CE1786</t>
  </si>
  <si>
    <t>TAZIA MELO DE FIGUEIREDO</t>
  </si>
  <si>
    <t>CE1547</t>
  </si>
  <si>
    <t>WERBSTON DA SILVA COELHO</t>
  </si>
  <si>
    <t>DANE LOPES RIBEIRO</t>
  </si>
  <si>
    <t>ROBERTO CARLOS DOS SANTOS desligado</t>
  </si>
  <si>
    <t>FRANCISCO EVANILSON VIANA dispensado da função em 18/05/2023</t>
  </si>
  <si>
    <t>CLAUDIO FRANCO MANESCHY entrou dia 22/06/2023</t>
  </si>
  <si>
    <t>ANA RUTH FERNANDES MENDES entrou dia 03/07/2023</t>
  </si>
  <si>
    <t>DIEGO WAGNER entrou em 07/08/2023</t>
  </si>
  <si>
    <t>CE1016</t>
  </si>
  <si>
    <t>LIA BENEVIDES DAMASCENO</t>
  </si>
  <si>
    <t>ISLAN TAYMON FONTELES saiu em 14/09/2023</t>
  </si>
  <si>
    <t>TRFMED Unidade Acolhedora</t>
  </si>
  <si>
    <t>CE1464</t>
  </si>
  <si>
    <t>NEUSA DE SOUSA MENDES</t>
  </si>
  <si>
    <t>retorno á origem (STJ) PA 0007163-10.2024.4.05.7600</t>
  </si>
  <si>
    <t>retornou à SJCE até Fevereiro de 2025 PA 0002990-50.2018.4.05.7600</t>
  </si>
  <si>
    <t>saiu da 9ª Vara e ingressou na 28ª</t>
  </si>
  <si>
    <t>fevereiro de 2025</t>
  </si>
  <si>
    <t>CE1173</t>
  </si>
  <si>
    <t>ALBERTO PEREIRA ALMEIDA</t>
  </si>
  <si>
    <t>CE1537</t>
  </si>
  <si>
    <t>ANTONIO FABRICIO CIRINO DE QUEIROZ</t>
  </si>
  <si>
    <t>CE1115</t>
  </si>
  <si>
    <t>DANISE MENDES DA SILVA VALENTE</t>
  </si>
  <si>
    <t>CE1450</t>
  </si>
  <si>
    <t>IZARA DE OLIVEIRA PARENTE</t>
  </si>
  <si>
    <t>CE1251</t>
  </si>
  <si>
    <t>JOAO MATEUS FERREIRA TORRES</t>
  </si>
  <si>
    <t>CE799</t>
  </si>
  <si>
    <t>LUCIANA MARIA DUARTE NEVES</t>
  </si>
  <si>
    <t>CE949</t>
  </si>
  <si>
    <t>MARIA CLAUDIA FONTES AMADOR DODT VIANA</t>
  </si>
  <si>
    <t>CE1230</t>
  </si>
  <si>
    <t>ALANA CAROLINE PINTO DE CASTRO</t>
  </si>
  <si>
    <t>CE1037</t>
  </si>
  <si>
    <t>JAMES MAXWELL COSTA FREIRE</t>
  </si>
  <si>
    <t>CE1363</t>
  </si>
  <si>
    <t>PRISCILLA PEIXOTO ROCHA</t>
  </si>
  <si>
    <t>CE1345</t>
  </si>
  <si>
    <t>MICHELLE DA COSTA PINTO</t>
  </si>
  <si>
    <t>CE1763</t>
  </si>
  <si>
    <t>JOSELLE MARIA DE ALENCAR ARARIPE BASTOS</t>
  </si>
  <si>
    <t>CE1087</t>
  </si>
  <si>
    <t>CARLOS HENRIQUE CAMPOS MEYER</t>
  </si>
  <si>
    <t>CE1344</t>
  </si>
  <si>
    <t>ANTONIA NATHALIA BATISTA BARROS</t>
  </si>
  <si>
    <t>aposentadoria em 09/05/2025</t>
  </si>
  <si>
    <t>CE1062</t>
  </si>
  <si>
    <t>CE1046</t>
  </si>
  <si>
    <t>ALEXANDRE LIMA FARIAS</t>
  </si>
  <si>
    <t>CE1097</t>
  </si>
  <si>
    <t>RENATA DE BARROS PALACIO</t>
  </si>
  <si>
    <t>CE1140</t>
  </si>
  <si>
    <t>THIAGO MELLO E SOUZA</t>
  </si>
  <si>
    <t>CE705</t>
  </si>
  <si>
    <t>MARIA TEREZA ALMEIDA BEZERRA</t>
  </si>
  <si>
    <t>CE1111</t>
  </si>
  <si>
    <t>TATIANA FERREIRA MARTINS BELARMINO</t>
  </si>
  <si>
    <t>CE1532</t>
  </si>
  <si>
    <t>ALEXANDRE CHAVES GARCIA</t>
  </si>
  <si>
    <t>CE454</t>
  </si>
  <si>
    <t>JAIRO NUNES ALMEIDA</t>
  </si>
  <si>
    <t>CE1743</t>
  </si>
  <si>
    <t>BRENO EDSON CHAVES</t>
  </si>
  <si>
    <t>CE1349</t>
  </si>
  <si>
    <t>KATIA LOIOLA DIAS</t>
  </si>
  <si>
    <t>CE1300</t>
  </si>
  <si>
    <t>ANDREA BASTOS FERREIRA</t>
  </si>
  <si>
    <t>CE1437</t>
  </si>
  <si>
    <t>DAISY GOMES VELOSO</t>
  </si>
  <si>
    <t>CE1417</t>
  </si>
  <si>
    <t>PAULO EDUARDO SOUZA ALBUQUERQUE</t>
  </si>
  <si>
    <t>CE671</t>
  </si>
  <si>
    <t>ENEAS FERRO CALDAS</t>
  </si>
  <si>
    <t>CE1120</t>
  </si>
  <si>
    <t>ALEXANDRE CAUBY CASTELO BRANCO DE PAULA</t>
  </si>
  <si>
    <t>CE480</t>
  </si>
  <si>
    <t>DAMIANA MACEDO REGO</t>
  </si>
  <si>
    <t>DAMIANA MACEDO REGO: entrou dt inicio:06/08/2021; veio da 20 Vara.</t>
  </si>
  <si>
    <t>FRANCISCA FRANCELY CORDEIRO DE BRITO: (removida sinar) saiu dt fim: 05;08/2021; para a 20 Vara.</t>
  </si>
  <si>
    <t>BRUNO ROBERTO DE LIMA</t>
  </si>
  <si>
    <t>34ªVARA</t>
  </si>
  <si>
    <t>CE1135</t>
  </si>
  <si>
    <t>CARLOS HENRIQUE BASTOS CAMPELO</t>
  </si>
  <si>
    <t>CE1436</t>
  </si>
  <si>
    <t>FRANCISCO NILBERTO SERAFIM CAMURÇA</t>
  </si>
  <si>
    <t>CE1175</t>
  </si>
  <si>
    <t>JULIO CESAR MARTINS DE OLIVEIRA</t>
  </si>
  <si>
    <t>CE412</t>
  </si>
  <si>
    <t>MARCOS CHASTINET JUNIOR</t>
  </si>
  <si>
    <t>CE1236</t>
  </si>
  <si>
    <t>CAROLINA WERTHER DOURADO TEIXEIRA</t>
  </si>
  <si>
    <t>CE1355</t>
  </si>
  <si>
    <t>MAIRTON BRASIL CORREIA</t>
  </si>
  <si>
    <t>CE1538</t>
  </si>
  <si>
    <t>CE1408</t>
  </si>
  <si>
    <t>FRANCISCO ADEILTON DE ARAUJO RODRIGUES</t>
  </si>
  <si>
    <t>CE1336</t>
  </si>
  <si>
    <t>IANA CRISTINA VASCONCELOS ALVES</t>
  </si>
  <si>
    <t>CE1338</t>
  </si>
  <si>
    <t>BRUNA SALES MENDES</t>
  </si>
  <si>
    <t>CE764</t>
  </si>
  <si>
    <t>DALMARIO DE OLIVEIRA FILHO</t>
  </si>
  <si>
    <t>CE1398</t>
  </si>
  <si>
    <t>CLEA MARIA FERREIRA FACUNDO</t>
  </si>
  <si>
    <t>CE1505</t>
  </si>
  <si>
    <t>THIAGO ANDRADE SAMPAIO</t>
  </si>
  <si>
    <t>CE1096</t>
  </si>
  <si>
    <t>ANDREA AMADOR DODT SANTOS</t>
  </si>
  <si>
    <t>CE1462</t>
  </si>
  <si>
    <t>LUIZ ALEXANDRE BARBOSA XEREZ</t>
  </si>
  <si>
    <t>CE1069</t>
  </si>
  <si>
    <t>ESTEFANO JORGE DE OLIVEIRA PEREIRA</t>
  </si>
  <si>
    <t>CE1229</t>
  </si>
  <si>
    <t>AFONSO JOSE ROCHA SOMBRA</t>
  </si>
  <si>
    <t>Seção de Apoio  Adm e Jud</t>
  </si>
  <si>
    <t>CE1368</t>
  </si>
  <si>
    <t>VIANNEY MAIA CORDEIRO GOMES</t>
  </si>
  <si>
    <t>CE945</t>
  </si>
  <si>
    <t>EDIVANILDO SOUSA DO NASCIMENTO</t>
  </si>
  <si>
    <t>CE1474</t>
  </si>
  <si>
    <t>ANDERSON MATOS</t>
  </si>
  <si>
    <t>35ªVARA</t>
  </si>
  <si>
    <t>CE1468</t>
  </si>
  <si>
    <t>DANIEL ROCHA DA SILVA</t>
  </si>
  <si>
    <t>CE1208</t>
  </si>
  <si>
    <t>LIDIANA DE SOUZA SANDES</t>
  </si>
  <si>
    <t>CE1299</t>
  </si>
  <si>
    <t>MARIA REGIA DE ARAUJO CAVALCANTE</t>
  </si>
  <si>
    <t>CE1356</t>
  </si>
  <si>
    <t>MAURILIO ARGINO DE SOUZA</t>
  </si>
  <si>
    <t>CE1389</t>
  </si>
  <si>
    <t>MAYARA VASCONCELOS DE QUEIROZ</t>
  </si>
  <si>
    <t>CE1379</t>
  </si>
  <si>
    <t>MIRIAM SOUZA FONTENELE DUARTE DE ANDRADE</t>
  </si>
  <si>
    <t>CE1418</t>
  </si>
  <si>
    <t>SERGIO VASCONCELOS NUNES</t>
  </si>
  <si>
    <t>CE1415</t>
  </si>
  <si>
    <t>JAIRO JAMIL DE SOUZA PESSOA</t>
  </si>
  <si>
    <t>CE1343</t>
  </si>
  <si>
    <t>THIAGO GONÇALVES DE ALMEIDA E SILVA</t>
  </si>
  <si>
    <t>CE818</t>
  </si>
  <si>
    <t>ITALO MARTINS VIEIRA</t>
  </si>
  <si>
    <t>CE1508</t>
  </si>
  <si>
    <t>JEFFERSON LUIS SILVA MOREIRA</t>
  </si>
  <si>
    <t>CE1260</t>
  </si>
  <si>
    <t>MAURICELIO DA SILVA SANTANA</t>
  </si>
  <si>
    <t>CE1476</t>
  </si>
  <si>
    <t>SAMUEL DE OLIVEIRA MELO</t>
  </si>
  <si>
    <t>CE1610</t>
  </si>
  <si>
    <t xml:space="preserve">TATIANA MAGALHAES CAVALCANTE </t>
  </si>
  <si>
    <t>CE1524</t>
  </si>
  <si>
    <t>PRISCILLA MATIAS DINELLY CARNEIRO</t>
  </si>
  <si>
    <t>CE1451</t>
  </si>
  <si>
    <t>VICTOR MATHEUS RAMOS NOGUEIRA</t>
  </si>
  <si>
    <t xml:space="preserve">AFONSO JOSE ROCHA SOMBRA: saiu da Seção de Apoio Adm para a Seção de Apoio Adm e Jud Dt inicio: 03/01/2022 </t>
  </si>
  <si>
    <t>EDIVANILDO SOUSA DO NASCIMENTO: saiu da Seção de Apoio Jud para o Setor Técnico de Apoio Jud dt inicio: 03/01/2022</t>
  </si>
  <si>
    <t>VIANNEY MAIA CORDEIRO GOMES: saiu da Seção de Apoio Adm para o Setor Técnico de Apoio Adm dt inicio: 03/01/2022</t>
  </si>
  <si>
    <t>TATIANA MAGALHAES entrou em 07/08/2023</t>
  </si>
  <si>
    <t>SUZANA MAURICIO NOGUEIRA saiu em 07/11/2023</t>
  </si>
  <si>
    <t>VEIO DA 23ª VARA, saiu da 23ª em 01/11/2023</t>
  </si>
  <si>
    <t>ESTRUTURA ADMINISTRATIVA</t>
  </si>
  <si>
    <t>UNIDADE (POSIÇÃO: 12/06/2023)</t>
  </si>
  <si>
    <t>GABINETE DIRETOR DO FORO</t>
  </si>
  <si>
    <t>Assessoria Especial</t>
  </si>
  <si>
    <t>Setor de Acompanhamento de Demandas Internas e Interinstitucionais</t>
  </si>
  <si>
    <t>Seção de Assessoria Jurídica</t>
  </si>
  <si>
    <t>Seção de Comunicação Social</t>
  </si>
  <si>
    <t>NÚCLEO DE AUDITORIA INTERNA (RESOLUÇÃO N. 10/2021 DO TRF5)</t>
  </si>
  <si>
    <t>Gabinete do Diretor de Núcleo</t>
  </si>
  <si>
    <t>Seção de Acompanhamento de Gestão Orgamentaria, Financeira e Patrimonial</t>
  </si>
  <si>
    <t>Seção de Análise de Atos e Despesas Relativas a Pessoal</t>
  </si>
  <si>
    <t>NÚCLEO DE ESTRATÉGIA, GOVERNANÇA E INTEGRIDADE (RESOLUÇÃO N. 10/2021 DO TRF5)</t>
  </si>
  <si>
    <t>Seção de Gestão Estratégica e Governança</t>
  </si>
  <si>
    <t>Seção de Integridade e Gestão de Processos e Riscos</t>
  </si>
  <si>
    <t>SECRETARIA ADMINISTRATIVA</t>
  </si>
  <si>
    <t>Gabinete do Diretor de Secretaria</t>
  </si>
  <si>
    <t>Setor de Governança de Aquisições e Contratações e Apoio aos Núcleos</t>
  </si>
  <si>
    <t>Setor Técnico de Apoio à Diretoria</t>
  </si>
  <si>
    <t>Seção de Apoio à Secretaria Administrativa</t>
  </si>
  <si>
    <t>Seção de Biblioteca, Gestão Documental e Memória</t>
  </si>
  <si>
    <t>NÚCLEO DE INFRAESTRUTURA E ADMINISTRAÇÃO PREDIAL</t>
  </si>
  <si>
    <t>Seção de Conservação Predial</t>
  </si>
  <si>
    <t>Seção de Infraestrutura e Engenharia</t>
  </si>
  <si>
    <t>NÚCLEO DE GESTÃO ORÇAMENTARIA, FINANCEIRA, CONTÁBIL E PATRIMONIAL</t>
  </si>
  <si>
    <t>Setor de contabilidade</t>
  </si>
  <si>
    <t>Seção de Orçamento e Finanças</t>
  </si>
  <si>
    <t>Seção de Licitações</t>
  </si>
  <si>
    <t>Seção de Contratos</t>
  </si>
  <si>
    <t>Seção de Patrimônio e Almoxarifado</t>
  </si>
  <si>
    <t>NÚCLEO DE GESTÃO DE PESSOAS</t>
  </si>
  <si>
    <t>Seção de Legislação de Pessoal</t>
  </si>
  <si>
    <t>Seção de Provimento e Informações Funcionais</t>
  </si>
  <si>
    <t>Seção de Folha de Pagamento</t>
  </si>
  <si>
    <t>Seção de Atenção à Saúde e Qualidade de Vida</t>
  </si>
  <si>
    <t>Seção de Autogestão em Saúde (TRFMED)</t>
  </si>
  <si>
    <t>Seção de Gestão do Conhecimento e Inovação em Educação</t>
  </si>
  <si>
    <t>NÚCLEO JUDICIÁRIO</t>
  </si>
  <si>
    <t>Seção de Apoio à Atividade Judiciária</t>
  </si>
  <si>
    <t>Centro Judiciário de Solução Consensual de Conflitos e Cidadania (Central de Conciliação)</t>
  </si>
  <si>
    <t>Seção de Contadoria Judicial</t>
  </si>
  <si>
    <t>Seção de Arquivo e Depósito Judicial</t>
  </si>
  <si>
    <t>Seção de Central de Mandados</t>
  </si>
  <si>
    <t>DIVISÃO DE TECNOLOGIA DA INFORMAÇÃO (RESOLUÇÃO N. 8/2022 DO TRF5)</t>
  </si>
  <si>
    <t>Gabinete do Diretor de Divisão</t>
  </si>
  <si>
    <t>NÚCLEO DE INOVAÇÃO (RESOLUÇÃO N. 8/2022 DO TRF5)</t>
  </si>
  <si>
    <t>Seção de Sistemas</t>
  </si>
  <si>
    <t>Seção de Infraestrutura</t>
  </si>
  <si>
    <t>Seção de Suporte</t>
  </si>
  <si>
    <t>Seção de Governança de TIC e Apoio à LGPD</t>
  </si>
  <si>
    <t>NÚCLEO DE INTELIGÊNCIA, SEGURANÇA E TRANSPORTE</t>
  </si>
  <si>
    <t>Seção de Segurança</t>
  </si>
  <si>
    <t>OBS: Total não está considerando os Oficiais de Justiça.</t>
  </si>
  <si>
    <t>EQUALIZAÇÃO FORÇA DE TRABALHO</t>
  </si>
  <si>
    <t>QUANTIDADE</t>
  </si>
  <si>
    <t>MUNICIPIO</t>
  </si>
  <si>
    <t>ADMINISTRATIVO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</si>
</sst>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164" formatCode="mmmm\ yyyy"/>
    <numFmt numFmtId="165" formatCode="mmm/yyyy"/>
    <numFmt numFmtId="166" formatCode="mmmm/yyyy"/>
    <numFmt numFmtId="167" formatCode="d/m/yyyy"/>
    <numFmt numFmtId="168" formatCode="0.000"/>
    <numFmt numFmtId="169" formatCode="mmmm\-yyyy"/>
    <numFmt numFmtId="170" formatCode="mmm\ yyyy"/>
    <numFmt numFmtId="171" formatCode="d/mmm"/>
    <numFmt numFmtId="172" formatCode="dd/mm/yy"/>
  </numFmts>
  <fonts count="91" x14ac:knownFonts="1">
    <font>
      <sz val="11"/>
      <color rgb="FF000000"/>
      <name val="Arial"/>
      <charset val="1"/>
    </font>
    <font>
      <sz val="11"/>
      <color rgb="FF000000"/>
      <name val="Arial"/>
      <family val="2"/>
      <charset val="1"/>
    </font>
    <font>
      <b/>
      <sz val="11"/>
      <color rgb="FF000000"/>
      <name val="Arial"/>
      <family val="2"/>
      <charset val="1"/>
    </font>
    <font>
      <b/>
      <sz val="10"/>
      <color rgb="FF000000"/>
      <name val="Arial"/>
      <family val="2"/>
      <charset val="1"/>
    </font>
    <font>
      <sz val="11"/>
      <color rgb="FF000000"/>
      <name val="Calibri"/>
      <family val="2"/>
      <charset val="1"/>
    </font>
    <font>
      <sz val="10"/>
      <color rgb="FFFF0000"/>
      <name val="Arial"/>
      <family val="2"/>
      <charset val="1"/>
    </font>
    <font>
      <u/>
      <sz val="7"/>
      <color rgb="FF0000FF"/>
      <name val="Arial"/>
      <family val="2"/>
      <charset val="1"/>
    </font>
    <font>
      <b/>
      <sz val="8"/>
      <color rgb="FF000000"/>
      <name val="Arial"/>
      <family val="2"/>
      <charset val="1"/>
    </font>
    <font>
      <sz val="8"/>
      <color rgb="FF000000"/>
      <name val="Arial"/>
      <family val="2"/>
      <charset val="1"/>
    </font>
    <font>
      <b/>
      <sz val="12"/>
      <color rgb="FF000000"/>
      <name val="Arial"/>
      <family val="2"/>
      <charset val="1"/>
    </font>
    <font>
      <b/>
      <sz val="12"/>
      <color rgb="FFFF0000"/>
      <name val="Arial"/>
      <family val="2"/>
      <charset val="1"/>
    </font>
    <font>
      <b/>
      <sz val="11"/>
      <color rgb="FFFF0000"/>
      <name val="Arial"/>
      <family val="2"/>
      <charset val="1"/>
    </font>
    <font>
      <b/>
      <u/>
      <sz val="9"/>
      <color rgb="FF000000"/>
      <name val="Arial"/>
      <family val="2"/>
      <charset val="1"/>
    </font>
    <font>
      <b/>
      <sz val="12"/>
      <color rgb="FF0000FF"/>
      <name val="Arial"/>
      <family val="2"/>
      <charset val="1"/>
    </font>
    <font>
      <b/>
      <sz val="12"/>
      <color rgb="FF800080"/>
      <name val="Arial"/>
      <family val="2"/>
      <charset val="1"/>
    </font>
    <font>
      <b/>
      <sz val="12"/>
      <color rgb="FF008000"/>
      <name val="Arial"/>
      <family val="2"/>
      <charset val="1"/>
    </font>
    <font>
      <b/>
      <sz val="12"/>
      <color rgb="FFFF9900"/>
      <name val="Arial"/>
      <family val="2"/>
      <charset val="1"/>
    </font>
    <font>
      <b/>
      <sz val="12"/>
      <color rgb="FFFF6600"/>
      <name val="Arial"/>
      <family val="2"/>
      <charset val="1"/>
    </font>
    <font>
      <b/>
      <sz val="12"/>
      <color rgb="FF99CC00"/>
      <name val="Arial"/>
      <family val="2"/>
      <charset val="1"/>
    </font>
    <font>
      <b/>
      <sz val="12"/>
      <color rgb="FF993366"/>
      <name val="Arial"/>
      <family val="2"/>
      <charset val="1"/>
    </font>
    <font>
      <b/>
      <sz val="9"/>
      <color rgb="FF000000"/>
      <name val="Arial"/>
      <family val="2"/>
      <charset val="1"/>
    </font>
    <font>
      <sz val="12"/>
      <color rgb="FF000000"/>
      <name val="Arial"/>
      <family val="2"/>
      <charset val="1"/>
    </font>
    <font>
      <sz val="12"/>
      <color rgb="FFFF9900"/>
      <name val="Arial"/>
      <family val="2"/>
      <charset val="1"/>
    </font>
    <font>
      <b/>
      <sz val="11"/>
      <color rgb="FF0000FF"/>
      <name val="Arial"/>
      <family val="2"/>
      <charset val="1"/>
    </font>
    <font>
      <b/>
      <sz val="10"/>
      <color rgb="FF0000FF"/>
      <name val="Arial"/>
      <family val="2"/>
      <charset val="1"/>
    </font>
    <font>
      <b/>
      <sz val="11"/>
      <color rgb="FF800000"/>
      <name val="Arial"/>
      <family val="2"/>
      <charset val="1"/>
    </font>
    <font>
      <b/>
      <sz val="11"/>
      <color rgb="FF008000"/>
      <name val="Arial"/>
      <family val="2"/>
      <charset val="1"/>
    </font>
    <font>
      <b/>
      <sz val="11"/>
      <color rgb="FF993300"/>
      <name val="Arial"/>
      <family val="2"/>
      <charset val="1"/>
    </font>
    <font>
      <b/>
      <sz val="11"/>
      <color rgb="FF993366"/>
      <name val="Arial"/>
      <family val="2"/>
      <charset val="1"/>
    </font>
    <font>
      <b/>
      <sz val="11"/>
      <color rgb="FF800080"/>
      <name val="Arial"/>
      <family val="2"/>
      <charset val="1"/>
    </font>
    <font>
      <b/>
      <sz val="12"/>
      <color rgb="FFFF0000"/>
      <name val="Calibri"/>
      <family val="2"/>
      <charset val="1"/>
    </font>
    <font>
      <b/>
      <sz val="14"/>
      <color rgb="FF000000"/>
      <name val="Arial"/>
      <family val="2"/>
      <charset val="1"/>
    </font>
    <font>
      <b/>
      <sz val="11"/>
      <color rgb="FF434343"/>
      <name val="Arial"/>
      <family val="2"/>
      <charset val="1"/>
    </font>
    <font>
      <u/>
      <sz val="8"/>
      <color rgb="FF000000"/>
      <name val="Arial"/>
      <family val="2"/>
      <charset val="1"/>
    </font>
    <font>
      <sz val="10"/>
      <color rgb="FF000000"/>
      <name val="Arial"/>
      <family val="2"/>
      <charset val="1"/>
    </font>
    <font>
      <sz val="12"/>
      <color rgb="FFFF0000"/>
      <name val="Arial"/>
      <family val="2"/>
      <charset val="1"/>
    </font>
    <font>
      <sz val="12"/>
      <color rgb="FF0000FF"/>
      <name val="Arial"/>
      <family val="2"/>
      <charset val="1"/>
    </font>
    <font>
      <u/>
      <sz val="8"/>
      <color rgb="FF0000FF"/>
      <name val="Arial"/>
      <family val="2"/>
      <charset val="1"/>
    </font>
    <font>
      <b/>
      <sz val="10"/>
      <color rgb="FFFF0000"/>
      <name val="Arial"/>
      <family val="2"/>
      <charset val="1"/>
    </font>
    <font>
      <sz val="11"/>
      <color rgb="FFFF0000"/>
      <name val="Calibri"/>
      <family val="2"/>
      <charset val="1"/>
    </font>
    <font>
      <b/>
      <sz val="16"/>
      <color rgb="FF000000"/>
      <name val="Arial"/>
      <family val="2"/>
      <charset val="1"/>
    </font>
    <font>
      <b/>
      <i/>
      <sz val="10"/>
      <color rgb="FF000000"/>
      <name val="Arial"/>
      <family val="2"/>
      <charset val="1"/>
    </font>
    <font>
      <sz val="11"/>
      <color rgb="FF0000FF"/>
      <name val="Arial"/>
      <family val="2"/>
      <charset val="1"/>
    </font>
    <font>
      <sz val="12"/>
      <color rgb="FF000000"/>
      <name val="Calibri"/>
      <family val="2"/>
      <charset val="1"/>
    </font>
    <font>
      <b/>
      <sz val="11"/>
      <color rgb="FF000000"/>
      <name val="Calibri"/>
      <family val="2"/>
      <charset val="1"/>
    </font>
    <font>
      <b/>
      <sz val="11"/>
      <name val="Calibri"/>
      <family val="2"/>
      <charset val="1"/>
    </font>
    <font>
      <b/>
      <sz val="11"/>
      <color rgb="FFFFFFFF"/>
      <name val="Calibri"/>
      <family val="2"/>
      <charset val="1"/>
    </font>
    <font>
      <b/>
      <sz val="11"/>
      <color rgb="FFFFFFFF"/>
      <name val="Arial"/>
      <family val="2"/>
      <charset val="1"/>
    </font>
    <font>
      <sz val="11"/>
      <color rgb="FFFFFFFF"/>
      <name val="Calibri"/>
      <family val="2"/>
      <charset val="1"/>
    </font>
    <font>
      <sz val="14"/>
      <color rgb="FF000000"/>
      <name val="Times New Roman"/>
      <family val="1"/>
      <charset val="1"/>
    </font>
    <font>
      <sz val="9"/>
      <color rgb="FF000000"/>
      <name val="Calibri"/>
      <family val="2"/>
      <charset val="1"/>
    </font>
    <font>
      <b/>
      <sz val="12"/>
      <color rgb="FF000000"/>
      <name val="Times New Roman"/>
      <family val="1"/>
      <charset val="1"/>
    </font>
    <font>
      <sz val="12"/>
      <color rgb="FF000000"/>
      <name val="Times New Roman"/>
      <family val="1"/>
      <charset val="1"/>
    </font>
    <font>
      <sz val="10"/>
      <name val="Arial"/>
      <family val="2"/>
    </font>
    <font>
      <sz val="9"/>
      <color rgb="FF000000"/>
      <name val="Tahoma"/>
      <family val="2"/>
      <charset val="1"/>
    </font>
    <font>
      <sz val="11"/>
      <color rgb="FFFF0000"/>
      <name val="Arial"/>
      <family val="2"/>
      <charset val="1"/>
    </font>
    <font>
      <b/>
      <sz val="14"/>
      <color rgb="FFFFFFFF"/>
      <name val="Calibri"/>
      <family val="2"/>
      <charset val="1"/>
    </font>
    <font>
      <b/>
      <sz val="12"/>
      <color rgb="FF000000"/>
      <name val="Calibri"/>
      <family val="2"/>
      <charset val="1"/>
    </font>
    <font>
      <b/>
      <sz val="9"/>
      <color rgb="FF000000"/>
      <name val="Calibri"/>
      <family val="2"/>
      <charset val="1"/>
    </font>
    <font>
      <sz val="10"/>
      <color rgb="FF000000"/>
      <name val="Roboto"/>
      <charset val="1"/>
    </font>
    <font>
      <sz val="8"/>
      <color rgb="FF000000"/>
      <name val="Calibri"/>
      <family val="2"/>
      <charset val="1"/>
    </font>
    <font>
      <sz val="13"/>
      <color rgb="FF000000"/>
      <name val="Calibri"/>
      <family val="2"/>
      <charset val="1"/>
    </font>
    <font>
      <vertAlign val="superscript"/>
      <sz val="13"/>
      <color rgb="FF000000"/>
      <name val="Calibri"/>
      <family val="2"/>
      <charset val="1"/>
    </font>
    <font>
      <sz val="13"/>
      <color rgb="FF000000"/>
      <name val="Arial"/>
      <family val="2"/>
      <charset val="1"/>
    </font>
    <font>
      <b/>
      <sz val="13"/>
      <color rgb="FFFF0000"/>
      <name val="Arial"/>
      <family val="2"/>
      <charset val="1"/>
    </font>
    <font>
      <sz val="13"/>
      <color rgb="FFFF0000"/>
      <name val="Arial"/>
      <family val="2"/>
      <charset val="1"/>
    </font>
    <font>
      <sz val="9"/>
      <color rgb="FF000000"/>
      <name val="Tahoma"/>
      <charset val="1"/>
    </font>
    <font>
      <b/>
      <sz val="18"/>
      <color rgb="FFFFFFFF"/>
      <name val="Calibri"/>
      <family val="2"/>
      <charset val="1"/>
    </font>
    <font>
      <b/>
      <sz val="10"/>
      <color rgb="FFFFFFFF"/>
      <name val="Calibri"/>
      <family val="2"/>
      <charset val="1"/>
    </font>
    <font>
      <b/>
      <u/>
      <sz val="10"/>
      <color rgb="FF0000FF"/>
      <name val="Times New Roman"/>
      <family val="1"/>
      <charset val="1"/>
    </font>
    <font>
      <b/>
      <u/>
      <sz val="11"/>
      <color rgb="FF000000"/>
      <name val="Calibri"/>
      <family val="2"/>
      <charset val="1"/>
    </font>
    <font>
      <u/>
      <sz val="11"/>
      <color rgb="FF0000FF"/>
      <name val="Calibri"/>
      <family val="2"/>
      <charset val="1"/>
    </font>
    <font>
      <b/>
      <u/>
      <sz val="11"/>
      <color rgb="FF0000FF"/>
      <name val="Times New Roman"/>
      <family val="1"/>
      <charset val="1"/>
    </font>
    <font>
      <b/>
      <u/>
      <sz val="11"/>
      <color rgb="FF0000FF"/>
      <name val="Calibri"/>
      <family val="2"/>
      <charset val="1"/>
    </font>
    <font>
      <b/>
      <sz val="10"/>
      <color rgb="FF000000"/>
      <name val="Times New Roman"/>
      <family val="1"/>
      <charset val="1"/>
    </font>
    <font>
      <b/>
      <sz val="11"/>
      <color rgb="FF000000"/>
      <name val="Times New Roman"/>
      <family val="1"/>
      <charset val="1"/>
    </font>
    <font>
      <b/>
      <u/>
      <sz val="11"/>
      <color rgb="FFFF0000"/>
      <name val="Calibri"/>
      <family val="2"/>
      <charset val="1"/>
    </font>
    <font>
      <sz val="11"/>
      <color rgb="FF00B0F0"/>
      <name val="Arial"/>
      <family val="2"/>
      <charset val="1"/>
    </font>
    <font>
      <sz val="10"/>
      <color rgb="FF000000"/>
      <name val="Calibri"/>
      <family val="2"/>
      <charset val="1"/>
    </font>
    <font>
      <sz val="11"/>
      <color rgb="FF980000"/>
      <name val="Calibri"/>
      <family val="2"/>
      <charset val="1"/>
    </font>
    <font>
      <b/>
      <sz val="12"/>
      <color rgb="FF00FF00"/>
      <name val="Calibri"/>
      <family val="2"/>
      <charset val="1"/>
    </font>
    <font>
      <sz val="11"/>
      <color rgb="FF000000"/>
      <name val="Segoe UI"/>
      <family val="2"/>
      <charset val="1"/>
    </font>
    <font>
      <sz val="11"/>
      <color rgb="FF000000"/>
      <name val="Roboto"/>
      <charset val="1"/>
    </font>
    <font>
      <sz val="11"/>
      <color rgb="FF000000"/>
      <name val="Inconsolata"/>
      <charset val="1"/>
    </font>
    <font>
      <sz val="11"/>
      <color rgb="FFD9EAD3"/>
      <name val="Arial"/>
      <family val="2"/>
      <charset val="1"/>
    </font>
    <font>
      <sz val="11"/>
      <color rgb="FF4F81BD"/>
      <name val="Arial"/>
      <family val="2"/>
      <charset val="1"/>
    </font>
    <font>
      <sz val="10"/>
      <color rgb="FF000000"/>
      <name val="Times New Roman"/>
      <family val="1"/>
      <charset val="1"/>
    </font>
    <font>
      <b/>
      <sz val="11"/>
      <color rgb="FF990000"/>
      <name val="Calibri"/>
      <family val="2"/>
      <charset val="1"/>
    </font>
    <font>
      <b/>
      <sz val="11"/>
      <color rgb="FF800000"/>
      <name val="Calibri"/>
      <family val="2"/>
      <charset val="1"/>
    </font>
    <font>
      <b/>
      <sz val="12"/>
      <color rgb="FFFFFFFF"/>
      <name val="Calibri"/>
      <family val="2"/>
      <charset val="1"/>
    </font>
    <font>
      <b/>
      <sz val="11"/>
      <color rgb="FF00FF00"/>
      <name val="Arial"/>
      <family val="2"/>
      <charset val="1"/>
    </font>
  </fonts>
  <fills count="52">
    <fill>
      <patternFill patternType="none"/>
    </fill>
    <fill>
      <patternFill patternType="gray125"/>
    </fill>
    <fill>
      <patternFill patternType="solid">
        <fgColor rgb="FFFFFFFF"/>
        <bgColor rgb="FFF3F3F3"/>
      </patternFill>
    </fill>
    <fill>
      <patternFill patternType="solid">
        <fgColor rgb="FFC0C0C0"/>
        <bgColor rgb="FFB9B7B5"/>
      </patternFill>
    </fill>
    <fill>
      <patternFill patternType="solid">
        <fgColor rgb="FF99CCFF"/>
        <bgColor rgb="FF9FC5E8"/>
      </patternFill>
    </fill>
    <fill>
      <patternFill patternType="solid">
        <fgColor rgb="FFCC99FF"/>
        <bgColor rgb="FFB4A7D6"/>
      </patternFill>
    </fill>
    <fill>
      <patternFill patternType="solid">
        <fgColor rgb="FFCCFFCC"/>
        <bgColor rgb="FFD9EAD3"/>
      </patternFill>
    </fill>
    <fill>
      <patternFill patternType="solid">
        <fgColor rgb="FFFFFF00"/>
        <bgColor rgb="FFFFFF6D"/>
      </patternFill>
    </fill>
    <fill>
      <patternFill patternType="solid">
        <fgColor rgb="FFFF6600"/>
        <bgColor rgb="FFFF9903"/>
      </patternFill>
    </fill>
    <fill>
      <patternFill patternType="solid">
        <fgColor rgb="FF00FF00"/>
        <bgColor rgb="FF00FFFF"/>
      </patternFill>
    </fill>
    <fill>
      <patternFill patternType="solid">
        <fgColor rgb="FF00C7FF"/>
        <bgColor rgb="FF00FFFF"/>
      </patternFill>
    </fill>
    <fill>
      <patternFill patternType="solid">
        <fgColor rgb="FFFFCC99"/>
        <bgColor rgb="FFFAC090"/>
      </patternFill>
    </fill>
    <fill>
      <patternFill patternType="solid">
        <fgColor rgb="FFFF99CC"/>
        <bgColor rgb="FFCC99FF"/>
      </patternFill>
    </fill>
    <fill>
      <patternFill patternType="solid">
        <fgColor theme="9" tint="0.59987182226020086"/>
        <bgColor rgb="FFFFCC99"/>
      </patternFill>
    </fill>
    <fill>
      <patternFill patternType="solid">
        <fgColor rgb="FF968A96"/>
        <bgColor rgb="FFB4A7D6"/>
      </patternFill>
    </fill>
    <fill>
      <patternFill patternType="solid">
        <fgColor rgb="FF94B3DD"/>
        <bgColor rgb="FF9FC5E8"/>
      </patternFill>
    </fill>
    <fill>
      <patternFill patternType="solid">
        <fgColor rgb="FF50A7D0"/>
        <bgColor rgb="FF4483C2"/>
      </patternFill>
    </fill>
    <fill>
      <patternFill patternType="solid">
        <fgColor rgb="FFD8D8D8"/>
        <bgColor rgb="FFD9D9D9"/>
      </patternFill>
    </fill>
    <fill>
      <patternFill patternType="solid">
        <fgColor rgb="FFD9D9D9"/>
        <bgColor rgb="FFD8D8D8"/>
      </patternFill>
    </fill>
    <fill>
      <patternFill patternType="solid">
        <fgColor rgb="FFDBEEF3"/>
        <bgColor rgb="FFDBE5F1"/>
      </patternFill>
    </fill>
    <fill>
      <patternFill patternType="solid">
        <fgColor rgb="FFB7E0CA"/>
        <bgColor rgb="FFD3E4C1"/>
      </patternFill>
    </fill>
    <fill>
      <patternFill patternType="darkGray">
        <fgColor rgb="FFB9B7B5"/>
        <bgColor rgb="FFC0C0C0"/>
      </patternFill>
    </fill>
    <fill>
      <patternFill patternType="solid">
        <fgColor rgb="FF026B02"/>
        <bgColor rgb="FF35403E"/>
      </patternFill>
    </fill>
    <fill>
      <patternFill patternType="solid">
        <fgColor rgb="FFA5C3F4"/>
        <bgColor rgb="FF9FC5E8"/>
      </patternFill>
    </fill>
    <fill>
      <patternFill patternType="solid">
        <fgColor rgb="FF9FC5E8"/>
        <bgColor rgb="FFA5C3F4"/>
      </patternFill>
    </fill>
    <fill>
      <patternFill patternType="solid">
        <fgColor rgb="FFD4EA6B"/>
        <bgColor rgb="FFFFD966"/>
      </patternFill>
    </fill>
    <fill>
      <patternFill patternType="darkGray">
        <fgColor rgb="FFA8C22E"/>
        <bgColor rgb="FFAFBE6D"/>
      </patternFill>
    </fill>
    <fill>
      <patternFill patternType="solid">
        <fgColor rgb="FFF1C232"/>
        <bgColor rgb="FFFFD966"/>
      </patternFill>
    </fill>
    <fill>
      <patternFill patternType="solid">
        <fgColor rgb="FFFF0000"/>
        <bgColor rgb="FFA83422"/>
      </patternFill>
    </fill>
    <fill>
      <patternFill patternType="solid">
        <fgColor rgb="FFF2D1DC"/>
        <bgColor rgb="FFFCD5B5"/>
      </patternFill>
    </fill>
    <fill>
      <patternFill patternType="solid">
        <fgColor rgb="FFFFFF6D"/>
        <bgColor rgb="FFD4EA6B"/>
      </patternFill>
    </fill>
    <fill>
      <patternFill patternType="solid">
        <fgColor rgb="FFD9EAD3"/>
        <bgColor rgb="FFD3E4C1"/>
      </patternFill>
    </fill>
    <fill>
      <patternFill patternType="solid">
        <fgColor rgb="FFFAC090"/>
        <bgColor rgb="FFFFCC99"/>
      </patternFill>
    </fill>
    <fill>
      <patternFill patternType="solid">
        <fgColor rgb="FF00FFFF"/>
        <bgColor rgb="FF00C7FF"/>
      </patternFill>
    </fill>
    <fill>
      <patternFill patternType="solid">
        <fgColor rgb="FFB9B7B5"/>
        <bgColor rgb="FFC0C0C0"/>
      </patternFill>
    </fill>
    <fill>
      <patternFill patternType="solid">
        <fgColor rgb="FFEAF1DD"/>
        <bgColor rgb="FFEEECE1"/>
      </patternFill>
    </fill>
    <fill>
      <patternFill patternType="solid">
        <fgColor rgb="FFFFD966"/>
        <bgColor rgb="FFFFCC99"/>
      </patternFill>
    </fill>
    <fill>
      <patternFill patternType="solid">
        <fgColor rgb="FFAFBE6D"/>
        <bgColor rgb="FFA8C22E"/>
      </patternFill>
    </fill>
    <fill>
      <patternFill patternType="solid">
        <fgColor rgb="FFB4A7D6"/>
        <bgColor rgb="FFB9B7B5"/>
      </patternFill>
    </fill>
    <fill>
      <patternFill patternType="solid">
        <fgColor rgb="FF0000FF"/>
        <bgColor rgb="FF2727C2"/>
      </patternFill>
    </fill>
    <fill>
      <patternFill patternType="solid">
        <fgColor rgb="FF2727C2"/>
        <bgColor rgb="FF351C75"/>
      </patternFill>
    </fill>
    <fill>
      <patternFill patternType="solid">
        <fgColor rgb="FFDBE5F1"/>
        <bgColor rgb="FFDBEEF3"/>
      </patternFill>
    </fill>
    <fill>
      <patternFill patternType="solid">
        <fgColor rgb="FF0F243E"/>
        <bgColor rgb="FF1A1A1A"/>
      </patternFill>
    </fill>
    <fill>
      <patternFill patternType="solid">
        <fgColor rgb="FFEEECE1"/>
        <bgColor rgb="FFEAF1DD"/>
      </patternFill>
    </fill>
    <fill>
      <patternFill patternType="solid">
        <fgColor rgb="FFDDD9C3"/>
        <bgColor rgb="FFD8D8D8"/>
      </patternFill>
    </fill>
    <fill>
      <patternFill patternType="solid">
        <fgColor rgb="FFEFEFEF"/>
        <bgColor rgb="FFF3F3F3"/>
      </patternFill>
    </fill>
    <fill>
      <patternFill patternType="solid">
        <fgColor rgb="FFF3F3F3"/>
        <bgColor rgb="FFEFEFEF"/>
      </patternFill>
    </fill>
    <fill>
      <patternFill patternType="solid">
        <fgColor rgb="FF351C75"/>
        <bgColor rgb="FF2727C2"/>
      </patternFill>
    </fill>
    <fill>
      <patternFill patternType="solid">
        <fgColor rgb="FFCFE2F3"/>
        <bgColor rgb="FFDBE5F1"/>
      </patternFill>
    </fill>
    <fill>
      <patternFill patternType="solid">
        <fgColor rgb="FFD3E4C1"/>
        <bgColor rgb="FFD9EAD3"/>
      </patternFill>
    </fill>
    <fill>
      <patternFill patternType="solid">
        <fgColor rgb="FF35403E"/>
        <bgColor rgb="FF0F243E"/>
      </patternFill>
    </fill>
    <fill>
      <patternFill patternType="solid">
        <fgColor rgb="FF186092"/>
        <bgColor rgb="FF4483C2"/>
      </patternFill>
    </fill>
  </fills>
  <borders count="71">
    <border>
      <left/>
      <right/>
      <top/>
      <bottom/>
      <diagonal/>
    </border>
    <border>
      <left style="medium">
        <color auto="1"/>
      </left>
      <right/>
      <top style="medium">
        <color auto="1"/>
      </top>
      <bottom style="medium">
        <color auto="1"/>
      </bottom>
      <diagonal/>
    </border>
    <border>
      <left style="medium">
        <color auto="1"/>
      </left>
      <right style="medium">
        <color auto="1"/>
      </right>
      <top style="medium">
        <color auto="1"/>
      </top>
      <bottom style="medium">
        <color auto="1"/>
      </bottom>
      <diagonal/>
    </border>
    <border>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right style="thin">
        <color auto="1"/>
      </right>
      <top style="medium">
        <color auto="1"/>
      </top>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thin">
        <color auto="1"/>
      </left>
      <right/>
      <top style="medium">
        <color auto="1"/>
      </top>
      <bottom/>
      <diagonal/>
    </border>
    <border>
      <left style="medium">
        <color auto="1"/>
      </left>
      <right style="thin">
        <color auto="1"/>
      </right>
      <top style="medium">
        <color auto="1"/>
      </top>
      <bottom style="thin">
        <color auto="1"/>
      </bottom>
      <diagonal/>
    </border>
    <border>
      <left/>
      <right style="thin">
        <color auto="1"/>
      </right>
      <top style="medium">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thin">
        <color auto="1"/>
      </left>
      <right/>
      <top/>
      <bottom style="thin">
        <color auto="1"/>
      </bottom>
      <diagonal/>
    </border>
    <border>
      <left style="medium">
        <color auto="1"/>
      </left>
      <right style="medium">
        <color auto="1"/>
      </right>
      <top style="medium">
        <color auto="1"/>
      </top>
      <bottom style="thin">
        <color auto="1"/>
      </bottom>
      <diagonal/>
    </border>
    <border>
      <left/>
      <right/>
      <top/>
      <bottom style="thin">
        <color auto="1"/>
      </bottom>
      <diagonal/>
    </border>
    <border>
      <left style="thin">
        <color auto="1"/>
      </left>
      <right style="medium">
        <color auto="1"/>
      </right>
      <top style="thin">
        <color auto="1"/>
      </top>
      <bottom style="thin">
        <color auto="1"/>
      </bottom>
      <diagonal/>
    </border>
    <border>
      <left style="thin">
        <color auto="1"/>
      </left>
      <right/>
      <top style="thin">
        <color auto="1"/>
      </top>
      <bottom style="thin">
        <color auto="1"/>
      </bottom>
      <diagonal/>
    </border>
    <border>
      <left style="medium">
        <color auto="1"/>
      </left>
      <right style="medium">
        <color auto="1"/>
      </right>
      <top style="thin">
        <color auto="1"/>
      </top>
      <bottom style="thin">
        <color auto="1"/>
      </bottom>
      <diagonal/>
    </border>
    <border>
      <left style="medium">
        <color auto="1"/>
      </left>
      <right/>
      <top/>
      <bottom/>
      <diagonal/>
    </border>
    <border>
      <left style="thin">
        <color auto="1"/>
      </left>
      <right style="thin">
        <color auto="1"/>
      </right>
      <top/>
      <bottom/>
      <diagonal/>
    </border>
    <border>
      <left style="thin">
        <color auto="1"/>
      </left>
      <right style="medium">
        <color auto="1"/>
      </right>
      <top/>
      <bottom/>
      <diagonal/>
    </border>
    <border>
      <left style="thin">
        <color auto="1"/>
      </left>
      <right/>
      <top/>
      <bottom/>
      <diagonal/>
    </border>
    <border>
      <left style="medium">
        <color auto="1"/>
      </left>
      <right/>
      <top style="thin">
        <color auto="1"/>
      </top>
      <bottom style="thin">
        <color auto="1"/>
      </bottom>
      <diagonal/>
    </border>
    <border>
      <left/>
      <right/>
      <top style="thin">
        <color auto="1"/>
      </top>
      <bottom style="thin">
        <color auto="1"/>
      </bottom>
      <diagonal/>
    </border>
    <border>
      <left style="thin">
        <color auto="1"/>
      </left>
      <right style="medium">
        <color auto="1"/>
      </right>
      <top style="thin">
        <color auto="1"/>
      </top>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top style="thin">
        <color auto="1"/>
      </top>
      <bottom style="medium">
        <color auto="1"/>
      </bottom>
      <diagonal/>
    </border>
    <border>
      <left style="thin">
        <color auto="1"/>
      </left>
      <right/>
      <top style="thin">
        <color auto="1"/>
      </top>
      <bottom/>
      <diagonal/>
    </border>
    <border>
      <left style="medium">
        <color auto="1"/>
      </left>
      <right style="medium">
        <color auto="1"/>
      </right>
      <top style="thin">
        <color auto="1"/>
      </top>
      <bottom style="medium">
        <color auto="1"/>
      </bottom>
      <diagonal/>
    </border>
    <border>
      <left/>
      <right/>
      <top style="thin">
        <color auto="1"/>
      </top>
      <bottom style="medium">
        <color auto="1"/>
      </bottom>
      <diagonal/>
    </border>
    <border>
      <left style="medium">
        <color auto="1"/>
      </left>
      <right style="thin">
        <color auto="1"/>
      </right>
      <top/>
      <bottom style="medium">
        <color auto="1"/>
      </bottom>
      <diagonal/>
    </border>
    <border>
      <left style="thin">
        <color auto="1"/>
      </left>
      <right style="thin">
        <color auto="1"/>
      </right>
      <top/>
      <bottom style="medium">
        <color auto="1"/>
      </bottom>
      <diagonal/>
    </border>
    <border>
      <left style="thin">
        <color auto="1"/>
      </left>
      <right style="medium">
        <color auto="1"/>
      </right>
      <top/>
      <bottom style="medium">
        <color auto="1"/>
      </bottom>
      <diagonal/>
    </border>
    <border>
      <left/>
      <right style="thin">
        <color auto="1"/>
      </right>
      <top/>
      <bottom style="medium">
        <color auto="1"/>
      </bottom>
      <diagonal/>
    </border>
    <border>
      <left style="thin">
        <color auto="1"/>
      </left>
      <right/>
      <top/>
      <bottom style="medium">
        <color auto="1"/>
      </bottom>
      <diagonal/>
    </border>
    <border>
      <left/>
      <right/>
      <top/>
      <bottom style="medium">
        <color auto="1"/>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right style="thin">
        <color auto="1"/>
      </right>
      <top/>
      <bottom style="thin">
        <color auto="1"/>
      </bottom>
      <diagonal/>
    </border>
    <border>
      <left/>
      <right style="medium">
        <color auto="1"/>
      </right>
      <top style="medium">
        <color auto="1"/>
      </top>
      <bottom style="thin">
        <color auto="1"/>
      </bottom>
      <diagonal/>
    </border>
    <border>
      <left style="medium">
        <color auto="1"/>
      </left>
      <right style="thin">
        <color auto="1"/>
      </right>
      <top style="thin">
        <color auto="1"/>
      </top>
      <bottom/>
      <diagonal/>
    </border>
    <border>
      <left style="medium">
        <color auto="1"/>
      </left>
      <right style="thin">
        <color auto="1"/>
      </right>
      <top/>
      <bottom/>
      <diagonal/>
    </border>
    <border>
      <left style="medium">
        <color auto="1"/>
      </left>
      <right style="thin">
        <color auto="1"/>
      </right>
      <top/>
      <bottom style="thin">
        <color auto="1"/>
      </bottom>
      <diagonal/>
    </border>
    <border>
      <left style="medium">
        <color auto="1"/>
      </left>
      <right/>
      <top style="thin">
        <color auto="1"/>
      </top>
      <bottom style="medium">
        <color auto="1"/>
      </bottom>
      <diagonal/>
    </border>
    <border>
      <left/>
      <right style="thin">
        <color auto="1"/>
      </right>
      <top/>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diagonal/>
    </border>
    <border>
      <left style="thick">
        <color auto="1"/>
      </left>
      <right style="thick">
        <color auto="1"/>
      </right>
      <top style="thick">
        <color auto="1"/>
      </top>
      <bottom style="thick">
        <color auto="1"/>
      </bottom>
      <diagonal/>
    </border>
    <border>
      <left style="thick">
        <color auto="1"/>
      </left>
      <right style="thin">
        <color auto="1"/>
      </right>
      <top style="thick">
        <color auto="1"/>
      </top>
      <bottom style="thin">
        <color auto="1"/>
      </bottom>
      <diagonal/>
    </border>
    <border>
      <left style="thin">
        <color auto="1"/>
      </left>
      <right style="thick">
        <color auto="1"/>
      </right>
      <top style="thick">
        <color auto="1"/>
      </top>
      <bottom style="thin">
        <color auto="1"/>
      </bottom>
      <diagonal/>
    </border>
    <border>
      <left style="thick">
        <color auto="1"/>
      </left>
      <right style="thin">
        <color auto="1"/>
      </right>
      <top style="thin">
        <color auto="1"/>
      </top>
      <bottom style="thin">
        <color auto="1"/>
      </bottom>
      <diagonal/>
    </border>
    <border>
      <left style="thin">
        <color auto="1"/>
      </left>
      <right style="thick">
        <color auto="1"/>
      </right>
      <top style="thin">
        <color auto="1"/>
      </top>
      <bottom style="thin">
        <color auto="1"/>
      </bottom>
      <diagonal/>
    </border>
    <border>
      <left style="thick">
        <color auto="1"/>
      </left>
      <right style="thin">
        <color auto="1"/>
      </right>
      <top style="thin">
        <color auto="1"/>
      </top>
      <bottom style="thick">
        <color auto="1"/>
      </bottom>
      <diagonal/>
    </border>
    <border>
      <left style="thin">
        <color auto="1"/>
      </left>
      <right style="thick">
        <color auto="1"/>
      </right>
      <top style="thin">
        <color auto="1"/>
      </top>
      <bottom style="thick">
        <color auto="1"/>
      </bottom>
      <diagonal/>
    </border>
    <border>
      <left style="thick">
        <color auto="1"/>
      </left>
      <right style="thick">
        <color auto="1"/>
      </right>
      <top style="thick">
        <color auto="1"/>
      </top>
      <bottom style="thin">
        <color auto="1"/>
      </bottom>
      <diagonal/>
    </border>
    <border>
      <left style="thin">
        <color auto="1"/>
      </left>
      <right style="thin">
        <color auto="1"/>
      </right>
      <top style="thin">
        <color auto="1"/>
      </top>
      <bottom style="thick">
        <color auto="1"/>
      </bottom>
      <diagonal/>
    </border>
    <border>
      <left style="medium">
        <color auto="1"/>
      </left>
      <right style="thin">
        <color auto="1"/>
      </right>
      <top style="medium">
        <color auto="1"/>
      </top>
      <bottom style="medium">
        <color auto="1"/>
      </bottom>
      <diagonal/>
    </border>
    <border>
      <left style="medium">
        <color auto="1"/>
      </left>
      <right/>
      <top/>
      <bottom style="medium">
        <color auto="1"/>
      </bottom>
      <diagonal/>
    </border>
    <border>
      <left/>
      <right style="medium">
        <color auto="1"/>
      </right>
      <top/>
      <bottom style="medium">
        <color auto="1"/>
      </bottom>
      <diagonal/>
    </border>
  </borders>
  <cellStyleXfs count="8">
    <xf numFmtId="0" fontId="0" fillId="0" borderId="0"/>
    <xf numFmtId="0" fontId="1" fillId="0" borderId="0" applyBorder="0" applyProtection="0"/>
    <xf numFmtId="0" fontId="1" fillId="0" borderId="0" applyBorder="0" applyProtection="0"/>
    <xf numFmtId="0" fontId="1" fillId="0" borderId="0" applyBorder="0" applyProtection="0">
      <alignment horizontal="left"/>
    </xf>
    <xf numFmtId="0" fontId="1" fillId="0" borderId="0"/>
    <xf numFmtId="0" fontId="2" fillId="0" borderId="0" applyBorder="0" applyProtection="0"/>
    <xf numFmtId="0" fontId="2" fillId="0" borderId="0" applyBorder="0" applyProtection="0">
      <alignment horizontal="left"/>
    </xf>
    <xf numFmtId="0" fontId="1" fillId="0" borderId="0" applyBorder="0" applyProtection="0"/>
  </cellStyleXfs>
  <cellXfs count="632">
    <xf numFmtId="0" fontId="0" fillId="0" borderId="0" xfId="0"/>
    <xf numFmtId="0" fontId="20" fillId="2" borderId="8" xfId="0" applyFont="1" applyFill="1" applyBorder="1" applyAlignment="1">
      <alignment horizontal="center" vertical="center" wrapText="1"/>
    </xf>
    <xf numFmtId="0" fontId="2" fillId="2" borderId="8" xfId="0" applyFont="1" applyFill="1" applyBorder="1" applyAlignment="1">
      <alignment horizontal="center" vertical="center" wrapText="1"/>
    </xf>
    <xf numFmtId="0" fontId="2" fillId="3" borderId="7" xfId="0" applyFont="1" applyFill="1" applyBorder="1" applyAlignment="1">
      <alignment horizontal="center" vertical="center" wrapText="1"/>
    </xf>
    <xf numFmtId="0" fontId="14" fillId="0" borderId="6" xfId="0" applyFont="1" applyBorder="1" applyAlignment="1">
      <alignment horizontal="center" vertical="center"/>
    </xf>
    <xf numFmtId="0" fontId="19" fillId="0" borderId="6" xfId="0" applyFont="1" applyBorder="1" applyAlignment="1">
      <alignment horizontal="center" vertical="center"/>
    </xf>
    <xf numFmtId="0" fontId="16" fillId="0" borderId="5" xfId="0" applyFont="1" applyBorder="1" applyAlignment="1">
      <alignment horizontal="center" vertical="center"/>
    </xf>
    <xf numFmtId="0" fontId="13" fillId="0" borderId="5" xfId="0" applyFont="1" applyBorder="1" applyAlignment="1">
      <alignment horizontal="center" vertical="center"/>
    </xf>
    <xf numFmtId="0" fontId="18" fillId="0" borderId="5" xfId="0" applyFont="1" applyBorder="1" applyAlignment="1">
      <alignment horizontal="center" vertical="center"/>
    </xf>
    <xf numFmtId="0" fontId="17" fillId="0" borderId="3" xfId="0" applyFont="1" applyBorder="1" applyAlignment="1">
      <alignment horizontal="center" vertical="center"/>
    </xf>
    <xf numFmtId="0" fontId="16" fillId="0" borderId="2" xfId="0" applyFont="1" applyBorder="1" applyAlignment="1">
      <alignment horizontal="left" vertical="center"/>
    </xf>
    <xf numFmtId="0" fontId="15" fillId="0" borderId="4" xfId="0" applyFont="1" applyBorder="1" applyAlignment="1">
      <alignment horizontal="left" vertical="center"/>
    </xf>
    <xf numFmtId="0" fontId="14" fillId="0" borderId="3" xfId="0" applyFont="1" applyBorder="1" applyAlignment="1">
      <alignment horizontal="left"/>
    </xf>
    <xf numFmtId="0" fontId="13" fillId="0" borderId="2" xfId="0" applyFont="1" applyBorder="1" applyAlignment="1">
      <alignment horizontal="center" vertical="center"/>
    </xf>
    <xf numFmtId="0" fontId="9" fillId="0" borderId="0" xfId="0" applyFont="1" applyAlignment="1">
      <alignment horizontal="left"/>
    </xf>
    <xf numFmtId="0" fontId="3" fillId="0" borderId="0" xfId="0" applyFont="1"/>
    <xf numFmtId="0" fontId="4" fillId="0" borderId="0" xfId="0" applyFont="1"/>
    <xf numFmtId="0" fontId="4" fillId="2" borderId="0" xfId="0" applyFont="1" applyFill="1"/>
    <xf numFmtId="0" fontId="0" fillId="0" borderId="0" xfId="0" applyAlignment="1">
      <alignment horizontal="center" vertical="center"/>
    </xf>
    <xf numFmtId="0" fontId="5" fillId="0" borderId="0" xfId="0" applyFont="1"/>
    <xf numFmtId="0" fontId="6" fillId="0" borderId="0" xfId="0" applyFont="1"/>
    <xf numFmtId="0" fontId="7" fillId="0" borderId="0" xfId="0" applyFont="1"/>
    <xf numFmtId="0" fontId="8" fillId="0" borderId="0" xfId="0" applyFont="1"/>
    <xf numFmtId="0" fontId="9" fillId="2" borderId="0" xfId="0" applyFont="1" applyFill="1" applyAlignment="1">
      <alignment horizontal="center"/>
    </xf>
    <xf numFmtId="0" fontId="9" fillId="0" borderId="0" xfId="0" applyFont="1" applyAlignment="1">
      <alignment horizontal="center"/>
    </xf>
    <xf numFmtId="0" fontId="10" fillId="0" borderId="0" xfId="0" applyFont="1" applyAlignment="1">
      <alignment horizontal="center"/>
    </xf>
    <xf numFmtId="0" fontId="11" fillId="0" borderId="0" xfId="0" applyFont="1" applyAlignment="1">
      <alignment horizontal="center"/>
    </xf>
    <xf numFmtId="0" fontId="11" fillId="0" borderId="0" xfId="0" applyFont="1"/>
    <xf numFmtId="0" fontId="12" fillId="0" borderId="1" xfId="0" applyFont="1" applyBorder="1" applyAlignment="1">
      <alignment horizontal="left"/>
    </xf>
    <xf numFmtId="0" fontId="9" fillId="0" borderId="10" xfId="0" applyFont="1" applyBorder="1" applyAlignment="1">
      <alignment horizontal="left"/>
    </xf>
    <xf numFmtId="0" fontId="13" fillId="0" borderId="11" xfId="0" applyFont="1" applyBorder="1" applyAlignment="1">
      <alignment horizontal="center" vertical="center"/>
    </xf>
    <xf numFmtId="0" fontId="13" fillId="2" borderId="11" xfId="0" applyFont="1" applyFill="1" applyBorder="1" applyAlignment="1">
      <alignment horizontal="center" vertical="center"/>
    </xf>
    <xf numFmtId="0" fontId="4" fillId="0" borderId="12" xfId="0" applyFont="1" applyBorder="1" applyAlignment="1">
      <alignment horizontal="center"/>
    </xf>
    <xf numFmtId="0" fontId="14" fillId="0" borderId="11" xfId="0" applyFont="1" applyBorder="1" applyAlignment="1">
      <alignment horizontal="left"/>
    </xf>
    <xf numFmtId="0" fontId="21" fillId="0" borderId="11" xfId="0" applyFont="1" applyBorder="1" applyAlignment="1">
      <alignment horizontal="left"/>
    </xf>
    <xf numFmtId="0" fontId="21" fillId="0" borderId="7" xfId="0" applyFont="1" applyBorder="1" applyAlignment="1">
      <alignment horizontal="left"/>
    </xf>
    <xf numFmtId="0" fontId="15" fillId="0" borderId="13" xfId="0" applyFont="1" applyBorder="1" applyAlignment="1">
      <alignment horizontal="left" vertical="center"/>
    </xf>
    <xf numFmtId="0" fontId="15" fillId="0" borderId="11" xfId="0" applyFont="1" applyBorder="1" applyAlignment="1">
      <alignment horizontal="left" vertical="center"/>
    </xf>
    <xf numFmtId="0" fontId="21" fillId="0" borderId="11" xfId="0" applyFont="1" applyBorder="1"/>
    <xf numFmtId="0" fontId="16" fillId="0" borderId="11" xfId="0" applyFont="1" applyBorder="1" applyAlignment="1">
      <alignment horizontal="left" vertical="center"/>
    </xf>
    <xf numFmtId="0" fontId="22" fillId="0" borderId="11" xfId="0" applyFont="1" applyBorder="1"/>
    <xf numFmtId="0" fontId="17" fillId="0" borderId="11" xfId="0" applyFont="1" applyBorder="1" applyAlignment="1">
      <alignment horizontal="center" vertical="center"/>
    </xf>
    <xf numFmtId="0" fontId="17" fillId="0" borderId="7" xfId="0" applyFont="1" applyBorder="1" applyAlignment="1">
      <alignment horizontal="center" vertical="center"/>
    </xf>
    <xf numFmtId="0" fontId="18" fillId="0" borderId="13" xfId="0" applyFont="1" applyBorder="1" applyAlignment="1">
      <alignment horizontal="center" vertical="center"/>
    </xf>
    <xf numFmtId="0" fontId="18" fillId="0" borderId="11" xfId="0" applyFont="1" applyBorder="1" applyAlignment="1">
      <alignment horizontal="center" vertical="center"/>
    </xf>
    <xf numFmtId="0" fontId="18" fillId="0" borderId="7" xfId="0" applyFont="1" applyBorder="1" applyAlignment="1">
      <alignment horizontal="center" vertical="center"/>
    </xf>
    <xf numFmtId="0" fontId="13" fillId="0" borderId="13" xfId="0" applyFont="1" applyBorder="1" applyAlignment="1">
      <alignment horizontal="center" vertical="center"/>
    </xf>
    <xf numFmtId="0" fontId="13" fillId="0" borderId="7" xfId="0" applyFont="1" applyBorder="1" applyAlignment="1">
      <alignment horizontal="center" vertical="center"/>
    </xf>
    <xf numFmtId="0" fontId="10" fillId="0" borderId="13" xfId="0" applyFont="1" applyBorder="1" applyAlignment="1">
      <alignment horizontal="center" vertical="center"/>
    </xf>
    <xf numFmtId="0" fontId="16" fillId="0" borderId="11" xfId="0" applyFont="1" applyBorder="1" applyAlignment="1">
      <alignment horizontal="center" vertical="center"/>
    </xf>
    <xf numFmtId="0" fontId="16" fillId="0" borderId="7" xfId="0" applyFont="1" applyBorder="1" applyAlignment="1">
      <alignment horizontal="center" vertical="center"/>
    </xf>
    <xf numFmtId="0" fontId="19" fillId="0" borderId="13" xfId="0" applyFont="1" applyBorder="1" applyAlignment="1">
      <alignment horizontal="center" vertical="center"/>
    </xf>
    <xf numFmtId="0" fontId="19" fillId="0" borderId="11" xfId="0" applyFont="1" applyBorder="1" applyAlignment="1">
      <alignment horizontal="center" vertical="center"/>
    </xf>
    <xf numFmtId="0" fontId="14" fillId="0" borderId="13" xfId="0" applyFont="1" applyBorder="1" applyAlignment="1">
      <alignment horizontal="center" vertical="center"/>
    </xf>
    <xf numFmtId="0" fontId="14" fillId="0" borderId="11" xfId="0" applyFont="1" applyBorder="1" applyAlignment="1">
      <alignment horizontal="center" vertical="center"/>
    </xf>
    <xf numFmtId="0" fontId="30" fillId="0" borderId="0" xfId="0" applyFont="1" applyAlignment="1">
      <alignment horizontal="center"/>
    </xf>
    <xf numFmtId="0" fontId="0" fillId="0" borderId="16" xfId="0" applyBorder="1"/>
    <xf numFmtId="0" fontId="0" fillId="0" borderId="17" xfId="0" applyBorder="1" applyAlignment="1">
      <alignment horizontal="center" vertical="center"/>
    </xf>
    <xf numFmtId="0" fontId="0" fillId="2" borderId="17" xfId="0" applyFill="1" applyBorder="1" applyAlignment="1">
      <alignment horizontal="center" vertical="center"/>
    </xf>
    <xf numFmtId="0" fontId="2" fillId="0" borderId="18" xfId="0" applyFont="1" applyBorder="1"/>
    <xf numFmtId="0" fontId="2" fillId="0" borderId="17" xfId="0" applyFont="1" applyBorder="1" applyAlignment="1">
      <alignment horizontal="center"/>
    </xf>
    <xf numFmtId="0" fontId="2" fillId="0" borderId="17" xfId="0" applyFont="1" applyBorder="1" applyAlignment="1">
      <alignment horizontal="center" vertical="center"/>
    </xf>
    <xf numFmtId="0" fontId="2" fillId="0" borderId="19" xfId="0" applyFont="1" applyBorder="1" applyAlignment="1">
      <alignment horizontal="center"/>
    </xf>
    <xf numFmtId="0" fontId="2" fillId="0" borderId="20" xfId="0" applyFont="1" applyBorder="1" applyAlignment="1">
      <alignment horizontal="center"/>
    </xf>
    <xf numFmtId="0" fontId="9" fillId="0" borderId="21" xfId="0" applyFont="1" applyBorder="1" applyAlignment="1">
      <alignment horizontal="center"/>
    </xf>
    <xf numFmtId="0" fontId="9" fillId="0" borderId="19" xfId="0" applyFont="1" applyBorder="1" applyAlignment="1">
      <alignment horizontal="center"/>
    </xf>
    <xf numFmtId="0" fontId="9" fillId="0" borderId="22" xfId="0" applyFont="1" applyBorder="1" applyAlignment="1">
      <alignment horizontal="center"/>
    </xf>
    <xf numFmtId="0" fontId="31" fillId="0" borderId="0" xfId="0" applyFont="1" applyAlignment="1">
      <alignment horizontal="right"/>
    </xf>
    <xf numFmtId="0" fontId="9" fillId="0" borderId="0" xfId="0" applyFont="1" applyAlignment="1">
      <alignment horizontal="right" vertical="top" wrapText="1"/>
    </xf>
    <xf numFmtId="0" fontId="2" fillId="0" borderId="16" xfId="0" applyFont="1" applyBorder="1" applyAlignment="1">
      <alignment horizontal="center"/>
    </xf>
    <xf numFmtId="0" fontId="2" fillId="0" borderId="23" xfId="0" applyFont="1" applyBorder="1" applyAlignment="1">
      <alignment horizontal="center"/>
    </xf>
    <xf numFmtId="0" fontId="32" fillId="0" borderId="24" xfId="0" applyFont="1" applyBorder="1" applyAlignment="1">
      <alignment horizontal="center"/>
    </xf>
    <xf numFmtId="0" fontId="2" fillId="0" borderId="24" xfId="0" applyFont="1" applyBorder="1" applyAlignment="1">
      <alignment horizontal="center"/>
    </xf>
    <xf numFmtId="0" fontId="0" fillId="0" borderId="16" xfId="0" applyBorder="1" applyAlignment="1">
      <alignment wrapText="1"/>
    </xf>
    <xf numFmtId="0" fontId="0" fillId="13" borderId="16" xfId="0" applyFill="1" applyBorder="1" applyAlignment="1">
      <alignment wrapText="1"/>
    </xf>
    <xf numFmtId="0" fontId="0" fillId="7" borderId="16" xfId="0" applyFill="1" applyBorder="1" applyAlignment="1">
      <alignment wrapText="1"/>
    </xf>
    <xf numFmtId="0" fontId="2" fillId="0" borderId="22" xfId="0" applyFont="1" applyBorder="1"/>
    <xf numFmtId="0" fontId="2" fillId="3" borderId="25" xfId="0" applyFont="1" applyFill="1" applyBorder="1" applyAlignment="1">
      <alignment horizontal="left"/>
    </xf>
    <xf numFmtId="0" fontId="2" fillId="4" borderId="16" xfId="0" applyFont="1" applyFill="1" applyBorder="1" applyAlignment="1">
      <alignment horizontal="center" vertical="center" wrapText="1"/>
    </xf>
    <xf numFmtId="0" fontId="2" fillId="4" borderId="26" xfId="0" applyFont="1" applyFill="1" applyBorder="1" applyAlignment="1">
      <alignment horizontal="center"/>
    </xf>
    <xf numFmtId="0" fontId="2" fillId="4" borderId="26" xfId="0" applyFont="1" applyFill="1" applyBorder="1" applyAlignment="1">
      <alignment horizontal="center" vertical="center"/>
    </xf>
    <xf numFmtId="0" fontId="2" fillId="4" borderId="27" xfId="0" applyFont="1" applyFill="1" applyBorder="1"/>
    <xf numFmtId="0" fontId="2" fillId="5" borderId="28" xfId="0" applyFont="1" applyFill="1" applyBorder="1" applyAlignment="1">
      <alignment horizontal="center"/>
    </xf>
    <xf numFmtId="0" fontId="2" fillId="6" borderId="23" xfId="0" applyFont="1" applyFill="1" applyBorder="1" applyAlignment="1">
      <alignment horizontal="center"/>
    </xf>
    <xf numFmtId="0" fontId="2" fillId="7" borderId="23" xfId="0" applyFont="1" applyFill="1" applyBorder="1" applyAlignment="1">
      <alignment horizontal="center"/>
    </xf>
    <xf numFmtId="0" fontId="2" fillId="8" borderId="23" xfId="0" applyFont="1" applyFill="1" applyBorder="1" applyAlignment="1">
      <alignment horizontal="center"/>
    </xf>
    <xf numFmtId="0" fontId="2" fillId="9" borderId="23" xfId="0" applyFont="1" applyFill="1" applyBorder="1" applyAlignment="1">
      <alignment horizontal="center"/>
    </xf>
    <xf numFmtId="0" fontId="2" fillId="10" borderId="23" xfId="0" applyFont="1" applyFill="1" applyBorder="1" applyAlignment="1">
      <alignment horizontal="center"/>
    </xf>
    <xf numFmtId="0" fontId="2" fillId="11" borderId="23" xfId="0" applyFont="1" applyFill="1" applyBorder="1" applyAlignment="1">
      <alignment horizontal="center"/>
    </xf>
    <xf numFmtId="0" fontId="2" fillId="12" borderId="23" xfId="0" applyFont="1" applyFill="1" applyBorder="1" applyAlignment="1">
      <alignment horizontal="center"/>
    </xf>
    <xf numFmtId="0" fontId="2" fillId="3" borderId="24" xfId="0" applyFont="1" applyFill="1" applyBorder="1" applyAlignment="1">
      <alignment horizontal="center"/>
    </xf>
    <xf numFmtId="0" fontId="31" fillId="2" borderId="0" xfId="0" applyFont="1" applyFill="1" applyAlignment="1">
      <alignment horizontal="right"/>
    </xf>
    <xf numFmtId="0" fontId="0" fillId="0" borderId="29" xfId="0" applyBorder="1"/>
    <xf numFmtId="0" fontId="2" fillId="14" borderId="30" xfId="0" applyFont="1" applyFill="1" applyBorder="1" applyAlignment="1">
      <alignment horizontal="center"/>
    </xf>
    <xf numFmtId="0" fontId="2" fillId="14" borderId="23" xfId="0" applyFont="1" applyFill="1" applyBorder="1" applyAlignment="1">
      <alignment horizontal="center"/>
    </xf>
    <xf numFmtId="0" fontId="2" fillId="14" borderId="31" xfId="0" applyFont="1" applyFill="1" applyBorder="1" applyAlignment="1">
      <alignment horizontal="center"/>
    </xf>
    <xf numFmtId="0" fontId="2" fillId="0" borderId="29" xfId="0" applyFont="1" applyBorder="1" applyAlignment="1">
      <alignment horizontal="center"/>
    </xf>
    <xf numFmtId="0" fontId="33" fillId="14" borderId="32" xfId="0" applyFont="1" applyFill="1" applyBorder="1" applyAlignment="1">
      <alignment horizontal="center"/>
    </xf>
    <xf numFmtId="0" fontId="8" fillId="14" borderId="16" xfId="0" applyFont="1" applyFill="1" applyBorder="1" applyAlignment="1">
      <alignment horizontal="center"/>
    </xf>
    <xf numFmtId="0" fontId="2" fillId="14" borderId="22" xfId="0" applyFont="1" applyFill="1" applyBorder="1" applyAlignment="1">
      <alignment horizontal="center"/>
    </xf>
    <xf numFmtId="0" fontId="0" fillId="14" borderId="30" xfId="0" applyFill="1" applyBorder="1" applyAlignment="1">
      <alignment horizontal="center"/>
    </xf>
    <xf numFmtId="0" fontId="2" fillId="3" borderId="33" xfId="0" applyFont="1" applyFill="1" applyBorder="1" applyAlignment="1">
      <alignment horizontal="left"/>
    </xf>
    <xf numFmtId="0" fontId="2" fillId="4" borderId="34" xfId="0" applyFont="1" applyFill="1" applyBorder="1" applyAlignment="1">
      <alignment horizontal="center" vertical="center"/>
    </xf>
    <xf numFmtId="0" fontId="2" fillId="4" borderId="35" xfId="0" applyFont="1" applyFill="1" applyBorder="1" applyAlignment="1">
      <alignment horizontal="center" vertical="center"/>
    </xf>
    <xf numFmtId="0" fontId="2" fillId="4" borderId="35" xfId="0" applyFont="1" applyFill="1" applyBorder="1" applyAlignment="1">
      <alignment horizontal="center"/>
    </xf>
    <xf numFmtId="0" fontId="2" fillId="4" borderId="36" xfId="0" applyFont="1" applyFill="1" applyBorder="1"/>
    <xf numFmtId="0" fontId="2" fillId="5" borderId="34" xfId="0" applyFont="1" applyFill="1" applyBorder="1" applyAlignment="1">
      <alignment horizontal="center"/>
    </xf>
    <xf numFmtId="0" fontId="2" fillId="5" borderId="35" xfId="0" applyFont="1" applyFill="1" applyBorder="1" applyAlignment="1">
      <alignment horizontal="center"/>
    </xf>
    <xf numFmtId="0" fontId="2" fillId="6" borderId="35" xfId="0" applyFont="1" applyFill="1" applyBorder="1" applyAlignment="1">
      <alignment horizontal="center"/>
    </xf>
    <xf numFmtId="0" fontId="2" fillId="6" borderId="37" xfId="0" applyFont="1" applyFill="1" applyBorder="1" applyAlignment="1">
      <alignment horizontal="center"/>
    </xf>
    <xf numFmtId="0" fontId="2" fillId="7" borderId="37" xfId="0" applyFont="1" applyFill="1" applyBorder="1" applyAlignment="1">
      <alignment horizontal="center"/>
    </xf>
    <xf numFmtId="0" fontId="2" fillId="8" borderId="37" xfId="0" applyFont="1" applyFill="1" applyBorder="1" applyAlignment="1">
      <alignment horizontal="center"/>
    </xf>
    <xf numFmtId="0" fontId="2" fillId="9" borderId="37" xfId="0" applyFont="1" applyFill="1" applyBorder="1" applyAlignment="1">
      <alignment horizontal="center"/>
    </xf>
    <xf numFmtId="0" fontId="2" fillId="10" borderId="37" xfId="0" applyFont="1" applyFill="1" applyBorder="1" applyAlignment="1">
      <alignment horizontal="center"/>
    </xf>
    <xf numFmtId="0" fontId="2" fillId="11" borderId="38" xfId="0" applyFont="1" applyFill="1" applyBorder="1" applyAlignment="1">
      <alignment horizontal="center"/>
    </xf>
    <xf numFmtId="0" fontId="2" fillId="12" borderId="37" xfId="0" applyFont="1" applyFill="1" applyBorder="1" applyAlignment="1">
      <alignment horizontal="center"/>
    </xf>
    <xf numFmtId="0" fontId="2" fillId="5" borderId="37" xfId="0" applyFont="1" applyFill="1" applyBorder="1" applyAlignment="1">
      <alignment horizontal="center"/>
    </xf>
    <xf numFmtId="0" fontId="2" fillId="3" borderId="39" xfId="0" applyFont="1" applyFill="1" applyBorder="1" applyAlignment="1">
      <alignment horizontal="center"/>
    </xf>
    <xf numFmtId="0" fontId="2" fillId="14" borderId="40" xfId="0" applyFont="1" applyFill="1" applyBorder="1" applyAlignment="1">
      <alignment horizontal="center"/>
    </xf>
    <xf numFmtId="0" fontId="2" fillId="14" borderId="37" xfId="0" applyFont="1" applyFill="1" applyBorder="1" applyAlignment="1">
      <alignment horizontal="center"/>
    </xf>
    <xf numFmtId="0" fontId="2" fillId="14" borderId="36" xfId="0" applyFont="1" applyFill="1" applyBorder="1" applyAlignment="1">
      <alignment horizontal="center"/>
    </xf>
    <xf numFmtId="0" fontId="9" fillId="3" borderId="41" xfId="0" applyFont="1" applyFill="1" applyBorder="1" applyAlignment="1">
      <alignment horizontal="left"/>
    </xf>
    <xf numFmtId="0" fontId="9" fillId="4" borderId="42" xfId="0" applyFont="1" applyFill="1" applyBorder="1" applyAlignment="1">
      <alignment horizontal="center" vertical="center"/>
    </xf>
    <xf numFmtId="0" fontId="9" fillId="15" borderId="42" xfId="0" applyFont="1" applyFill="1" applyBorder="1" applyAlignment="1">
      <alignment horizontal="center" vertical="center"/>
    </xf>
    <xf numFmtId="0" fontId="9" fillId="4" borderId="42" xfId="0" applyFont="1" applyFill="1" applyBorder="1" applyAlignment="1">
      <alignment horizontal="center"/>
    </xf>
    <xf numFmtId="0" fontId="9" fillId="4" borderId="43" xfId="0" applyFont="1" applyFill="1" applyBorder="1"/>
    <xf numFmtId="0" fontId="9" fillId="5" borderId="44" xfId="0" applyFont="1" applyFill="1" applyBorder="1" applyAlignment="1">
      <alignment horizontal="center"/>
    </xf>
    <xf numFmtId="0" fontId="9" fillId="5" borderId="42" xfId="0" applyFont="1" applyFill="1" applyBorder="1" applyAlignment="1">
      <alignment horizontal="center"/>
    </xf>
    <xf numFmtId="0" fontId="9" fillId="6" borderId="42" xfId="0" applyFont="1" applyFill="1" applyBorder="1" applyAlignment="1">
      <alignment horizontal="center"/>
    </xf>
    <xf numFmtId="0" fontId="9" fillId="6" borderId="45" xfId="0" applyFont="1" applyFill="1" applyBorder="1" applyAlignment="1">
      <alignment horizontal="center"/>
    </xf>
    <xf numFmtId="0" fontId="9" fillId="7" borderId="45" xfId="0" applyFont="1" applyFill="1" applyBorder="1" applyAlignment="1">
      <alignment horizontal="center"/>
    </xf>
    <xf numFmtId="0" fontId="9" fillId="7" borderId="2" xfId="0" applyFont="1" applyFill="1" applyBorder="1" applyAlignment="1">
      <alignment horizontal="center"/>
    </xf>
    <xf numFmtId="0" fontId="9" fillId="7" borderId="42" xfId="0" applyFont="1" applyFill="1" applyBorder="1" applyAlignment="1">
      <alignment horizontal="center"/>
    </xf>
    <xf numFmtId="0" fontId="9" fillId="7" borderId="46" xfId="0" applyFont="1" applyFill="1" applyBorder="1" applyAlignment="1">
      <alignment horizontal="center"/>
    </xf>
    <xf numFmtId="0" fontId="9" fillId="8" borderId="45" xfId="0" applyFont="1" applyFill="1" applyBorder="1" applyAlignment="1">
      <alignment horizontal="center"/>
    </xf>
    <xf numFmtId="0" fontId="9" fillId="9" borderId="45" xfId="0" applyFont="1" applyFill="1" applyBorder="1" applyAlignment="1">
      <alignment horizontal="center"/>
    </xf>
    <xf numFmtId="0" fontId="9" fillId="10" borderId="45" xfId="0" applyFont="1" applyFill="1" applyBorder="1" applyAlignment="1">
      <alignment horizontal="center"/>
    </xf>
    <xf numFmtId="0" fontId="9" fillId="11" borderId="1" xfId="0" applyFont="1" applyFill="1" applyBorder="1" applyAlignment="1">
      <alignment horizontal="center"/>
    </xf>
    <xf numFmtId="0" fontId="9" fillId="11" borderId="4" xfId="0" applyFont="1" applyFill="1" applyBorder="1" applyAlignment="1">
      <alignment horizontal="center"/>
    </xf>
    <xf numFmtId="0" fontId="9" fillId="11" borderId="6" xfId="0" applyFont="1" applyFill="1" applyBorder="1" applyAlignment="1">
      <alignment horizontal="center"/>
    </xf>
    <xf numFmtId="0" fontId="9" fillId="12" borderId="37" xfId="0" applyFont="1" applyFill="1" applyBorder="1" applyAlignment="1">
      <alignment horizontal="center"/>
    </xf>
    <xf numFmtId="0" fontId="9" fillId="12" borderId="45" xfId="0" applyFont="1" applyFill="1" applyBorder="1" applyAlignment="1">
      <alignment horizontal="center"/>
    </xf>
    <xf numFmtId="0" fontId="9" fillId="5" borderId="45" xfId="0" applyFont="1" applyFill="1" applyBorder="1" applyAlignment="1">
      <alignment horizontal="center"/>
    </xf>
    <xf numFmtId="0" fontId="9" fillId="14" borderId="42" xfId="0" applyFont="1" applyFill="1" applyBorder="1" applyAlignment="1">
      <alignment horizontal="center"/>
    </xf>
    <xf numFmtId="0" fontId="9" fillId="14" borderId="46" xfId="0" applyFont="1" applyFill="1" applyBorder="1" applyAlignment="1">
      <alignment horizontal="center"/>
    </xf>
    <xf numFmtId="0" fontId="9" fillId="14" borderId="45" xfId="0" applyFont="1" applyFill="1" applyBorder="1" applyAlignment="1">
      <alignment horizontal="center"/>
    </xf>
    <xf numFmtId="0" fontId="9" fillId="14" borderId="43" xfId="0" applyFont="1" applyFill="1" applyBorder="1" applyAlignment="1">
      <alignment horizontal="center"/>
    </xf>
    <xf numFmtId="0" fontId="34" fillId="0" borderId="0" xfId="0" applyFont="1" applyAlignment="1">
      <alignment wrapText="1"/>
    </xf>
    <xf numFmtId="0" fontId="35" fillId="0" borderId="0" xfId="0" applyFont="1"/>
    <xf numFmtId="0" fontId="36" fillId="0" borderId="0" xfId="0" applyFont="1"/>
    <xf numFmtId="0" fontId="35" fillId="0" borderId="0" xfId="0" applyFont="1" applyAlignment="1">
      <alignment horizontal="center"/>
    </xf>
    <xf numFmtId="0" fontId="36" fillId="2" borderId="0" xfId="0" applyFont="1" applyFill="1"/>
    <xf numFmtId="0" fontId="36" fillId="0" borderId="0" xfId="0" applyFont="1" applyAlignment="1">
      <alignment horizontal="center" vertical="center"/>
    </xf>
    <xf numFmtId="0" fontId="5" fillId="0" borderId="0" xfId="0" applyFont="1" applyAlignment="1">
      <alignment horizontal="center"/>
    </xf>
    <xf numFmtId="0" fontId="34" fillId="0" borderId="0" xfId="0" applyFont="1"/>
    <xf numFmtId="0" fontId="37" fillId="0" borderId="0" xfId="0" applyFont="1"/>
    <xf numFmtId="0" fontId="34" fillId="0" borderId="0" xfId="0" applyFont="1" applyAlignment="1">
      <alignment horizontal="center"/>
    </xf>
    <xf numFmtId="0" fontId="38" fillId="0" borderId="0" xfId="0" applyFont="1"/>
    <xf numFmtId="0" fontId="39" fillId="0" borderId="0" xfId="0" applyFont="1"/>
    <xf numFmtId="0" fontId="35" fillId="2" borderId="0" xfId="0" applyFont="1" applyFill="1"/>
    <xf numFmtId="0" fontId="40" fillId="0" borderId="0" xfId="0" applyFont="1"/>
    <xf numFmtId="0" fontId="9" fillId="0" borderId="0" xfId="0" applyFont="1" applyAlignment="1">
      <alignment horizontal="right"/>
    </xf>
    <xf numFmtId="0" fontId="21" fillId="0" borderId="0" xfId="0" applyFont="1"/>
    <xf numFmtId="0" fontId="39" fillId="2" borderId="0" xfId="0" applyFont="1" applyFill="1"/>
    <xf numFmtId="0" fontId="4" fillId="0" borderId="0" xfId="0" applyFont="1" applyAlignment="1">
      <alignment horizontal="center" vertical="center"/>
    </xf>
    <xf numFmtId="0" fontId="42" fillId="0" borderId="0" xfId="0" applyFont="1"/>
    <xf numFmtId="0" fontId="9" fillId="16" borderId="16" xfId="0" applyFont="1" applyFill="1" applyBorder="1"/>
    <xf numFmtId="0" fontId="9" fillId="16" borderId="16" xfId="0" applyFont="1" applyFill="1" applyBorder="1" applyAlignment="1">
      <alignment horizontal="center" vertical="center"/>
    </xf>
    <xf numFmtId="0" fontId="9" fillId="17" borderId="16" xfId="0" applyFont="1" applyFill="1" applyBorder="1"/>
    <xf numFmtId="0" fontId="43" fillId="0" borderId="16" xfId="0" applyFont="1" applyBorder="1" applyAlignment="1">
      <alignment horizontal="center" vertical="center"/>
    </xf>
    <xf numFmtId="0" fontId="44" fillId="0" borderId="0" xfId="0" applyFont="1"/>
    <xf numFmtId="0" fontId="4" fillId="18" borderId="47" xfId="0" applyFont="1" applyFill="1" applyBorder="1"/>
    <xf numFmtId="0" fontId="4" fillId="18" borderId="26" xfId="0" applyFont="1" applyFill="1" applyBorder="1"/>
    <xf numFmtId="0" fontId="4" fillId="18" borderId="17" xfId="0" applyFont="1" applyFill="1" applyBorder="1"/>
    <xf numFmtId="0" fontId="0" fillId="2" borderId="0" xfId="0" applyFill="1"/>
    <xf numFmtId="0" fontId="44" fillId="19" borderId="16" xfId="0" applyFont="1" applyFill="1" applyBorder="1" applyAlignment="1">
      <alignment vertical="top"/>
    </xf>
    <xf numFmtId="0" fontId="44" fillId="20" borderId="48" xfId="0" applyFont="1" applyFill="1" applyBorder="1" applyAlignment="1">
      <alignment horizontal="center"/>
    </xf>
    <xf numFmtId="0" fontId="4" fillId="0" borderId="17" xfId="0" applyFont="1" applyBorder="1" applyAlignment="1">
      <alignment vertical="top"/>
    </xf>
    <xf numFmtId="0" fontId="44" fillId="0" borderId="49" xfId="0" applyFont="1" applyBorder="1" applyAlignment="1">
      <alignment horizontal="center" vertical="top"/>
    </xf>
    <xf numFmtId="0" fontId="0" fillId="0" borderId="17" xfId="0" applyBorder="1"/>
    <xf numFmtId="0" fontId="2" fillId="0" borderId="49" xfId="0" applyFont="1" applyBorder="1" applyAlignment="1">
      <alignment horizontal="center"/>
    </xf>
    <xf numFmtId="0" fontId="1" fillId="0" borderId="10" xfId="2" applyBorder="1"/>
    <xf numFmtId="0" fontId="1" fillId="0" borderId="7" xfId="2" applyBorder="1"/>
    <xf numFmtId="0" fontId="1" fillId="0" borderId="8" xfId="1" applyBorder="1"/>
    <xf numFmtId="0" fontId="1" fillId="0" borderId="50" xfId="2" applyBorder="1"/>
    <xf numFmtId="0" fontId="1" fillId="0" borderId="32" xfId="1" applyBorder="1"/>
    <xf numFmtId="0" fontId="1" fillId="0" borderId="16" xfId="1" applyBorder="1"/>
    <xf numFmtId="0" fontId="1" fillId="0" borderId="19" xfId="3" applyBorder="1">
      <alignment horizontal="left"/>
    </xf>
    <xf numFmtId="0" fontId="2" fillId="0" borderId="22" xfId="6" applyBorder="1">
      <alignment horizontal="left"/>
    </xf>
    <xf numFmtId="0" fontId="1" fillId="0" borderId="51" xfId="3" applyBorder="1" applyAlignment="1">
      <alignment horizontal="left" indent="1"/>
    </xf>
    <xf numFmtId="0" fontId="1" fillId="0" borderId="47" xfId="3" applyBorder="1">
      <alignment horizontal="left"/>
    </xf>
    <xf numFmtId="0" fontId="1" fillId="0" borderId="47" xfId="7" applyBorder="1"/>
    <xf numFmtId="0" fontId="2" fillId="0" borderId="31" xfId="5" applyBorder="1"/>
    <xf numFmtId="0" fontId="1" fillId="0" borderId="52" xfId="3" applyBorder="1">
      <alignment horizontal="left"/>
    </xf>
    <xf numFmtId="0" fontId="1" fillId="0" borderId="26" xfId="3" applyBorder="1">
      <alignment horizontal="left"/>
    </xf>
    <xf numFmtId="0" fontId="1" fillId="0" borderId="26" xfId="7" applyBorder="1"/>
    <xf numFmtId="0" fontId="2" fillId="0" borderId="27" xfId="5" applyBorder="1"/>
    <xf numFmtId="0" fontId="1" fillId="0" borderId="53" xfId="3" applyBorder="1">
      <alignment horizontal="left"/>
    </xf>
    <xf numFmtId="0" fontId="1" fillId="0" borderId="17" xfId="3" applyBorder="1">
      <alignment horizontal="left"/>
    </xf>
    <xf numFmtId="0" fontId="1" fillId="0" borderId="17" xfId="7" applyBorder="1"/>
    <xf numFmtId="0" fontId="2" fillId="0" borderId="18" xfId="5" applyBorder="1"/>
    <xf numFmtId="0" fontId="2" fillId="0" borderId="29" xfId="6" applyBorder="1">
      <alignment horizontal="left"/>
    </xf>
    <xf numFmtId="0" fontId="2" fillId="0" borderId="48" xfId="6" applyBorder="1">
      <alignment horizontal="left"/>
    </xf>
    <xf numFmtId="0" fontId="2" fillId="0" borderId="0" xfId="5"/>
    <xf numFmtId="0" fontId="2" fillId="0" borderId="22" xfId="5" applyBorder="1"/>
    <xf numFmtId="0" fontId="2" fillId="0" borderId="54" xfId="6" applyBorder="1">
      <alignment horizontal="left"/>
    </xf>
    <xf numFmtId="0" fontId="2" fillId="0" borderId="34" xfId="6" applyBorder="1">
      <alignment horizontal="left"/>
    </xf>
    <xf numFmtId="0" fontId="2" fillId="0" borderId="35" xfId="5" applyBorder="1"/>
    <xf numFmtId="0" fontId="2" fillId="0" borderId="36" xfId="5" applyBorder="1"/>
    <xf numFmtId="0" fontId="0" fillId="0" borderId="0" xfId="0" applyAlignment="1">
      <alignment horizontal="center" vertical="top"/>
    </xf>
    <xf numFmtId="0" fontId="46" fillId="22" borderId="16" xfId="0" applyFont="1" applyFill="1" applyBorder="1" applyAlignment="1">
      <alignment horizontal="center" vertical="center" wrapText="1"/>
    </xf>
    <xf numFmtId="0" fontId="0" fillId="18" borderId="0" xfId="0" applyFill="1" applyAlignment="1">
      <alignment horizontal="center"/>
    </xf>
    <xf numFmtId="0" fontId="46" fillId="22" borderId="16" xfId="0" applyFont="1" applyFill="1" applyBorder="1" applyAlignment="1">
      <alignment horizontal="center" vertical="center"/>
    </xf>
    <xf numFmtId="0" fontId="4" fillId="23" borderId="16" xfId="0" applyFont="1" applyFill="1" applyBorder="1" applyAlignment="1">
      <alignment horizontal="center" vertical="center" wrapText="1"/>
    </xf>
    <xf numFmtId="0" fontId="4" fillId="23" borderId="16" xfId="0" applyFont="1" applyFill="1" applyBorder="1" applyAlignment="1">
      <alignment horizontal="center" vertical="top"/>
    </xf>
    <xf numFmtId="0" fontId="4" fillId="23" borderId="16" xfId="0" applyFont="1" applyFill="1" applyBorder="1" applyAlignment="1">
      <alignment horizontal="center" vertical="center"/>
    </xf>
    <xf numFmtId="0" fontId="4" fillId="24" borderId="16" xfId="0" applyFont="1" applyFill="1" applyBorder="1" applyAlignment="1">
      <alignment horizontal="center" vertical="center" wrapText="1"/>
    </xf>
    <xf numFmtId="0" fontId="0" fillId="18" borderId="16" xfId="0" applyFill="1" applyBorder="1" applyAlignment="1">
      <alignment horizontal="center"/>
    </xf>
    <xf numFmtId="0" fontId="4" fillId="24" borderId="16" xfId="0" applyFont="1" applyFill="1" applyBorder="1" applyAlignment="1">
      <alignment horizontal="center" vertical="center"/>
    </xf>
    <xf numFmtId="0" fontId="4" fillId="24" borderId="16" xfId="0" applyFont="1" applyFill="1" applyBorder="1" applyAlignment="1">
      <alignment horizontal="center" vertical="top"/>
    </xf>
    <xf numFmtId="0" fontId="4" fillId="23" borderId="0" xfId="0" applyFont="1" applyFill="1" applyAlignment="1">
      <alignment horizontal="center" vertical="center" wrapText="1"/>
    </xf>
    <xf numFmtId="0" fontId="4" fillId="23" borderId="48" xfId="0" applyFont="1" applyFill="1" applyBorder="1" applyAlignment="1">
      <alignment horizontal="center" vertical="center" wrapText="1"/>
    </xf>
    <xf numFmtId="0" fontId="4" fillId="25" borderId="16" xfId="0" applyFont="1" applyFill="1" applyBorder="1" applyAlignment="1">
      <alignment horizontal="center" vertical="center" wrapText="1"/>
    </xf>
    <xf numFmtId="0" fontId="0" fillId="0" borderId="0" xfId="0" applyAlignment="1">
      <alignment horizontal="center"/>
    </xf>
    <xf numFmtId="0" fontId="4" fillId="25" borderId="48" xfId="0" applyFont="1" applyFill="1" applyBorder="1" applyAlignment="1">
      <alignment horizontal="center" vertical="center" wrapText="1"/>
    </xf>
    <xf numFmtId="0" fontId="4" fillId="25" borderId="16" xfId="0" applyFont="1" applyFill="1" applyBorder="1" applyAlignment="1">
      <alignment horizontal="center" vertical="top"/>
    </xf>
    <xf numFmtId="0" fontId="46" fillId="22" borderId="0" xfId="0" applyFont="1" applyFill="1" applyAlignment="1">
      <alignment horizontal="center" vertical="center"/>
    </xf>
    <xf numFmtId="0" fontId="4" fillId="26" borderId="16" xfId="0" applyFont="1" applyFill="1" applyBorder="1" applyAlignment="1">
      <alignment horizontal="left" vertical="center"/>
    </xf>
    <xf numFmtId="0" fontId="4" fillId="26" borderId="0" xfId="0" applyFont="1" applyFill="1" applyAlignment="1">
      <alignment horizontal="center" vertical="center" wrapText="1"/>
    </xf>
    <xf numFmtId="0" fontId="4" fillId="26" borderId="16" xfId="0" applyFont="1" applyFill="1" applyBorder="1" applyAlignment="1">
      <alignment horizontal="center" vertical="center" wrapText="1"/>
    </xf>
    <xf numFmtId="0" fontId="4" fillId="26" borderId="48" xfId="0" applyFont="1" applyFill="1" applyBorder="1" applyAlignment="1">
      <alignment horizontal="center" vertical="center" wrapText="1"/>
    </xf>
    <xf numFmtId="0" fontId="4" fillId="26" borderId="16" xfId="0" applyFont="1" applyFill="1" applyBorder="1" applyAlignment="1">
      <alignment horizontal="center" vertical="top"/>
    </xf>
    <xf numFmtId="0" fontId="4" fillId="27" borderId="16" xfId="0" applyFont="1" applyFill="1" applyBorder="1" applyAlignment="1">
      <alignment horizontal="center" vertical="center" wrapText="1"/>
    </xf>
    <xf numFmtId="0" fontId="4" fillId="27" borderId="16" xfId="0" applyFont="1" applyFill="1" applyBorder="1" applyAlignment="1">
      <alignment horizontal="center" vertical="center"/>
    </xf>
    <xf numFmtId="0" fontId="44" fillId="0" borderId="16" xfId="0" applyFont="1" applyBorder="1" applyAlignment="1">
      <alignment horizontal="center" vertical="center" wrapText="1"/>
    </xf>
    <xf numFmtId="0" fontId="4" fillId="27" borderId="16" xfId="0" applyFont="1" applyFill="1" applyBorder="1" applyAlignment="1">
      <alignment horizontal="left" vertical="top" wrapText="1"/>
    </xf>
    <xf numFmtId="0" fontId="4" fillId="27" borderId="16" xfId="0" applyFont="1" applyFill="1" applyBorder="1" applyAlignment="1">
      <alignment horizontal="center" vertical="top" wrapText="1"/>
    </xf>
    <xf numFmtId="0" fontId="46" fillId="22" borderId="48" xfId="0" applyFont="1" applyFill="1" applyBorder="1" applyAlignment="1">
      <alignment horizontal="center" vertical="center"/>
    </xf>
    <xf numFmtId="0" fontId="4" fillId="27" borderId="16" xfId="0" applyFont="1" applyFill="1" applyBorder="1" applyAlignment="1">
      <alignment horizontal="left" vertical="center"/>
    </xf>
    <xf numFmtId="0" fontId="4" fillId="28" borderId="16" xfId="0" applyFont="1" applyFill="1" applyBorder="1" applyAlignment="1">
      <alignment horizontal="center" vertical="center" wrapText="1"/>
    </xf>
    <xf numFmtId="0" fontId="4" fillId="27" borderId="16" xfId="0" applyFont="1" applyFill="1" applyBorder="1" applyAlignment="1">
      <alignment horizontal="center" vertical="top"/>
    </xf>
    <xf numFmtId="0" fontId="4" fillId="7" borderId="16" xfId="0" applyFont="1" applyFill="1" applyBorder="1" applyAlignment="1">
      <alignment horizontal="left" vertical="center"/>
    </xf>
    <xf numFmtId="0" fontId="0" fillId="0" borderId="55" xfId="0" applyBorder="1"/>
    <xf numFmtId="0" fontId="4" fillId="27" borderId="48" xfId="0" applyFont="1" applyFill="1" applyBorder="1" applyAlignment="1">
      <alignment horizontal="center" vertical="center" wrapText="1"/>
    </xf>
    <xf numFmtId="0" fontId="4" fillId="27" borderId="48" xfId="0" applyFont="1" applyFill="1" applyBorder="1" applyAlignment="1">
      <alignment horizontal="center" vertical="center"/>
    </xf>
    <xf numFmtId="0" fontId="47" fillId="22" borderId="16" xfId="0" applyFont="1" applyFill="1" applyBorder="1" applyAlignment="1">
      <alignment horizontal="center" vertical="center"/>
    </xf>
    <xf numFmtId="0" fontId="0" fillId="27" borderId="16" xfId="0" applyFill="1" applyBorder="1" applyAlignment="1">
      <alignment horizontal="left" vertical="center"/>
    </xf>
    <xf numFmtId="0" fontId="0" fillId="27" borderId="16" xfId="0" applyFill="1" applyBorder="1" applyAlignment="1">
      <alignment horizontal="center" vertical="center"/>
    </xf>
    <xf numFmtId="0" fontId="46" fillId="22" borderId="49" xfId="0" applyFont="1" applyFill="1" applyBorder="1" applyAlignment="1">
      <alignment horizontal="center"/>
    </xf>
    <xf numFmtId="0" fontId="46" fillId="22" borderId="16" xfId="0" applyFont="1" applyFill="1" applyBorder="1" applyAlignment="1">
      <alignment horizontal="center"/>
    </xf>
    <xf numFmtId="0" fontId="4" fillId="29" borderId="16" xfId="0" applyFont="1" applyFill="1" applyBorder="1" applyAlignment="1">
      <alignment horizontal="center" vertical="center" wrapText="1"/>
    </xf>
    <xf numFmtId="0" fontId="4" fillId="29" borderId="16" xfId="0" applyFont="1" applyFill="1" applyBorder="1" applyAlignment="1">
      <alignment horizontal="center" vertical="top"/>
    </xf>
    <xf numFmtId="0" fontId="4" fillId="29" borderId="16" xfId="0" applyFont="1" applyFill="1" applyBorder="1" applyAlignment="1">
      <alignment horizontal="center" vertical="center"/>
    </xf>
    <xf numFmtId="0" fontId="4" fillId="30" borderId="16" xfId="0" applyFont="1" applyFill="1" applyBorder="1" applyAlignment="1">
      <alignment horizontal="left" vertical="center"/>
    </xf>
    <xf numFmtId="0" fontId="4" fillId="31" borderId="16" xfId="0" applyFont="1" applyFill="1" applyBorder="1" applyAlignment="1">
      <alignment horizontal="left" vertical="center"/>
    </xf>
    <xf numFmtId="0" fontId="4" fillId="31" borderId="16" xfId="0" applyFont="1" applyFill="1" applyBorder="1" applyAlignment="1">
      <alignment horizontal="center" vertical="center"/>
    </xf>
    <xf numFmtId="0" fontId="4" fillId="31" borderId="16" xfId="0" applyFont="1" applyFill="1" applyBorder="1" applyAlignment="1">
      <alignment horizontal="center" vertical="center" wrapText="1"/>
    </xf>
    <xf numFmtId="0" fontId="4" fillId="31" borderId="16" xfId="0" applyFont="1" applyFill="1" applyBorder="1" applyAlignment="1">
      <alignment horizontal="center" vertical="top"/>
    </xf>
    <xf numFmtId="0" fontId="4" fillId="9" borderId="16" xfId="0" applyFont="1" applyFill="1" applyBorder="1" applyAlignment="1">
      <alignment horizontal="left" vertical="center"/>
    </xf>
    <xf numFmtId="0" fontId="4" fillId="9" borderId="16" xfId="0" applyFont="1" applyFill="1" applyBorder="1" applyAlignment="1">
      <alignment horizontal="center" vertical="center"/>
    </xf>
    <xf numFmtId="0" fontId="4" fillId="9" borderId="16" xfId="0" applyFont="1" applyFill="1" applyBorder="1" applyAlignment="1">
      <alignment horizontal="center" vertical="center" wrapText="1"/>
    </xf>
    <xf numFmtId="0" fontId="4" fillId="9" borderId="16" xfId="0" applyFont="1" applyFill="1" applyBorder="1" applyAlignment="1">
      <alignment horizontal="center" vertical="top"/>
    </xf>
    <xf numFmtId="0" fontId="46" fillId="22" borderId="17" xfId="0" applyFont="1" applyFill="1" applyBorder="1" applyAlignment="1">
      <alignment horizontal="center" vertical="center"/>
    </xf>
    <xf numFmtId="0" fontId="4" fillId="9" borderId="49" xfId="0" applyFont="1" applyFill="1" applyBorder="1" applyAlignment="1">
      <alignment horizontal="left" vertical="center"/>
    </xf>
    <xf numFmtId="0" fontId="48" fillId="22" borderId="16" xfId="0" applyFont="1" applyFill="1" applyBorder="1" applyAlignment="1">
      <alignment horizontal="center" vertical="center"/>
    </xf>
    <xf numFmtId="0" fontId="4" fillId="28" borderId="16" xfId="0" applyFont="1" applyFill="1" applyBorder="1" applyAlignment="1">
      <alignment horizontal="left" vertical="center"/>
    </xf>
    <xf numFmtId="0" fontId="4" fillId="32" borderId="16" xfId="0" applyFont="1" applyFill="1" applyBorder="1" applyAlignment="1">
      <alignment horizontal="left" vertical="center"/>
    </xf>
    <xf numFmtId="0" fontId="4" fillId="32" borderId="16" xfId="0" applyFont="1" applyFill="1" applyBorder="1" applyAlignment="1">
      <alignment horizontal="center" vertical="center"/>
    </xf>
    <xf numFmtId="0" fontId="4" fillId="32" borderId="16" xfId="0" applyFont="1" applyFill="1" applyBorder="1" applyAlignment="1">
      <alignment horizontal="center" vertical="center" wrapText="1"/>
    </xf>
    <xf numFmtId="0" fontId="44" fillId="32" borderId="16" xfId="0" applyFont="1" applyFill="1" applyBorder="1" applyAlignment="1">
      <alignment horizontal="center" vertical="center" wrapText="1"/>
    </xf>
    <xf numFmtId="0" fontId="4" fillId="32" borderId="16" xfId="0" applyFont="1" applyFill="1" applyBorder="1" applyAlignment="1">
      <alignment horizontal="center" vertical="top"/>
    </xf>
    <xf numFmtId="0" fontId="4" fillId="33" borderId="16" xfId="0" applyFont="1" applyFill="1" applyBorder="1" applyAlignment="1">
      <alignment horizontal="left" vertical="center"/>
    </xf>
    <xf numFmtId="0" fontId="4" fillId="33" borderId="16" xfId="0" applyFont="1" applyFill="1" applyBorder="1" applyAlignment="1">
      <alignment horizontal="center" vertical="center"/>
    </xf>
    <xf numFmtId="0" fontId="4" fillId="33" borderId="16" xfId="0" applyFont="1" applyFill="1" applyBorder="1" applyAlignment="1">
      <alignment horizontal="center" vertical="center" wrapText="1"/>
    </xf>
    <xf numFmtId="0" fontId="4" fillId="33" borderId="16" xfId="0" applyFont="1" applyFill="1" applyBorder="1" applyAlignment="1">
      <alignment horizontal="center" vertical="top"/>
    </xf>
    <xf numFmtId="0" fontId="0" fillId="33" borderId="16" xfId="0" applyFill="1" applyBorder="1" applyAlignment="1">
      <alignment horizontal="left" vertical="center"/>
    </xf>
    <xf numFmtId="0" fontId="4" fillId="0" borderId="55" xfId="0" applyFont="1" applyBorder="1"/>
    <xf numFmtId="0" fontId="4" fillId="33" borderId="48" xfId="0" applyFont="1" applyFill="1" applyBorder="1" applyAlignment="1">
      <alignment horizontal="left" vertical="center"/>
    </xf>
    <xf numFmtId="0" fontId="4" fillId="33" borderId="48" xfId="0" applyFont="1" applyFill="1" applyBorder="1" applyAlignment="1">
      <alignment horizontal="center" vertical="center"/>
    </xf>
    <xf numFmtId="0" fontId="4" fillId="33" borderId="48" xfId="0" applyFont="1" applyFill="1" applyBorder="1" applyAlignment="1">
      <alignment horizontal="center" vertical="top"/>
    </xf>
    <xf numFmtId="0" fontId="4" fillId="34" borderId="16" xfId="0" applyFont="1" applyFill="1" applyBorder="1" applyAlignment="1">
      <alignment horizontal="left" vertical="center"/>
    </xf>
    <xf numFmtId="0" fontId="4" fillId="34" borderId="16" xfId="0" applyFont="1" applyFill="1" applyBorder="1" applyAlignment="1">
      <alignment horizontal="center" vertical="center"/>
    </xf>
    <xf numFmtId="0" fontId="4" fillId="34" borderId="16" xfId="0" applyFont="1" applyFill="1" applyBorder="1" applyAlignment="1">
      <alignment horizontal="center" vertical="center" wrapText="1"/>
    </xf>
    <xf numFmtId="0" fontId="4" fillId="34" borderId="16" xfId="0" applyFont="1" applyFill="1" applyBorder="1" applyAlignment="1">
      <alignment horizontal="center" vertical="top"/>
    </xf>
    <xf numFmtId="0" fontId="4" fillId="3" borderId="16" xfId="0" applyFont="1" applyFill="1" applyBorder="1" applyAlignment="1">
      <alignment horizontal="left" vertical="center"/>
    </xf>
    <xf numFmtId="0" fontId="46" fillId="22" borderId="48" xfId="0" applyFont="1" applyFill="1" applyBorder="1" applyAlignment="1">
      <alignment horizontal="center"/>
    </xf>
    <xf numFmtId="0" fontId="4" fillId="34" borderId="48" xfId="0" applyFont="1" applyFill="1" applyBorder="1"/>
    <xf numFmtId="0" fontId="4" fillId="34" borderId="48" xfId="0" applyFont="1" applyFill="1" applyBorder="1" applyAlignment="1">
      <alignment horizontal="center"/>
    </xf>
    <xf numFmtId="0" fontId="4" fillId="34" borderId="48" xfId="0" applyFont="1" applyFill="1" applyBorder="1" applyAlignment="1">
      <alignment horizontal="center" wrapText="1"/>
    </xf>
    <xf numFmtId="0" fontId="4" fillId="34" borderId="48" xfId="0" applyFont="1" applyFill="1" applyBorder="1" applyAlignment="1">
      <alignment horizontal="center" vertical="top"/>
    </xf>
    <xf numFmtId="0" fontId="4" fillId="34" borderId="48" xfId="0" applyFont="1" applyFill="1" applyBorder="1" applyAlignment="1">
      <alignment horizontal="left" vertical="center"/>
    </xf>
    <xf numFmtId="0" fontId="4" fillId="34" borderId="48" xfId="0" applyFont="1" applyFill="1" applyBorder="1" applyAlignment="1">
      <alignment horizontal="center" vertical="center"/>
    </xf>
    <xf numFmtId="0" fontId="4" fillId="34" borderId="48" xfId="0" applyFont="1" applyFill="1" applyBorder="1" applyAlignment="1">
      <alignment horizontal="center" vertical="center" wrapText="1"/>
    </xf>
    <xf numFmtId="0" fontId="46" fillId="2" borderId="0" xfId="0" applyFont="1" applyFill="1" applyAlignment="1">
      <alignment horizontal="center" vertical="center"/>
    </xf>
    <xf numFmtId="0" fontId="4" fillId="2" borderId="0" xfId="0" applyFont="1" applyFill="1" applyAlignment="1">
      <alignment horizontal="left" vertical="center"/>
    </xf>
    <xf numFmtId="0" fontId="4" fillId="2" borderId="0" xfId="0" applyFont="1" applyFill="1" applyAlignment="1">
      <alignment horizontal="center" vertical="center" wrapText="1"/>
    </xf>
    <xf numFmtId="0" fontId="4" fillId="2" borderId="0" xfId="0" applyFont="1" applyFill="1" applyAlignment="1">
      <alignment horizontal="center" vertical="top"/>
    </xf>
    <xf numFmtId="0" fontId="0" fillId="2" borderId="0" xfId="0" applyFill="1" applyAlignment="1">
      <alignment horizontal="center"/>
    </xf>
    <xf numFmtId="0" fontId="4" fillId="0" borderId="0" xfId="0" applyFont="1" applyAlignment="1">
      <alignment horizontal="left" vertical="center"/>
    </xf>
    <xf numFmtId="0" fontId="0" fillId="0" borderId="0" xfId="0" applyAlignment="1">
      <alignment vertical="center"/>
    </xf>
    <xf numFmtId="0" fontId="0" fillId="0" borderId="0" xfId="0" applyAlignment="1">
      <alignment vertical="center" wrapText="1"/>
    </xf>
    <xf numFmtId="0" fontId="0" fillId="0" borderId="0" xfId="0" applyAlignment="1">
      <alignment horizontal="center" vertical="center" wrapText="1"/>
    </xf>
    <xf numFmtId="0" fontId="0" fillId="0" borderId="0" xfId="0" applyAlignment="1">
      <alignment horizontal="left" vertical="center"/>
    </xf>
    <xf numFmtId="0" fontId="4" fillId="0" borderId="0" xfId="0" applyFont="1" applyAlignment="1">
      <alignment horizontal="left" vertical="center" wrapText="1"/>
    </xf>
    <xf numFmtId="0" fontId="44" fillId="0" borderId="0" xfId="0" applyFont="1" applyAlignment="1">
      <alignment horizontal="left" vertical="center"/>
    </xf>
    <xf numFmtId="0" fontId="4" fillId="0" borderId="0" xfId="0" applyFont="1" applyAlignment="1">
      <alignment vertical="center"/>
    </xf>
    <xf numFmtId="0" fontId="4" fillId="0" borderId="0" xfId="0" applyFont="1" applyAlignment="1">
      <alignment horizontal="center" vertical="center" wrapText="1"/>
    </xf>
    <xf numFmtId="164" fontId="4" fillId="0" borderId="0" xfId="0" applyNumberFormat="1" applyFont="1" applyAlignment="1">
      <alignment horizontal="left" vertical="center"/>
    </xf>
    <xf numFmtId="0" fontId="0" fillId="9" borderId="0" xfId="0" applyFill="1" applyAlignment="1">
      <alignment horizontal="left" vertical="center"/>
    </xf>
    <xf numFmtId="0" fontId="4" fillId="9" borderId="0" xfId="0" applyFont="1" applyFill="1" applyAlignment="1">
      <alignment horizontal="left" vertical="center"/>
    </xf>
    <xf numFmtId="164" fontId="0" fillId="0" borderId="0" xfId="0" applyNumberFormat="1" applyAlignment="1">
      <alignment horizontal="left" vertical="center"/>
    </xf>
    <xf numFmtId="165" fontId="0" fillId="0" borderId="0" xfId="0" applyNumberFormat="1" applyAlignment="1">
      <alignment horizontal="left" vertical="center"/>
    </xf>
    <xf numFmtId="164" fontId="0" fillId="0" borderId="0" xfId="0" applyNumberFormat="1" applyAlignment="1">
      <alignment horizontal="center" vertical="center"/>
    </xf>
    <xf numFmtId="166" fontId="0" fillId="0" borderId="0" xfId="0" applyNumberFormat="1" applyAlignment="1">
      <alignment horizontal="left" vertical="center"/>
    </xf>
    <xf numFmtId="0" fontId="50" fillId="0" borderId="0" xfId="0" applyFont="1" applyAlignment="1">
      <alignment horizontal="left" vertical="center"/>
    </xf>
    <xf numFmtId="167" fontId="0" fillId="0" borderId="0" xfId="0" applyNumberFormat="1" applyAlignment="1">
      <alignment horizontal="right" vertical="center"/>
    </xf>
    <xf numFmtId="167" fontId="2" fillId="0" borderId="0" xfId="0" applyNumberFormat="1" applyFont="1" applyAlignment="1">
      <alignment horizontal="left" vertical="center"/>
    </xf>
    <xf numFmtId="0" fontId="4" fillId="28" borderId="16" xfId="0" applyFont="1" applyFill="1" applyBorder="1" applyAlignment="1">
      <alignment horizontal="center" vertical="center"/>
    </xf>
    <xf numFmtId="0" fontId="4" fillId="28" borderId="16" xfId="0" applyFont="1" applyFill="1" applyBorder="1" applyAlignment="1">
      <alignment horizontal="center" vertical="top"/>
    </xf>
    <xf numFmtId="0" fontId="0" fillId="0" borderId="0" xfId="0" applyAlignment="1">
      <alignment horizontal="left" vertical="top" wrapText="1"/>
    </xf>
    <xf numFmtId="0" fontId="4" fillId="36" borderId="16" xfId="0" applyFont="1" applyFill="1" applyBorder="1" applyAlignment="1">
      <alignment horizontal="center" vertical="center"/>
    </xf>
    <xf numFmtId="0" fontId="4" fillId="36" borderId="16" xfId="0" applyFont="1" applyFill="1" applyBorder="1" applyAlignment="1">
      <alignment horizontal="center" vertical="center" wrapText="1"/>
    </xf>
    <xf numFmtId="0" fontId="4" fillId="36" borderId="16" xfId="0" applyFont="1" applyFill="1" applyBorder="1" applyAlignment="1">
      <alignment horizontal="left" vertical="top" wrapText="1"/>
    </xf>
    <xf numFmtId="0" fontId="4" fillId="36" borderId="16" xfId="0" applyFont="1" applyFill="1" applyBorder="1" applyAlignment="1">
      <alignment horizontal="center" vertical="top" wrapText="1"/>
    </xf>
    <xf numFmtId="0" fontId="4" fillId="37" borderId="16" xfId="0" applyFont="1" applyFill="1" applyBorder="1" applyAlignment="1">
      <alignment horizontal="center" vertical="center"/>
    </xf>
    <xf numFmtId="0" fontId="4" fillId="37" borderId="16" xfId="0" applyFont="1" applyFill="1" applyBorder="1" applyAlignment="1">
      <alignment horizontal="center" vertical="center" wrapText="1"/>
    </xf>
    <xf numFmtId="0" fontId="4" fillId="37" borderId="16" xfId="0" applyFont="1" applyFill="1" applyBorder="1" applyAlignment="1">
      <alignment horizontal="left" vertical="top" wrapText="1"/>
    </xf>
    <xf numFmtId="0" fontId="4" fillId="37" borderId="16" xfId="0" applyFont="1" applyFill="1" applyBorder="1" applyAlignment="1">
      <alignment horizontal="center" vertical="top" wrapText="1"/>
    </xf>
    <xf numFmtId="0" fontId="4" fillId="38" borderId="16" xfId="0" applyFont="1" applyFill="1" applyBorder="1" applyAlignment="1">
      <alignment horizontal="center" vertical="center"/>
    </xf>
    <xf numFmtId="0" fontId="4" fillId="38" borderId="16" xfId="0" applyFont="1" applyFill="1" applyBorder="1" applyAlignment="1">
      <alignment horizontal="center" vertical="center" wrapText="1"/>
    </xf>
    <xf numFmtId="0" fontId="4" fillId="38" borderId="16" xfId="0" applyFont="1" applyFill="1" applyBorder="1" applyAlignment="1">
      <alignment horizontal="left" vertical="top" wrapText="1"/>
    </xf>
    <xf numFmtId="0" fontId="4" fillId="38" borderId="16" xfId="0" applyFont="1" applyFill="1" applyBorder="1" applyAlignment="1">
      <alignment horizontal="center" vertical="top" wrapText="1"/>
    </xf>
    <xf numFmtId="0" fontId="55" fillId="0" borderId="0" xfId="0" applyFont="1"/>
    <xf numFmtId="0" fontId="55" fillId="0" borderId="0" xfId="0" applyFont="1" applyAlignment="1">
      <alignment horizontal="center" vertical="center"/>
    </xf>
    <xf numFmtId="0" fontId="39" fillId="0" borderId="0" xfId="0" applyFont="1" applyAlignment="1">
      <alignment horizontal="center" vertical="center"/>
    </xf>
    <xf numFmtId="0" fontId="55" fillId="0" borderId="0" xfId="0" applyFont="1" applyAlignment="1">
      <alignment horizontal="center" vertical="center" wrapText="1"/>
    </xf>
    <xf numFmtId="164" fontId="4" fillId="0" borderId="0" xfId="0" applyNumberFormat="1" applyFont="1" applyAlignment="1">
      <alignment horizontal="center" vertical="center"/>
    </xf>
    <xf numFmtId="166" fontId="0" fillId="0" borderId="0" xfId="0" applyNumberFormat="1"/>
    <xf numFmtId="0" fontId="1" fillId="0" borderId="0" xfId="4"/>
    <xf numFmtId="0" fontId="34" fillId="0" borderId="0" xfId="4" applyFont="1"/>
    <xf numFmtId="168" fontId="1" fillId="0" borderId="0" xfId="4" applyNumberFormat="1"/>
    <xf numFmtId="167" fontId="1" fillId="0" borderId="0" xfId="4" applyNumberFormat="1"/>
    <xf numFmtId="0" fontId="1" fillId="0" borderId="0" xfId="4" applyAlignment="1">
      <alignment horizontal="left" wrapText="1"/>
    </xf>
    <xf numFmtId="0" fontId="56" fillId="39" borderId="1" xfId="4" applyFont="1" applyFill="1" applyBorder="1" applyAlignment="1">
      <alignment vertical="center"/>
    </xf>
    <xf numFmtId="0" fontId="56" fillId="39" borderId="56" xfId="4" applyFont="1" applyFill="1" applyBorder="1" applyAlignment="1">
      <alignment vertical="center"/>
    </xf>
    <xf numFmtId="0" fontId="56" fillId="39" borderId="57" xfId="4" applyFont="1" applyFill="1" applyBorder="1" applyAlignment="1">
      <alignment vertical="center"/>
    </xf>
    <xf numFmtId="0" fontId="56" fillId="40" borderId="58" xfId="4" applyFont="1" applyFill="1" applyBorder="1" applyAlignment="1">
      <alignment horizontal="center" vertical="center" wrapText="1"/>
    </xf>
    <xf numFmtId="0" fontId="56" fillId="40" borderId="2" xfId="4" applyFont="1" applyFill="1" applyBorder="1" applyAlignment="1">
      <alignment horizontal="center" vertical="center" wrapText="1"/>
    </xf>
    <xf numFmtId="168" fontId="56" fillId="40" borderId="58" xfId="4" applyNumberFormat="1" applyFont="1" applyFill="1" applyBorder="1" applyAlignment="1">
      <alignment horizontal="center" vertical="center" wrapText="1"/>
    </xf>
    <xf numFmtId="167" fontId="56" fillId="40" borderId="58" xfId="4" applyNumberFormat="1" applyFont="1" applyFill="1" applyBorder="1" applyAlignment="1">
      <alignment horizontal="center" vertical="center" wrapText="1"/>
    </xf>
    <xf numFmtId="0" fontId="57" fillId="4" borderId="2" xfId="4" applyFont="1" applyFill="1" applyBorder="1" applyAlignment="1">
      <alignment horizontal="center" vertical="center" wrapText="1"/>
    </xf>
    <xf numFmtId="0" fontId="57" fillId="41" borderId="2" xfId="4" applyFont="1" applyFill="1" applyBorder="1" applyAlignment="1">
      <alignment horizontal="center" vertical="center" wrapText="1"/>
    </xf>
    <xf numFmtId="168" fontId="57" fillId="41" borderId="2" xfId="4" applyNumberFormat="1" applyFont="1" applyFill="1" applyBorder="1" applyAlignment="1">
      <alignment horizontal="center" vertical="center" wrapText="1"/>
    </xf>
    <xf numFmtId="167" fontId="57" fillId="41" borderId="2" xfId="4" applyNumberFormat="1" applyFont="1" applyFill="1" applyBorder="1" applyAlignment="1">
      <alignment horizontal="center" vertical="center" wrapText="1"/>
    </xf>
    <xf numFmtId="0" fontId="50" fillId="41" borderId="2" xfId="4" applyFont="1" applyFill="1" applyBorder="1" applyAlignment="1">
      <alignment horizontal="left" vertical="center" wrapText="1"/>
    </xf>
    <xf numFmtId="0" fontId="30" fillId="41" borderId="2" xfId="4" applyFont="1" applyFill="1" applyBorder="1" applyAlignment="1">
      <alignment horizontal="center" vertical="center" wrapText="1"/>
    </xf>
    <xf numFmtId="167" fontId="44" fillId="41" borderId="2" xfId="4" applyNumberFormat="1" applyFont="1" applyFill="1" applyBorder="1" applyAlignment="1">
      <alignment horizontal="center" vertical="center"/>
    </xf>
    <xf numFmtId="0" fontId="57" fillId="41" borderId="2" xfId="4" applyFont="1" applyFill="1" applyBorder="1" applyAlignment="1">
      <alignment horizontal="left" vertical="center" wrapText="1"/>
    </xf>
    <xf numFmtId="0" fontId="57" fillId="41" borderId="2" xfId="0" applyFont="1" applyFill="1" applyBorder="1" applyAlignment="1">
      <alignment horizontal="center" vertical="center" wrapText="1"/>
    </xf>
    <xf numFmtId="0" fontId="4" fillId="41" borderId="2" xfId="4" applyFont="1" applyFill="1" applyBorder="1" applyAlignment="1">
      <alignment horizontal="left" vertical="center" wrapText="1"/>
    </xf>
    <xf numFmtId="0" fontId="4" fillId="41" borderId="2" xfId="4" applyFont="1" applyFill="1" applyBorder="1" applyAlignment="1">
      <alignment horizontal="center" vertical="center"/>
    </xf>
    <xf numFmtId="0" fontId="57" fillId="7" borderId="2" xfId="4" applyFont="1" applyFill="1" applyBorder="1" applyAlignment="1">
      <alignment horizontal="center" vertical="center" wrapText="1"/>
    </xf>
    <xf numFmtId="0" fontId="58" fillId="41" borderId="2" xfId="4" applyFont="1" applyFill="1" applyBorder="1" applyAlignment="1">
      <alignment horizontal="center" vertical="center" wrapText="1"/>
    </xf>
    <xf numFmtId="0" fontId="4" fillId="0" borderId="0" xfId="4" applyFont="1"/>
    <xf numFmtId="0" fontId="60" fillId="0" borderId="0" xfId="4" applyFont="1"/>
    <xf numFmtId="168" fontId="4" fillId="0" borderId="0" xfId="4" applyNumberFormat="1" applyFont="1"/>
    <xf numFmtId="167" fontId="4" fillId="0" borderId="0" xfId="4" applyNumberFormat="1" applyFont="1"/>
    <xf numFmtId="0" fontId="4" fillId="0" borderId="0" xfId="4" applyFont="1" applyAlignment="1">
      <alignment horizontal="left" wrapText="1"/>
    </xf>
    <xf numFmtId="0" fontId="61" fillId="0" borderId="17" xfId="4" applyFont="1" applyBorder="1"/>
    <xf numFmtId="168" fontId="61" fillId="0" borderId="17" xfId="4" applyNumberFormat="1" applyFont="1" applyBorder="1"/>
    <xf numFmtId="167" fontId="61" fillId="0" borderId="17" xfId="4" applyNumberFormat="1" applyFont="1" applyBorder="1"/>
    <xf numFmtId="0" fontId="61" fillId="0" borderId="0" xfId="4" applyFont="1"/>
    <xf numFmtId="0" fontId="61" fillId="0" borderId="0" xfId="4" applyFont="1" applyAlignment="1">
      <alignment horizontal="left" wrapText="1"/>
    </xf>
    <xf numFmtId="0" fontId="61" fillId="0" borderId="16" xfId="4" applyFont="1" applyBorder="1"/>
    <xf numFmtId="168" fontId="61" fillId="0" borderId="16" xfId="4" applyNumberFormat="1" applyFont="1" applyBorder="1"/>
    <xf numFmtId="167" fontId="61" fillId="0" borderId="16" xfId="4" applyNumberFormat="1" applyFont="1" applyBorder="1"/>
    <xf numFmtId="167" fontId="61" fillId="0" borderId="0" xfId="4" applyNumberFormat="1" applyFont="1"/>
    <xf numFmtId="0" fontId="62" fillId="0" borderId="16" xfId="4" applyFont="1" applyBorder="1"/>
    <xf numFmtId="168" fontId="61" fillId="0" borderId="0" xfId="4" applyNumberFormat="1" applyFont="1"/>
    <xf numFmtId="0" fontId="4" fillId="0" borderId="16" xfId="4" applyFont="1" applyBorder="1"/>
    <xf numFmtId="0" fontId="61" fillId="2" borderId="16" xfId="4" applyFont="1" applyFill="1" applyBorder="1"/>
    <xf numFmtId="168" fontId="61" fillId="2" borderId="16" xfId="4" applyNumberFormat="1" applyFont="1" applyFill="1" applyBorder="1"/>
    <xf numFmtId="167" fontId="61" fillId="2" borderId="16" xfId="4" applyNumberFormat="1" applyFont="1" applyFill="1" applyBorder="1"/>
    <xf numFmtId="0" fontId="4" fillId="2" borderId="0" xfId="4" applyFont="1" applyFill="1"/>
    <xf numFmtId="0" fontId="4" fillId="2" borderId="16" xfId="4" applyFont="1" applyFill="1" applyBorder="1"/>
    <xf numFmtId="0" fontId="61" fillId="2" borderId="0" xfId="4" applyFont="1" applyFill="1"/>
    <xf numFmtId="167" fontId="61" fillId="2" borderId="0" xfId="4" applyNumberFormat="1" applyFont="1" applyFill="1"/>
    <xf numFmtId="0" fontId="61" fillId="2" borderId="0" xfId="4" applyFont="1" applyFill="1" applyAlignment="1">
      <alignment horizontal="left" wrapText="1"/>
    </xf>
    <xf numFmtId="0" fontId="1" fillId="2" borderId="0" xfId="4" applyFill="1"/>
    <xf numFmtId="0" fontId="62" fillId="2" borderId="16" xfId="4" applyFont="1" applyFill="1" applyBorder="1"/>
    <xf numFmtId="168" fontId="61" fillId="2" borderId="0" xfId="4" applyNumberFormat="1" applyFont="1" applyFill="1"/>
    <xf numFmtId="0" fontId="61" fillId="2" borderId="16" xfId="4" applyFont="1" applyFill="1" applyBorder="1" applyAlignment="1">
      <alignment horizontal="left" wrapText="1"/>
    </xf>
    <xf numFmtId="0" fontId="63" fillId="0" borderId="0" xfId="4" applyFont="1"/>
    <xf numFmtId="167" fontId="63" fillId="0" borderId="0" xfId="4" applyNumberFormat="1" applyFont="1"/>
    <xf numFmtId="0" fontId="63" fillId="0" borderId="0" xfId="4" applyFont="1" applyAlignment="1">
      <alignment horizontal="left" wrapText="1"/>
    </xf>
    <xf numFmtId="0" fontId="64" fillId="0" borderId="0" xfId="4" applyFont="1"/>
    <xf numFmtId="168" fontId="63" fillId="0" borderId="0" xfId="4" applyNumberFormat="1" applyFont="1"/>
    <xf numFmtId="0" fontId="67" fillId="0" borderId="0" xfId="0" applyFont="1" applyAlignment="1">
      <alignment horizontal="center" vertical="center"/>
    </xf>
    <xf numFmtId="0" fontId="2" fillId="0" borderId="0" xfId="0" applyFont="1" applyAlignment="1">
      <alignment horizontal="center" vertical="center"/>
    </xf>
    <xf numFmtId="0" fontId="34" fillId="0" borderId="0" xfId="0" applyFont="1" applyAlignment="1">
      <alignment horizontal="center" vertical="center" wrapText="1"/>
    </xf>
    <xf numFmtId="0" fontId="67" fillId="42" borderId="0" xfId="0" applyFont="1" applyFill="1" applyAlignment="1">
      <alignment horizontal="center" vertical="center" wrapText="1"/>
    </xf>
    <xf numFmtId="0" fontId="46" fillId="42" borderId="0" xfId="0" applyFont="1" applyFill="1" applyAlignment="1">
      <alignment horizontal="center" vertical="center"/>
    </xf>
    <xf numFmtId="0" fontId="46" fillId="42" borderId="0" xfId="0" applyFont="1" applyFill="1" applyAlignment="1">
      <alignment horizontal="center" vertical="center" wrapText="1"/>
    </xf>
    <xf numFmtId="0" fontId="68" fillId="42" borderId="0" xfId="0" applyFont="1" applyFill="1" applyAlignment="1">
      <alignment horizontal="center" vertical="center" wrapText="1"/>
    </xf>
    <xf numFmtId="0" fontId="44" fillId="43" borderId="16" xfId="0" applyFont="1" applyFill="1" applyBorder="1" applyAlignment="1">
      <alignment horizontal="center" vertical="center"/>
    </xf>
    <xf numFmtId="0" fontId="44" fillId="43" borderId="16" xfId="0" applyFont="1" applyFill="1" applyBorder="1" applyAlignment="1">
      <alignment horizontal="center" vertical="center" wrapText="1"/>
    </xf>
    <xf numFmtId="167" fontId="44" fillId="43" borderId="16" xfId="0" applyNumberFormat="1" applyFont="1" applyFill="1" applyBorder="1" applyAlignment="1">
      <alignment horizontal="center" vertical="center" wrapText="1"/>
    </xf>
    <xf numFmtId="0" fontId="4" fillId="43" borderId="16" xfId="0" applyFont="1" applyFill="1" applyBorder="1" applyAlignment="1">
      <alignment horizontal="center" vertical="center" wrapText="1"/>
    </xf>
    <xf numFmtId="0" fontId="44" fillId="43" borderId="16" xfId="0" applyFont="1" applyFill="1" applyBorder="1" applyAlignment="1">
      <alignment vertical="center"/>
    </xf>
    <xf numFmtId="0" fontId="69" fillId="43" borderId="23" xfId="0" applyFont="1" applyFill="1" applyBorder="1" applyAlignment="1">
      <alignment vertical="center"/>
    </xf>
    <xf numFmtId="0" fontId="70" fillId="43" borderId="16" xfId="0" applyFont="1" applyFill="1" applyBorder="1" applyAlignment="1">
      <alignment horizontal="center" vertical="center" wrapText="1"/>
    </xf>
    <xf numFmtId="0" fontId="71" fillId="43" borderId="16" xfId="0" applyFont="1" applyFill="1" applyBorder="1" applyAlignment="1">
      <alignment horizontal="center" vertical="center" wrapText="1"/>
    </xf>
    <xf numFmtId="0" fontId="44" fillId="35" borderId="16" xfId="0" applyFont="1" applyFill="1" applyBorder="1" applyAlignment="1">
      <alignment horizontal="center" vertical="center"/>
    </xf>
    <xf numFmtId="167" fontId="44" fillId="35" borderId="16" xfId="0" applyNumberFormat="1" applyFont="1" applyFill="1" applyBorder="1" applyAlignment="1">
      <alignment horizontal="center" vertical="center" wrapText="1"/>
    </xf>
    <xf numFmtId="0" fontId="4" fillId="43" borderId="16" xfId="0" applyFont="1" applyFill="1" applyBorder="1" applyAlignment="1">
      <alignment horizontal="left" vertical="center" wrapText="1"/>
    </xf>
    <xf numFmtId="0" fontId="70" fillId="43" borderId="48" xfId="0" applyFont="1" applyFill="1" applyBorder="1" applyAlignment="1">
      <alignment horizontal="center" vertical="center"/>
    </xf>
    <xf numFmtId="0" fontId="4" fillId="7" borderId="16" xfId="0" applyFont="1" applyFill="1" applyBorder="1" applyAlignment="1">
      <alignment horizontal="center" vertical="center" wrapText="1"/>
    </xf>
    <xf numFmtId="0" fontId="0" fillId="44" borderId="16" xfId="0" applyFill="1" applyBorder="1" applyAlignment="1">
      <alignment horizontal="center"/>
    </xf>
    <xf numFmtId="0" fontId="72" fillId="43" borderId="48" xfId="0" applyFont="1" applyFill="1" applyBorder="1" applyAlignment="1">
      <alignment horizontal="center" vertical="center" wrapText="1"/>
    </xf>
    <xf numFmtId="0" fontId="73" fillId="43" borderId="16" xfId="0" applyFont="1" applyFill="1" applyBorder="1" applyAlignment="1">
      <alignment horizontal="center" vertical="center" wrapText="1"/>
    </xf>
    <xf numFmtId="0" fontId="44" fillId="45" borderId="16" xfId="0" applyFont="1" applyFill="1" applyBorder="1" applyAlignment="1">
      <alignment horizontal="center" vertical="center"/>
    </xf>
    <xf numFmtId="0" fontId="70" fillId="43" borderId="16" xfId="0" applyFont="1" applyFill="1" applyBorder="1" applyAlignment="1">
      <alignment horizontal="center" vertical="center"/>
    </xf>
    <xf numFmtId="167" fontId="74" fillId="43" borderId="49" xfId="0" applyNumberFormat="1" applyFont="1" applyFill="1" applyBorder="1" applyAlignment="1">
      <alignment horizontal="center" vertical="center" wrapText="1"/>
    </xf>
    <xf numFmtId="0" fontId="70" fillId="43" borderId="48" xfId="0" applyFont="1" applyFill="1" applyBorder="1" applyAlignment="1">
      <alignment horizontal="center" vertical="center" wrapText="1"/>
    </xf>
    <xf numFmtId="0" fontId="44" fillId="43" borderId="48" xfId="0" applyFont="1" applyFill="1" applyBorder="1" applyAlignment="1">
      <alignment horizontal="center" vertical="center"/>
    </xf>
    <xf numFmtId="0" fontId="70" fillId="43" borderId="48" xfId="0" applyFont="1" applyFill="1" applyBorder="1" applyAlignment="1">
      <alignment horizontal="center" wrapText="1"/>
    </xf>
    <xf numFmtId="0" fontId="44" fillId="43" borderId="48" xfId="0" applyFont="1" applyFill="1" applyBorder="1" applyAlignment="1">
      <alignment horizontal="center" wrapText="1"/>
    </xf>
    <xf numFmtId="0" fontId="44" fillId="43" borderId="48" xfId="0" applyFont="1" applyFill="1" applyBorder="1" applyAlignment="1">
      <alignment horizontal="center" vertical="center" wrapText="1"/>
    </xf>
    <xf numFmtId="167" fontId="4" fillId="43" borderId="48" xfId="0" applyNumberFormat="1" applyFont="1" applyFill="1" applyBorder="1" applyAlignment="1">
      <alignment horizontal="center" wrapText="1"/>
    </xf>
    <xf numFmtId="167" fontId="44" fillId="43" borderId="48" xfId="0" applyNumberFormat="1" applyFont="1" applyFill="1" applyBorder="1" applyAlignment="1">
      <alignment horizontal="center" vertical="center" wrapText="1"/>
    </xf>
    <xf numFmtId="167" fontId="4" fillId="43" borderId="48" xfId="0" applyNumberFormat="1" applyFont="1" applyFill="1" applyBorder="1" applyAlignment="1">
      <alignment horizontal="center" vertical="center"/>
    </xf>
    <xf numFmtId="0" fontId="44" fillId="43" borderId="16" xfId="0" applyFont="1" applyFill="1" applyBorder="1" applyAlignment="1">
      <alignment horizontal="center"/>
    </xf>
    <xf numFmtId="0" fontId="44" fillId="43" borderId="16" xfId="0" applyFont="1" applyFill="1" applyBorder="1" applyAlignment="1">
      <alignment horizontal="center" wrapText="1"/>
    </xf>
    <xf numFmtId="167" fontId="74" fillId="43" borderId="48" xfId="0" applyNumberFormat="1" applyFont="1" applyFill="1" applyBorder="1" applyAlignment="1">
      <alignment horizontal="center" vertical="center" wrapText="1"/>
    </xf>
    <xf numFmtId="0" fontId="44" fillId="43" borderId="16" xfId="0" applyFont="1" applyFill="1" applyBorder="1"/>
    <xf numFmtId="0" fontId="69" fillId="43" borderId="16" xfId="0" applyFont="1" applyFill="1" applyBorder="1" applyAlignment="1">
      <alignment horizontal="center" vertical="center" wrapText="1"/>
    </xf>
    <xf numFmtId="0" fontId="44" fillId="7" borderId="16" xfId="0" applyFont="1" applyFill="1" applyBorder="1" applyAlignment="1">
      <alignment horizontal="center" vertical="center"/>
    </xf>
    <xf numFmtId="167" fontId="75" fillId="43" borderId="48" xfId="0" applyNumberFormat="1" applyFont="1" applyFill="1" applyBorder="1" applyAlignment="1">
      <alignment horizontal="center" vertical="center" wrapText="1"/>
    </xf>
    <xf numFmtId="0" fontId="0" fillId="43" borderId="48" xfId="0" applyFill="1" applyBorder="1"/>
    <xf numFmtId="0" fontId="1" fillId="43" borderId="48" xfId="0" applyFont="1" applyFill="1" applyBorder="1"/>
    <xf numFmtId="0" fontId="44" fillId="43" borderId="48" xfId="0" applyFont="1" applyFill="1" applyBorder="1"/>
    <xf numFmtId="0" fontId="73" fillId="43" borderId="16" xfId="0" applyFont="1" applyFill="1" applyBorder="1" applyAlignment="1">
      <alignment horizontal="left" vertical="center" wrapText="1"/>
    </xf>
    <xf numFmtId="0" fontId="0" fillId="43" borderId="48" xfId="0" applyFill="1" applyBorder="1" applyAlignment="1">
      <alignment horizontal="left"/>
    </xf>
    <xf numFmtId="0" fontId="44" fillId="43" borderId="48" xfId="0" applyFont="1" applyFill="1" applyBorder="1" applyAlignment="1">
      <alignment horizontal="center"/>
    </xf>
    <xf numFmtId="0" fontId="44" fillId="43" borderId="48" xfId="0" applyFont="1" applyFill="1" applyBorder="1" applyAlignment="1">
      <alignment horizontal="left" vertical="center"/>
    </xf>
    <xf numFmtId="0" fontId="77" fillId="43" borderId="48" xfId="0" applyFont="1" applyFill="1" applyBorder="1" applyAlignment="1">
      <alignment wrapText="1"/>
    </xf>
    <xf numFmtId="167" fontId="75" fillId="43" borderId="16" xfId="0" applyNumberFormat="1" applyFont="1" applyFill="1" applyBorder="1" applyAlignment="1">
      <alignment horizontal="center" vertical="center" wrapText="1"/>
    </xf>
    <xf numFmtId="0" fontId="72" fillId="43" borderId="16" xfId="0" applyFont="1" applyFill="1" applyBorder="1" applyAlignment="1">
      <alignment horizontal="center" vertical="center" wrapText="1"/>
    </xf>
    <xf numFmtId="0" fontId="72" fillId="43" borderId="23" xfId="0" applyFont="1" applyFill="1" applyBorder="1" applyAlignment="1">
      <alignment horizontal="center" vertical="center" wrapText="1"/>
    </xf>
    <xf numFmtId="0" fontId="44" fillId="43" borderId="0" xfId="0" applyFont="1" applyFill="1" applyAlignment="1">
      <alignment horizontal="center" vertical="center"/>
    </xf>
    <xf numFmtId="0" fontId="44" fillId="43" borderId="0" xfId="0" applyFont="1" applyFill="1" applyAlignment="1">
      <alignment horizontal="center" vertical="center" wrapText="1"/>
    </xf>
    <xf numFmtId="167" fontId="75" fillId="43" borderId="0" xfId="0" applyNumberFormat="1" applyFont="1" applyFill="1" applyAlignment="1">
      <alignment horizontal="center" vertical="center" wrapText="1"/>
    </xf>
    <xf numFmtId="0" fontId="44" fillId="43" borderId="0" xfId="0" applyFont="1" applyFill="1" applyAlignment="1">
      <alignment horizontal="center"/>
    </xf>
    <xf numFmtId="0" fontId="4" fillId="43" borderId="0" xfId="0" applyFont="1" applyFill="1" applyAlignment="1">
      <alignment horizontal="left" vertical="center" wrapText="1"/>
    </xf>
    <xf numFmtId="0" fontId="47" fillId="42" borderId="16" xfId="0" applyFont="1" applyFill="1" applyBorder="1" applyAlignment="1">
      <alignment horizontal="center" vertical="center" wrapText="1"/>
    </xf>
    <xf numFmtId="0" fontId="2" fillId="43" borderId="16" xfId="0" applyFont="1" applyFill="1" applyBorder="1" applyAlignment="1">
      <alignment horizontal="center" vertical="center"/>
    </xf>
    <xf numFmtId="0" fontId="78" fillId="0" borderId="0" xfId="0" applyFont="1" applyAlignment="1">
      <alignment horizontal="center" vertical="center" wrapText="1"/>
    </xf>
    <xf numFmtId="0" fontId="79" fillId="0" borderId="0" xfId="0" applyFont="1" applyAlignment="1">
      <alignment horizontal="center" vertical="center" wrapText="1"/>
    </xf>
    <xf numFmtId="0" fontId="46" fillId="42" borderId="16" xfId="0" applyFont="1" applyFill="1" applyBorder="1" applyAlignment="1">
      <alignment horizontal="center" vertical="center"/>
    </xf>
    <xf numFmtId="0" fontId="80" fillId="42" borderId="16" xfId="0" applyFont="1" applyFill="1" applyBorder="1" applyAlignment="1">
      <alignment horizontal="center" vertical="center"/>
    </xf>
    <xf numFmtId="0" fontId="44" fillId="0" borderId="0" xfId="0" applyFont="1" applyAlignment="1">
      <alignment horizontal="center" vertical="center"/>
    </xf>
    <xf numFmtId="0" fontId="47" fillId="42" borderId="0" xfId="0" applyFont="1" applyFill="1" applyAlignment="1">
      <alignment horizontal="center" vertical="center"/>
    </xf>
    <xf numFmtId="0" fontId="47" fillId="42" borderId="0" xfId="0" applyFont="1" applyFill="1" applyAlignment="1">
      <alignment horizontal="center" vertical="center" wrapText="1"/>
    </xf>
    <xf numFmtId="0" fontId="2" fillId="43" borderId="0" xfId="0" applyFont="1" applyFill="1" applyAlignment="1">
      <alignment horizontal="center" vertical="center"/>
    </xf>
    <xf numFmtId="0" fontId="80" fillId="42" borderId="0" xfId="0" applyFont="1" applyFill="1" applyAlignment="1">
      <alignment horizontal="center" vertical="center"/>
    </xf>
    <xf numFmtId="10" fontId="2" fillId="43" borderId="0" xfId="0" applyNumberFormat="1" applyFont="1" applyFill="1" applyAlignment="1">
      <alignment horizontal="center" vertical="center"/>
    </xf>
    <xf numFmtId="10" fontId="80" fillId="42" borderId="0" xfId="0" applyNumberFormat="1" applyFont="1" applyFill="1" applyAlignment="1">
      <alignment horizontal="center" vertical="center"/>
    </xf>
    <xf numFmtId="0" fontId="81" fillId="0" borderId="0" xfId="0" applyFont="1"/>
    <xf numFmtId="0" fontId="4" fillId="31" borderId="16" xfId="0" applyFont="1" applyFill="1" applyBorder="1"/>
    <xf numFmtId="0" fontId="4" fillId="31" borderId="16" xfId="0" applyFont="1" applyFill="1" applyBorder="1" applyAlignment="1">
      <alignment horizontal="center"/>
    </xf>
    <xf numFmtId="0" fontId="4" fillId="31" borderId="16" xfId="0" applyFont="1" applyFill="1" applyBorder="1" applyAlignment="1">
      <alignment wrapText="1"/>
    </xf>
    <xf numFmtId="0" fontId="46" fillId="22" borderId="47" xfId="0" applyFont="1" applyFill="1" applyBorder="1" applyAlignment="1">
      <alignment horizontal="center"/>
    </xf>
    <xf numFmtId="0" fontId="4" fillId="31" borderId="47" xfId="0" applyFont="1" applyFill="1" applyBorder="1"/>
    <xf numFmtId="0" fontId="4" fillId="31" borderId="47" xfId="0" applyFont="1" applyFill="1" applyBorder="1" applyAlignment="1">
      <alignment horizontal="center"/>
    </xf>
    <xf numFmtId="0" fontId="4" fillId="31" borderId="47" xfId="0" applyFont="1" applyFill="1" applyBorder="1" applyAlignment="1">
      <alignment wrapText="1"/>
    </xf>
    <xf numFmtId="0" fontId="4" fillId="31" borderId="16" xfId="0" applyFont="1" applyFill="1" applyBorder="1" applyAlignment="1">
      <alignment horizontal="left" vertical="center" wrapText="1"/>
    </xf>
    <xf numFmtId="0" fontId="0" fillId="7" borderId="0" xfId="0" applyFill="1"/>
    <xf numFmtId="0" fontId="0" fillId="7" borderId="0" xfId="0" applyFill="1" applyAlignment="1">
      <alignment wrapText="1"/>
    </xf>
    <xf numFmtId="0" fontId="4" fillId="0" borderId="0" xfId="0" applyFont="1" applyAlignment="1">
      <alignment wrapText="1"/>
    </xf>
    <xf numFmtId="0" fontId="0" fillId="0" borderId="0" xfId="0" applyAlignment="1">
      <alignment wrapText="1"/>
    </xf>
    <xf numFmtId="0" fontId="47" fillId="39" borderId="59" xfId="0" applyFont="1" applyFill="1" applyBorder="1" applyAlignment="1">
      <alignment horizontal="center"/>
    </xf>
    <xf numFmtId="0" fontId="47" fillId="39" borderId="59" xfId="0" applyFont="1" applyFill="1" applyBorder="1" applyAlignment="1">
      <alignment horizontal="center" vertical="center"/>
    </xf>
    <xf numFmtId="0" fontId="47" fillId="39" borderId="60" xfId="0" applyFont="1" applyFill="1" applyBorder="1" applyAlignment="1">
      <alignment wrapText="1"/>
    </xf>
    <xf numFmtId="0" fontId="2" fillId="46" borderId="61" xfId="0" applyFont="1" applyFill="1" applyBorder="1" applyAlignment="1">
      <alignment horizontal="center" vertical="center"/>
    </xf>
    <xf numFmtId="0" fontId="47" fillId="39" borderId="62" xfId="0" applyFont="1" applyFill="1" applyBorder="1" applyAlignment="1">
      <alignment wrapText="1"/>
    </xf>
    <xf numFmtId="0" fontId="2" fillId="46" borderId="63" xfId="0" applyFont="1" applyFill="1" applyBorder="1" applyAlignment="1">
      <alignment horizontal="center" vertical="center"/>
    </xf>
    <xf numFmtId="0" fontId="47" fillId="39" borderId="64" xfId="0" applyFont="1" applyFill="1" applyBorder="1" applyAlignment="1">
      <alignment wrapText="1"/>
    </xf>
    <xf numFmtId="0" fontId="2" fillId="46" borderId="65" xfId="0" applyFont="1" applyFill="1" applyBorder="1" applyAlignment="1">
      <alignment horizontal="center" vertical="center"/>
    </xf>
    <xf numFmtId="0" fontId="47" fillId="47" borderId="62" xfId="0" applyFont="1" applyFill="1" applyBorder="1" applyAlignment="1">
      <alignment horizontal="center" vertical="center"/>
    </xf>
    <xf numFmtId="0" fontId="47" fillId="47" borderId="16" xfId="0" applyFont="1" applyFill="1" applyBorder="1" applyAlignment="1">
      <alignment horizontal="center" vertical="center"/>
    </xf>
    <xf numFmtId="0" fontId="47" fillId="47" borderId="63" xfId="0" applyFont="1" applyFill="1" applyBorder="1" applyAlignment="1">
      <alignment horizontal="center" vertical="center"/>
    </xf>
    <xf numFmtId="0" fontId="2" fillId="48" borderId="16" xfId="0" applyFont="1" applyFill="1" applyBorder="1" applyAlignment="1">
      <alignment horizontal="center" vertical="center"/>
    </xf>
    <xf numFmtId="0" fontId="2" fillId="48" borderId="63" xfId="0" applyFont="1" applyFill="1" applyBorder="1" applyAlignment="1">
      <alignment horizontal="center" vertical="center"/>
    </xf>
    <xf numFmtId="0" fontId="2" fillId="0" borderId="0" xfId="0" applyFont="1" applyAlignment="1">
      <alignment horizontal="center"/>
    </xf>
    <xf numFmtId="0" fontId="47" fillId="47" borderId="64" xfId="0" applyFont="1" applyFill="1" applyBorder="1" applyAlignment="1">
      <alignment horizontal="center" vertical="center"/>
    </xf>
    <xf numFmtId="0" fontId="47" fillId="47" borderId="67" xfId="0" applyFont="1" applyFill="1" applyBorder="1" applyAlignment="1">
      <alignment horizontal="center" vertical="center"/>
    </xf>
    <xf numFmtId="0" fontId="2" fillId="48" borderId="67" xfId="0" applyFont="1" applyFill="1" applyBorder="1" applyAlignment="1">
      <alignment horizontal="center" vertical="center"/>
    </xf>
    <xf numFmtId="0" fontId="2" fillId="48" borderId="65" xfId="0" applyFont="1" applyFill="1" applyBorder="1" applyAlignment="1">
      <alignment horizontal="center" vertical="center"/>
    </xf>
    <xf numFmtId="0" fontId="4" fillId="31" borderId="48" xfId="0" applyFont="1" applyFill="1" applyBorder="1" applyAlignment="1">
      <alignment horizontal="center" vertical="top"/>
    </xf>
    <xf numFmtId="0" fontId="4" fillId="31" borderId="48" xfId="0" applyFont="1" applyFill="1" applyBorder="1"/>
    <xf numFmtId="0" fontId="4" fillId="9" borderId="0" xfId="0" applyFont="1" applyFill="1" applyAlignment="1">
      <alignment horizontal="left"/>
    </xf>
    <xf numFmtId="0" fontId="4" fillId="2" borderId="0" xfId="0" applyFont="1" applyFill="1" applyAlignment="1">
      <alignment horizontal="left"/>
    </xf>
    <xf numFmtId="0" fontId="4" fillId="31" borderId="48" xfId="0" applyFont="1" applyFill="1" applyBorder="1" applyAlignment="1">
      <alignment horizontal="center"/>
    </xf>
    <xf numFmtId="0" fontId="4" fillId="31" borderId="23" xfId="0" applyFont="1" applyFill="1" applyBorder="1" applyAlignment="1">
      <alignment horizontal="center"/>
    </xf>
    <xf numFmtId="0" fontId="1" fillId="0" borderId="0" xfId="0" applyFont="1"/>
    <xf numFmtId="0" fontId="4" fillId="23" borderId="16" xfId="0" applyFont="1" applyFill="1" applyBorder="1" applyAlignment="1">
      <alignment horizontal="center"/>
    </xf>
    <xf numFmtId="0" fontId="4" fillId="23" borderId="48" xfId="0" applyFont="1" applyFill="1" applyBorder="1" applyAlignment="1">
      <alignment horizontal="center" vertical="top"/>
    </xf>
    <xf numFmtId="164" fontId="4" fillId="0" borderId="0" xfId="0" applyNumberFormat="1" applyFont="1"/>
    <xf numFmtId="164" fontId="0" fillId="0" borderId="0" xfId="0" applyNumberFormat="1"/>
    <xf numFmtId="165" fontId="0" fillId="0" borderId="0" xfId="0" applyNumberFormat="1"/>
    <xf numFmtId="17" fontId="0" fillId="0" borderId="0" xfId="0" applyNumberFormat="1"/>
    <xf numFmtId="167" fontId="0" fillId="0" borderId="0" xfId="0" applyNumberFormat="1"/>
    <xf numFmtId="0" fontId="4" fillId="7" borderId="0" xfId="0" applyFont="1" applyFill="1"/>
    <xf numFmtId="0" fontId="4" fillId="49" borderId="16" xfId="0" applyFont="1" applyFill="1" applyBorder="1"/>
    <xf numFmtId="0" fontId="39" fillId="7" borderId="0" xfId="0" applyFont="1" applyFill="1"/>
    <xf numFmtId="164" fontId="4" fillId="0" borderId="0" xfId="0" applyNumberFormat="1" applyFont="1" applyAlignment="1">
      <alignment horizontal="left"/>
    </xf>
    <xf numFmtId="0" fontId="4" fillId="0" borderId="0" xfId="0" applyFont="1" applyAlignment="1">
      <alignment horizontal="left"/>
    </xf>
    <xf numFmtId="0" fontId="0" fillId="7" borderId="16" xfId="0" applyFill="1" applyBorder="1"/>
    <xf numFmtId="167" fontId="0" fillId="7" borderId="16" xfId="0" applyNumberFormat="1" applyFill="1" applyBorder="1"/>
    <xf numFmtId="0" fontId="4" fillId="2" borderId="16" xfId="0" applyFont="1" applyFill="1" applyBorder="1" applyAlignment="1">
      <alignment horizontal="center"/>
    </xf>
    <xf numFmtId="0" fontId="4" fillId="23" borderId="30" xfId="0" applyFont="1" applyFill="1" applyBorder="1" applyAlignment="1">
      <alignment horizontal="center" vertical="top"/>
    </xf>
    <xf numFmtId="0" fontId="4" fillId="31" borderId="17" xfId="0" applyFont="1" applyFill="1" applyBorder="1"/>
    <xf numFmtId="0" fontId="4" fillId="31" borderId="49" xfId="0" applyFont="1" applyFill="1" applyBorder="1"/>
    <xf numFmtId="166" fontId="0" fillId="0" borderId="0" xfId="0" applyNumberFormat="1" applyAlignment="1">
      <alignment horizontal="left"/>
    </xf>
    <xf numFmtId="0" fontId="82" fillId="2" borderId="0" xfId="0" applyFont="1" applyFill="1"/>
    <xf numFmtId="0" fontId="0" fillId="9" borderId="0" xfId="0" applyFill="1" applyAlignment="1">
      <alignment horizontal="left"/>
    </xf>
    <xf numFmtId="169" fontId="0" fillId="0" borderId="0" xfId="0" applyNumberFormat="1"/>
    <xf numFmtId="0" fontId="2" fillId="0" borderId="0" xfId="0" applyFont="1"/>
    <xf numFmtId="170" fontId="4" fillId="0" borderId="0" xfId="0" applyNumberFormat="1" applyFont="1" applyAlignment="1">
      <alignment horizontal="left"/>
    </xf>
    <xf numFmtId="166" fontId="4" fillId="0" borderId="0" xfId="0" applyNumberFormat="1" applyFont="1" applyAlignment="1">
      <alignment horizontal="left"/>
    </xf>
    <xf numFmtId="165" fontId="0" fillId="0" borderId="0" xfId="0" applyNumberFormat="1" applyAlignment="1">
      <alignment horizontal="right"/>
    </xf>
    <xf numFmtId="0" fontId="83" fillId="2" borderId="0" xfId="0" applyFont="1" applyFill="1"/>
    <xf numFmtId="0" fontId="4" fillId="2" borderId="16" xfId="0" applyFont="1" applyFill="1" applyBorder="1"/>
    <xf numFmtId="171" fontId="0" fillId="0" borderId="0" xfId="0" applyNumberFormat="1"/>
    <xf numFmtId="0" fontId="0" fillId="22" borderId="17" xfId="0" applyFill="1" applyBorder="1"/>
    <xf numFmtId="0" fontId="0" fillId="31" borderId="49" xfId="0" applyFill="1" applyBorder="1"/>
    <xf numFmtId="0" fontId="84" fillId="0" borderId="0" xfId="0" applyFont="1"/>
    <xf numFmtId="0" fontId="4" fillId="31" borderId="0" xfId="0" applyFont="1" applyFill="1"/>
    <xf numFmtId="0" fontId="46" fillId="22" borderId="17" xfId="0" applyFont="1" applyFill="1" applyBorder="1" applyAlignment="1">
      <alignment horizontal="center"/>
    </xf>
    <xf numFmtId="0" fontId="47" fillId="22" borderId="16" xfId="0" applyFont="1" applyFill="1" applyBorder="1" applyAlignment="1">
      <alignment horizontal="center"/>
    </xf>
    <xf numFmtId="0" fontId="0" fillId="31" borderId="16" xfId="0" applyFill="1" applyBorder="1"/>
    <xf numFmtId="166" fontId="0" fillId="0" borderId="0" xfId="0" applyNumberFormat="1" applyAlignment="1">
      <alignment horizontal="right"/>
    </xf>
    <xf numFmtId="0" fontId="85" fillId="0" borderId="0" xfId="0" applyFont="1"/>
    <xf numFmtId="0" fontId="4" fillId="31" borderId="49" xfId="0" applyFont="1" applyFill="1" applyBorder="1" applyAlignment="1">
      <alignment horizontal="center"/>
    </xf>
    <xf numFmtId="0" fontId="86" fillId="31" borderId="16" xfId="0" applyFont="1" applyFill="1" applyBorder="1"/>
    <xf numFmtId="0" fontId="87" fillId="0" borderId="0" xfId="0" applyFont="1"/>
    <xf numFmtId="0" fontId="88" fillId="0" borderId="0" xfId="0" applyFont="1"/>
    <xf numFmtId="0" fontId="4" fillId="9" borderId="0" xfId="0" applyFont="1" applyFill="1"/>
    <xf numFmtId="0" fontId="4" fillId="7" borderId="0" xfId="0" applyFont="1" applyFill="1" applyAlignment="1">
      <alignment horizontal="left"/>
    </xf>
    <xf numFmtId="170" fontId="0" fillId="0" borderId="0" xfId="0" applyNumberFormat="1"/>
    <xf numFmtId="0" fontId="0" fillId="0" borderId="0" xfId="0" applyAlignment="1">
      <alignment horizontal="left"/>
    </xf>
    <xf numFmtId="0" fontId="52" fillId="0" borderId="0" xfId="0" applyFont="1"/>
    <xf numFmtId="172" fontId="0" fillId="0" borderId="0" xfId="0" applyNumberFormat="1"/>
    <xf numFmtId="0" fontId="4" fillId="23" borderId="48" xfId="0" applyFont="1" applyFill="1" applyBorder="1" applyAlignment="1">
      <alignment horizontal="center" vertical="center"/>
    </xf>
    <xf numFmtId="0" fontId="4" fillId="31" borderId="48" xfId="0" applyFont="1" applyFill="1" applyBorder="1" applyAlignment="1">
      <alignment horizontal="center" vertical="center"/>
    </xf>
    <xf numFmtId="0" fontId="4" fillId="31" borderId="0" xfId="0" applyFont="1" applyFill="1" applyAlignment="1">
      <alignment horizontal="left"/>
    </xf>
    <xf numFmtId="0" fontId="2" fillId="0" borderId="28" xfId="0" applyFont="1" applyBorder="1"/>
    <xf numFmtId="0" fontId="47" fillId="22" borderId="48" xfId="0" applyFont="1" applyFill="1" applyBorder="1" applyAlignment="1">
      <alignment horizontal="center"/>
    </xf>
    <xf numFmtId="0" fontId="4" fillId="31" borderId="16" xfId="0" applyFont="1" applyFill="1" applyBorder="1" applyAlignment="1">
      <alignment horizontal="left"/>
    </xf>
    <xf numFmtId="0" fontId="4" fillId="7" borderId="16" xfId="0" applyFont="1" applyFill="1" applyBorder="1"/>
    <xf numFmtId="0" fontId="4" fillId="7" borderId="49" xfId="0" applyFont="1" applyFill="1" applyBorder="1"/>
    <xf numFmtId="0" fontId="4" fillId="31" borderId="55" xfId="0" applyFont="1" applyFill="1" applyBorder="1"/>
    <xf numFmtId="165" fontId="4" fillId="0" borderId="0" xfId="0" applyNumberFormat="1" applyFont="1"/>
    <xf numFmtId="0" fontId="0" fillId="7" borderId="55" xfId="0" applyFill="1" applyBorder="1"/>
    <xf numFmtId="0" fontId="4" fillId="31" borderId="28" xfId="0" applyFont="1" applyFill="1" applyBorder="1"/>
    <xf numFmtId="0" fontId="0" fillId="0" borderId="28" xfId="0" applyBorder="1"/>
    <xf numFmtId="0" fontId="47" fillId="50" borderId="14" xfId="0" applyFont="1" applyFill="1" applyBorder="1" applyAlignment="1">
      <alignment horizontal="center" vertical="top" wrapText="1"/>
    </xf>
    <xf numFmtId="0" fontId="47" fillId="50" borderId="9" xfId="0" applyFont="1" applyFill="1" applyBorder="1" applyAlignment="1">
      <alignment horizontal="center" vertical="center"/>
    </xf>
    <xf numFmtId="9" fontId="47" fillId="50" borderId="9" xfId="0" applyNumberFormat="1" applyFont="1" applyFill="1" applyBorder="1" applyAlignment="1">
      <alignment horizontal="center" vertical="center"/>
    </xf>
    <xf numFmtId="0" fontId="89" fillId="51" borderId="32" xfId="0" applyFont="1" applyFill="1" applyBorder="1" applyAlignment="1">
      <alignment horizontal="left" vertical="top" wrapText="1"/>
    </xf>
    <xf numFmtId="0" fontId="2" fillId="15" borderId="22" xfId="0" applyFont="1" applyFill="1" applyBorder="1" applyAlignment="1">
      <alignment horizontal="center"/>
    </xf>
    <xf numFmtId="1" fontId="2" fillId="15" borderId="22" xfId="0" applyNumberFormat="1" applyFont="1" applyFill="1" applyBorder="1" applyAlignment="1">
      <alignment horizontal="center"/>
    </xf>
    <xf numFmtId="0" fontId="68" fillId="51" borderId="32" xfId="0" applyFont="1" applyFill="1" applyBorder="1" applyAlignment="1">
      <alignment horizontal="left" vertical="top" wrapText="1"/>
    </xf>
    <xf numFmtId="0" fontId="2" fillId="41" borderId="22" xfId="0" applyFont="1" applyFill="1" applyBorder="1" applyAlignment="1">
      <alignment horizontal="center"/>
    </xf>
    <xf numFmtId="0" fontId="68" fillId="51" borderId="32" xfId="0" applyFont="1" applyFill="1" applyBorder="1" applyAlignment="1">
      <alignment vertical="top" wrapText="1"/>
    </xf>
    <xf numFmtId="0" fontId="89" fillId="51" borderId="32" xfId="0" applyFont="1" applyFill="1" applyBorder="1" applyAlignment="1">
      <alignment vertical="top" wrapText="1"/>
    </xf>
    <xf numFmtId="1" fontId="2" fillId="41" borderId="22" xfId="0" applyNumberFormat="1" applyFont="1" applyFill="1" applyBorder="1" applyAlignment="1">
      <alignment horizontal="center"/>
    </xf>
    <xf numFmtId="0" fontId="46" fillId="51" borderId="32" xfId="0" applyFont="1" applyFill="1" applyBorder="1" applyAlignment="1">
      <alignment vertical="top" wrapText="1"/>
    </xf>
    <xf numFmtId="0" fontId="68" fillId="51" borderId="51" xfId="0" applyFont="1" applyFill="1" applyBorder="1" applyAlignment="1">
      <alignment vertical="top" wrapText="1"/>
    </xf>
    <xf numFmtId="0" fontId="2" fillId="15" borderId="31" xfId="0" applyFont="1" applyFill="1" applyBorder="1" applyAlignment="1">
      <alignment horizontal="center"/>
    </xf>
    <xf numFmtId="0" fontId="46" fillId="51" borderId="32" xfId="0" applyFont="1" applyFill="1" applyBorder="1"/>
    <xf numFmtId="0" fontId="44" fillId="23" borderId="22" xfId="0" applyFont="1" applyFill="1" applyBorder="1"/>
    <xf numFmtId="0" fontId="47" fillId="50" borderId="69" xfId="0" applyFont="1" applyFill="1" applyBorder="1"/>
    <xf numFmtId="0" fontId="90" fillId="50" borderId="70" xfId="0" applyFont="1" applyFill="1" applyBorder="1"/>
    <xf numFmtId="0" fontId="0" fillId="0" borderId="16" xfId="0" applyBorder="1" applyAlignment="1">
      <alignment horizontal="center" vertical="center"/>
    </xf>
    <xf numFmtId="0" fontId="2" fillId="3" borderId="9" xfId="0" applyFont="1" applyFill="1" applyBorder="1" applyAlignment="1">
      <alignment horizontal="center" vertical="center" wrapText="1"/>
    </xf>
    <xf numFmtId="0" fontId="13" fillId="0" borderId="11" xfId="0" applyFont="1" applyBorder="1" applyAlignment="1">
      <alignment horizontal="center" vertical="center"/>
    </xf>
    <xf numFmtId="0" fontId="9" fillId="3" borderId="14" xfId="0" applyFont="1" applyFill="1" applyBorder="1" applyAlignment="1">
      <alignment horizontal="center" vertical="center"/>
    </xf>
    <xf numFmtId="0" fontId="23" fillId="4" borderId="8" xfId="0" applyFont="1" applyFill="1" applyBorder="1" applyAlignment="1">
      <alignment horizontal="center" vertical="center" wrapText="1"/>
    </xf>
    <xf numFmtId="0" fontId="23" fillId="4" borderId="8" xfId="0" applyFont="1" applyFill="1" applyBorder="1" applyAlignment="1">
      <alignment horizontal="center" vertical="center"/>
    </xf>
    <xf numFmtId="0" fontId="24" fillId="4" borderId="8" xfId="0" applyFont="1" applyFill="1" applyBorder="1" applyAlignment="1">
      <alignment horizontal="center" vertical="center" wrapText="1"/>
    </xf>
    <xf numFmtId="0" fontId="24" fillId="4" borderId="9" xfId="0" applyFont="1" applyFill="1" applyBorder="1" applyAlignment="1">
      <alignment horizontal="center" vertical="center" wrapText="1"/>
    </xf>
    <xf numFmtId="0" fontId="25" fillId="5" borderId="15" xfId="0" applyFont="1" applyFill="1" applyBorder="1" applyAlignment="1">
      <alignment horizontal="center" vertical="center" wrapText="1"/>
    </xf>
    <xf numFmtId="0" fontId="25" fillId="5" borderId="8" xfId="0" applyFont="1" applyFill="1" applyBorder="1" applyAlignment="1">
      <alignment horizontal="center" vertical="center" wrapText="1"/>
    </xf>
    <xf numFmtId="0" fontId="26" fillId="6" borderId="8" xfId="0" applyFont="1" applyFill="1" applyBorder="1" applyAlignment="1">
      <alignment horizontal="center" vertical="center" wrapText="1"/>
    </xf>
    <xf numFmtId="0" fontId="25" fillId="7" borderId="8" xfId="0" applyFont="1" applyFill="1" applyBorder="1" applyAlignment="1">
      <alignment horizontal="center" vertical="center" wrapText="1"/>
    </xf>
    <xf numFmtId="0" fontId="27" fillId="8" borderId="8" xfId="0" applyFont="1" applyFill="1" applyBorder="1" applyAlignment="1">
      <alignment horizontal="center" vertical="center" wrapText="1"/>
    </xf>
    <xf numFmtId="0" fontId="27" fillId="9" borderId="8" xfId="0" applyFont="1" applyFill="1" applyBorder="1" applyAlignment="1">
      <alignment horizontal="center" vertical="center" wrapText="1"/>
    </xf>
    <xf numFmtId="0" fontId="27" fillId="10" borderId="8" xfId="0" applyFont="1" applyFill="1" applyBorder="1" applyAlignment="1">
      <alignment horizontal="center" vertical="center" wrapText="1"/>
    </xf>
    <xf numFmtId="0" fontId="27" fillId="11" borderId="8" xfId="0" applyFont="1" applyFill="1" applyBorder="1" applyAlignment="1">
      <alignment horizontal="center" vertical="center" wrapText="1"/>
    </xf>
    <xf numFmtId="0" fontId="28" fillId="12" borderId="8" xfId="0" applyFont="1" applyFill="1" applyBorder="1" applyAlignment="1">
      <alignment horizontal="center" vertical="center" wrapText="1"/>
    </xf>
    <xf numFmtId="0" fontId="29" fillId="5" borderId="8" xfId="0" applyFont="1" applyFill="1" applyBorder="1" applyAlignment="1">
      <alignment horizontal="center" vertical="center" wrapText="1"/>
    </xf>
    <xf numFmtId="0" fontId="27" fillId="0" borderId="0" xfId="0" applyFont="1" applyAlignment="1">
      <alignment horizontal="center" vertical="center" wrapText="1"/>
    </xf>
    <xf numFmtId="0" fontId="45" fillId="21" borderId="21" xfId="0" applyFont="1" applyFill="1" applyBorder="1" applyAlignment="1">
      <alignment horizontal="center" vertical="center"/>
    </xf>
    <xf numFmtId="0" fontId="0" fillId="18" borderId="16" xfId="0" applyFill="1" applyBorder="1" applyAlignment="1">
      <alignment horizontal="center"/>
    </xf>
    <xf numFmtId="0" fontId="0" fillId="0" borderId="0" xfId="0"/>
    <xf numFmtId="0" fontId="0" fillId="0" borderId="0" xfId="0" applyAlignment="1">
      <alignment horizontal="left" vertical="center"/>
    </xf>
    <xf numFmtId="0" fontId="49" fillId="0" borderId="0" xfId="0" applyFont="1"/>
    <xf numFmtId="0" fontId="0" fillId="35" borderId="0" xfId="0" applyFill="1"/>
    <xf numFmtId="0" fontId="51" fillId="0" borderId="0" xfId="0" applyFont="1" applyAlignment="1">
      <alignment horizontal="center"/>
    </xf>
    <xf numFmtId="0" fontId="1" fillId="0" borderId="0" xfId="0" applyFont="1" applyAlignment="1">
      <alignment horizontal="center" vertical="center" wrapText="1"/>
    </xf>
    <xf numFmtId="0" fontId="1" fillId="0" borderId="21" xfId="0" applyFont="1" applyBorder="1" applyAlignment="1">
      <alignment horizontal="center" vertical="center"/>
    </xf>
    <xf numFmtId="0" fontId="0" fillId="0" borderId="21" xfId="0" applyBorder="1" applyAlignment="1">
      <alignment horizontal="center" vertical="center"/>
    </xf>
    <xf numFmtId="0" fontId="59" fillId="2" borderId="11" xfId="4" applyFont="1" applyFill="1" applyBorder="1"/>
    <xf numFmtId="0" fontId="67" fillId="42" borderId="16" xfId="0" applyFont="1" applyFill="1" applyBorder="1" applyAlignment="1">
      <alignment horizontal="center" vertical="center"/>
    </xf>
    <xf numFmtId="0" fontId="67" fillId="42" borderId="0" xfId="0" applyFont="1" applyFill="1" applyAlignment="1">
      <alignment horizontal="center" vertical="center" wrapText="1"/>
    </xf>
    <xf numFmtId="0" fontId="46" fillId="2" borderId="0" xfId="0" applyFont="1" applyFill="1" applyAlignment="1">
      <alignment horizontal="center"/>
    </xf>
    <xf numFmtId="0" fontId="0" fillId="0" borderId="0" xfId="0" applyAlignment="1">
      <alignment horizontal="center" vertical="center" wrapText="1"/>
    </xf>
    <xf numFmtId="0" fontId="46" fillId="42" borderId="0" xfId="0" applyFont="1" applyFill="1" applyAlignment="1">
      <alignment horizontal="center" vertical="center"/>
    </xf>
    <xf numFmtId="0" fontId="47" fillId="47" borderId="66" xfId="0" applyFont="1" applyFill="1" applyBorder="1" applyAlignment="1">
      <alignment horizontal="center" wrapText="1"/>
    </xf>
    <xf numFmtId="0" fontId="0" fillId="7" borderId="2" xfId="0" applyFill="1" applyBorder="1" applyAlignment="1">
      <alignment horizontal="center"/>
    </xf>
    <xf numFmtId="0" fontId="1" fillId="0" borderId="21" xfId="0" applyFont="1" applyBorder="1" applyAlignment="1">
      <alignment horizontal="center"/>
    </xf>
    <xf numFmtId="0" fontId="1" fillId="7" borderId="28" xfId="0" applyFont="1" applyFill="1" applyBorder="1" applyAlignment="1">
      <alignment horizontal="center"/>
    </xf>
    <xf numFmtId="0" fontId="1" fillId="0" borderId="28" xfId="0" applyFont="1" applyBorder="1" applyAlignment="1">
      <alignment horizontal="center"/>
    </xf>
    <xf numFmtId="0" fontId="0" fillId="0" borderId="28" xfId="0" applyBorder="1" applyAlignment="1">
      <alignment horizontal="center"/>
    </xf>
    <xf numFmtId="0" fontId="0" fillId="7" borderId="16" xfId="0" applyFill="1" applyBorder="1" applyAlignment="1">
      <alignment horizontal="center"/>
    </xf>
    <xf numFmtId="0" fontId="0" fillId="0" borderId="0" xfId="0" applyAlignment="1">
      <alignment horizontal="center"/>
    </xf>
    <xf numFmtId="0" fontId="1" fillId="0" borderId="16" xfId="0" applyFont="1" applyBorder="1" applyAlignment="1">
      <alignment horizontal="center"/>
    </xf>
    <xf numFmtId="0" fontId="4" fillId="0" borderId="0" xfId="0" applyFont="1"/>
    <xf numFmtId="0" fontId="0" fillId="0" borderId="21" xfId="0" applyBorder="1" applyAlignment="1">
      <alignment horizontal="center"/>
    </xf>
    <xf numFmtId="0" fontId="47" fillId="50" borderId="68" xfId="0" applyFont="1" applyFill="1" applyBorder="1" applyAlignment="1">
      <alignment horizontal="center" vertical="top" wrapText="1"/>
    </xf>
    <xf numFmtId="0" fontId="46" fillId="50" borderId="20" xfId="0" applyFont="1" applyFill="1" applyBorder="1" applyAlignment="1">
      <alignment horizontal="center"/>
    </xf>
  </cellXfs>
  <cellStyles count="8">
    <cellStyle name="Campo da tabela dinâmica" xfId="1" xr:uid="{00000000-0005-0000-0000-000006000000}"/>
    <cellStyle name="Canto da tabela dinâmica" xfId="2" xr:uid="{00000000-0005-0000-0000-000007000000}"/>
    <cellStyle name="Categoria da tabela dinâmica" xfId="3" xr:uid="{00000000-0005-0000-0000-000008000000}"/>
    <cellStyle name="Normal" xfId="0" builtinId="0"/>
    <cellStyle name="Normal 2" xfId="4" xr:uid="{00000000-0005-0000-0000-000009000000}"/>
    <cellStyle name="Resultado da tabela dinâmica" xfId="5" xr:uid="{00000000-0005-0000-0000-00000A000000}"/>
    <cellStyle name="Título da tabela dinâmica" xfId="6" xr:uid="{00000000-0005-0000-0000-00000B000000}"/>
    <cellStyle name="Valor da tabela dinâmica" xfId="7" xr:uid="{00000000-0005-0000-0000-00000C000000}"/>
  </cellStyles>
  <dxfs count="1">
    <dxf>
      <font>
        <b/>
        <color rgb="FFFF0000"/>
      </font>
      <fill>
        <patternFill>
          <bgColor rgb="FFB7E1CD"/>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C000E"/>
      <rgbColor rgb="FF026B02"/>
      <rgbColor rgb="FFEFEFEF"/>
      <rgbColor rgb="FFAFBE6D"/>
      <rgbColor rgb="FFD3E4C1"/>
      <rgbColor rgb="FFB7E0CA"/>
      <rgbColor rgb="FFC0C0C0"/>
      <rgbColor rgb="FF94B3DD"/>
      <rgbColor rgb="FFB4A7D6"/>
      <rgbColor rgb="FFDDD9C3"/>
      <rgbColor rgb="FFEAF1DD"/>
      <rgbColor rgb="FFDBEEF3"/>
      <rgbColor rgb="FF351C75"/>
      <rgbColor rgb="FFFAC090"/>
      <rgbColor rgb="FF186092"/>
      <rgbColor rgb="FFD8D8D8"/>
      <rgbColor rgb="FFF3F3F3"/>
      <rgbColor rgb="FFFCD5B5"/>
      <rgbColor rgb="FFFFD966"/>
      <rgbColor rgb="FFA5C3F4"/>
      <rgbColor rgb="FFCFE2F3"/>
      <rgbColor rgb="FFD9EAD3"/>
      <rgbColor rgb="FFD9D9D9"/>
      <rgbColor rgb="FFEEECE1"/>
      <rgbColor rgb="FF00C7FF"/>
      <rgbColor rgb="FFDBE5F1"/>
      <rgbColor rgb="FFCCFFCC"/>
      <rgbColor rgb="FFFFFF6D"/>
      <rgbColor rgb="FF99CCFF"/>
      <rgbColor rgb="FFFF99CC"/>
      <rgbColor rgb="FFCC99FF"/>
      <rgbColor rgb="FFFFCC99"/>
      <rgbColor rgb="FF4483C2"/>
      <rgbColor rgb="FF50A7D0"/>
      <rgbColor rgb="FFA8C22E"/>
      <rgbColor rgb="FFF1C232"/>
      <rgbColor rgb="FFFF9903"/>
      <rgbColor rgb="FFFF6600"/>
      <rgbColor rgb="FFB9B7B5"/>
      <rgbColor rgb="FF968A96"/>
      <rgbColor rgb="FF0F243E"/>
      <rgbColor rgb="FF9FC5E8"/>
      <rgbColor rgb="FFD4EA6B"/>
      <rgbColor rgb="FF1A1A1A"/>
      <rgbColor rgb="FFA83422"/>
      <rgbColor rgb="FFF2D1DC"/>
      <rgbColor rgb="FF2727C2"/>
      <rgbColor rgb="FF35403E"/>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styles" Target="styles.xml"/><Relationship Id="rId55" Type="http://schemas.openxmlformats.org/officeDocument/2006/relationships/customXml" Target="../customXml/item3.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pivotCacheDefinition" Target="pivotCache/pivotCacheDefinition1.xml"/><Relationship Id="rId8" Type="http://schemas.openxmlformats.org/officeDocument/2006/relationships/worksheet" Target="worksheets/sheet8.xml"/><Relationship Id="rId51"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c:style val="2"/>
  <c:chart>
    <c:title>
      <c:tx>
        <c:rich>
          <a:bodyPr rot="0"/>
          <a:lstStyle/>
          <a:p>
            <a:pPr>
              <a:defRPr sz="1300" b="0" u="none" strike="noStrike">
                <a:uFillTx/>
                <a:latin typeface="Arial"/>
              </a:defRPr>
            </a:pPr>
            <a:r>
              <a:rPr lang="pt-BR" sz="2400" b="1" u="none" strike="noStrike">
                <a:solidFill>
                  <a:srgbClr val="3D85C6"/>
                </a:solidFill>
                <a:uFillTx/>
                <a:latin typeface="Arial"/>
                <a:ea typeface="Arial"/>
              </a:rPr>
              <a:t>VACÂNCIAS POR CARGO DA SEÇÃO JUDICIÁRIA DO CEARÁ                                                                                       
      </a:t>
            </a:r>
          </a:p>
        </c:rich>
      </c:tx>
      <c:layout>
        <c:manualLayout>
          <c:xMode val="edge"/>
          <c:yMode val="edge"/>
          <c:x val="3.6064757160647602E-2"/>
          <c:y val="2.6095060577819199E-2"/>
        </c:manualLayout>
      </c:layout>
      <c:overlay val="0"/>
      <c:spPr>
        <a:noFill/>
        <a:ln w="0">
          <a:noFill/>
        </a:ln>
      </c:spPr>
    </c:title>
    <c:autoTitleDeleted val="0"/>
    <c:plotArea>
      <c:layout/>
      <c:doughnutChart>
        <c:varyColors val="1"/>
        <c:ser>
          <c:idx val="0"/>
          <c:order val="0"/>
          <c:spPr>
            <a:solidFill>
              <a:srgbClr val="D9EAD3"/>
            </a:solidFill>
            <a:ln w="0">
              <a:noFill/>
            </a:ln>
          </c:spPr>
          <c:dPt>
            <c:idx val="0"/>
            <c:bubble3D val="0"/>
            <c:spPr>
              <a:solidFill>
                <a:srgbClr val="00FF50"/>
              </a:solidFill>
              <a:ln w="0">
                <a:noFill/>
              </a:ln>
            </c:spPr>
            <c:extLst>
              <c:ext xmlns:c16="http://schemas.microsoft.com/office/drawing/2014/chart" uri="{C3380CC4-5D6E-409C-BE32-E72D297353CC}">
                <c16:uniqueId val="{00000001-FB47-4393-B449-8D5C3F187991}"/>
              </c:ext>
            </c:extLst>
          </c:dPt>
          <c:dPt>
            <c:idx val="1"/>
            <c:bubble3D val="0"/>
            <c:spPr>
              <a:solidFill>
                <a:srgbClr val="B6D7A8"/>
              </a:solidFill>
              <a:ln w="0">
                <a:noFill/>
              </a:ln>
            </c:spPr>
            <c:extLst>
              <c:ext xmlns:c16="http://schemas.microsoft.com/office/drawing/2014/chart" uri="{C3380CC4-5D6E-409C-BE32-E72D297353CC}">
                <c16:uniqueId val="{00000003-FB47-4393-B449-8D5C3F187991}"/>
              </c:ext>
            </c:extLst>
          </c:dPt>
          <c:dPt>
            <c:idx val="2"/>
            <c:bubble3D val="0"/>
            <c:spPr>
              <a:solidFill>
                <a:srgbClr val="CA2F2F"/>
              </a:solidFill>
              <a:ln w="0">
                <a:noFill/>
              </a:ln>
            </c:spPr>
            <c:extLst>
              <c:ext xmlns:c16="http://schemas.microsoft.com/office/drawing/2014/chart" uri="{C3380CC4-5D6E-409C-BE32-E72D297353CC}">
                <c16:uniqueId val="{00000005-FB47-4393-B449-8D5C3F187991}"/>
              </c:ext>
            </c:extLst>
          </c:dPt>
          <c:dPt>
            <c:idx val="3"/>
            <c:bubble3D val="0"/>
            <c:spPr>
              <a:solidFill>
                <a:srgbClr val="8064A2"/>
              </a:solidFill>
              <a:ln w="0">
                <a:noFill/>
              </a:ln>
            </c:spPr>
            <c:extLst>
              <c:ext xmlns:c16="http://schemas.microsoft.com/office/drawing/2014/chart" uri="{C3380CC4-5D6E-409C-BE32-E72D297353CC}">
                <c16:uniqueId val="{00000007-FB47-4393-B449-8D5C3F187991}"/>
              </c:ext>
            </c:extLst>
          </c:dPt>
          <c:dPt>
            <c:idx val="4"/>
            <c:bubble3D val="0"/>
            <c:spPr>
              <a:solidFill>
                <a:srgbClr val="4BACC6"/>
              </a:solidFill>
              <a:ln w="0">
                <a:noFill/>
              </a:ln>
            </c:spPr>
            <c:extLst>
              <c:ext xmlns:c16="http://schemas.microsoft.com/office/drawing/2014/chart" uri="{C3380CC4-5D6E-409C-BE32-E72D297353CC}">
                <c16:uniqueId val="{00000009-FB47-4393-B449-8D5C3F187991}"/>
              </c:ext>
            </c:extLst>
          </c:dPt>
          <c:dPt>
            <c:idx val="5"/>
            <c:bubble3D val="0"/>
            <c:spPr>
              <a:solidFill>
                <a:srgbClr val="F79646"/>
              </a:solidFill>
              <a:ln w="0">
                <a:noFill/>
              </a:ln>
            </c:spPr>
            <c:extLst>
              <c:ext xmlns:c16="http://schemas.microsoft.com/office/drawing/2014/chart" uri="{C3380CC4-5D6E-409C-BE32-E72D297353CC}">
                <c16:uniqueId val="{0000000B-FB47-4393-B449-8D5C3F187991}"/>
              </c:ext>
            </c:extLst>
          </c:dPt>
          <c:dPt>
            <c:idx val="6"/>
            <c:bubble3D val="0"/>
            <c:spPr>
              <a:solidFill>
                <a:srgbClr val="E4F0E0"/>
              </a:solidFill>
              <a:ln w="0">
                <a:noFill/>
              </a:ln>
            </c:spPr>
            <c:extLst>
              <c:ext xmlns:c16="http://schemas.microsoft.com/office/drawing/2014/chart" uri="{C3380CC4-5D6E-409C-BE32-E72D297353CC}">
                <c16:uniqueId val="{0000000D-FB47-4393-B449-8D5C3F187991}"/>
              </c:ext>
            </c:extLst>
          </c:dPt>
          <c:dPt>
            <c:idx val="7"/>
            <c:bubble3D val="0"/>
            <c:spPr>
              <a:solidFill>
                <a:srgbClr val="CCE3C2"/>
              </a:solidFill>
              <a:ln w="0">
                <a:noFill/>
              </a:ln>
            </c:spPr>
            <c:extLst>
              <c:ext xmlns:c16="http://schemas.microsoft.com/office/drawing/2014/chart" uri="{C3380CC4-5D6E-409C-BE32-E72D297353CC}">
                <c16:uniqueId val="{0000000F-FB47-4393-B449-8D5C3F187991}"/>
              </c:ext>
            </c:extLst>
          </c:dPt>
          <c:dPt>
            <c:idx val="8"/>
            <c:bubble3D val="0"/>
            <c:spPr>
              <a:solidFill>
                <a:srgbClr val="2424D1"/>
              </a:solidFill>
              <a:ln w="0">
                <a:noFill/>
              </a:ln>
            </c:spPr>
            <c:extLst>
              <c:ext xmlns:c16="http://schemas.microsoft.com/office/drawing/2014/chart" uri="{C3380CC4-5D6E-409C-BE32-E72D297353CC}">
                <c16:uniqueId val="{00000011-FB47-4393-B449-8D5C3F187991}"/>
              </c:ext>
            </c:extLst>
          </c:dPt>
          <c:dPt>
            <c:idx val="9"/>
            <c:bubble3D val="0"/>
            <c:spPr>
              <a:solidFill>
                <a:srgbClr val="F4CCCC"/>
              </a:solidFill>
              <a:ln w="0">
                <a:noFill/>
              </a:ln>
            </c:spPr>
            <c:extLst>
              <c:ext xmlns:c16="http://schemas.microsoft.com/office/drawing/2014/chart" uri="{C3380CC4-5D6E-409C-BE32-E72D297353CC}">
                <c16:uniqueId val="{00000013-FB47-4393-B449-8D5C3F187991}"/>
              </c:ext>
            </c:extLst>
          </c:dPt>
          <c:dPt>
            <c:idx val="10"/>
            <c:bubble3D val="0"/>
            <c:spPr>
              <a:solidFill>
                <a:srgbClr val="FCE5CD"/>
              </a:solidFill>
              <a:ln w="0">
                <a:noFill/>
              </a:ln>
            </c:spPr>
            <c:extLst>
              <c:ext xmlns:c16="http://schemas.microsoft.com/office/drawing/2014/chart" uri="{C3380CC4-5D6E-409C-BE32-E72D297353CC}">
                <c16:uniqueId val="{00000015-FB47-4393-B449-8D5C3F187991}"/>
              </c:ext>
            </c:extLst>
          </c:dPt>
          <c:dPt>
            <c:idx val="11"/>
            <c:bubble3D val="0"/>
            <c:spPr>
              <a:solidFill>
                <a:srgbClr val="F8B590"/>
              </a:solidFill>
              <a:ln w="0">
                <a:noFill/>
              </a:ln>
            </c:spPr>
            <c:extLst>
              <c:ext xmlns:c16="http://schemas.microsoft.com/office/drawing/2014/chart" uri="{C3380CC4-5D6E-409C-BE32-E72D297353CC}">
                <c16:uniqueId val="{00000017-FB47-4393-B449-8D5C3F187991}"/>
              </c:ext>
            </c:extLst>
          </c:dPt>
          <c:dLbls>
            <c:dLbl>
              <c:idx val="0"/>
              <c:spPr/>
              <c:txPr>
                <a:bodyPr wrap="none"/>
                <a:lstStyle/>
                <a:p>
                  <a:pPr>
                    <a:defRPr sz="1000" b="0" u="none" strike="noStrike">
                      <a:uFillTx/>
                      <a:latin typeface="Arial"/>
                    </a:defRPr>
                  </a:pPr>
                  <a:endParaRPr lang="pt-BR"/>
                </a:p>
              </c:txPr>
              <c:showLegendKey val="0"/>
              <c:showVal val="0"/>
              <c:showCatName val="0"/>
              <c:showSerName val="0"/>
              <c:showPercent val="0"/>
              <c:showBubbleSize val="1"/>
              <c:extLst>
                <c:ext xmlns:c16="http://schemas.microsoft.com/office/drawing/2014/chart" uri="{C3380CC4-5D6E-409C-BE32-E72D297353CC}">
                  <c16:uniqueId val="{00000001-FB47-4393-B449-8D5C3F187991}"/>
                </c:ext>
              </c:extLst>
            </c:dLbl>
            <c:dLbl>
              <c:idx val="1"/>
              <c:spPr/>
              <c:txPr>
                <a:bodyPr wrap="none"/>
                <a:lstStyle/>
                <a:p>
                  <a:pPr>
                    <a:defRPr sz="1000" b="0" u="none" strike="noStrike">
                      <a:uFillTx/>
                      <a:latin typeface="Arial"/>
                    </a:defRPr>
                  </a:pPr>
                  <a:endParaRPr lang="pt-BR"/>
                </a:p>
              </c:txPr>
              <c:showLegendKey val="0"/>
              <c:showVal val="0"/>
              <c:showCatName val="0"/>
              <c:showSerName val="0"/>
              <c:showPercent val="0"/>
              <c:showBubbleSize val="1"/>
              <c:extLst>
                <c:ext xmlns:c16="http://schemas.microsoft.com/office/drawing/2014/chart" uri="{C3380CC4-5D6E-409C-BE32-E72D297353CC}">
                  <c16:uniqueId val="{00000003-FB47-4393-B449-8D5C3F187991}"/>
                </c:ext>
              </c:extLst>
            </c:dLbl>
            <c:dLbl>
              <c:idx val="2"/>
              <c:spPr/>
              <c:txPr>
                <a:bodyPr wrap="none"/>
                <a:lstStyle/>
                <a:p>
                  <a:pPr>
                    <a:defRPr sz="1000" b="0" u="none" strike="noStrike">
                      <a:uFillTx/>
                      <a:latin typeface="Arial"/>
                    </a:defRPr>
                  </a:pPr>
                  <a:endParaRPr lang="pt-BR"/>
                </a:p>
              </c:txPr>
              <c:showLegendKey val="0"/>
              <c:showVal val="0"/>
              <c:showCatName val="0"/>
              <c:showSerName val="0"/>
              <c:showPercent val="0"/>
              <c:showBubbleSize val="1"/>
              <c:extLst>
                <c:ext xmlns:c16="http://schemas.microsoft.com/office/drawing/2014/chart" uri="{C3380CC4-5D6E-409C-BE32-E72D297353CC}">
                  <c16:uniqueId val="{00000005-FB47-4393-B449-8D5C3F187991}"/>
                </c:ext>
              </c:extLst>
            </c:dLbl>
            <c:dLbl>
              <c:idx val="3"/>
              <c:spPr/>
              <c:txPr>
                <a:bodyPr wrap="none"/>
                <a:lstStyle/>
                <a:p>
                  <a:pPr>
                    <a:defRPr sz="1000" b="0" u="none" strike="noStrike">
                      <a:uFillTx/>
                      <a:latin typeface="Arial"/>
                    </a:defRPr>
                  </a:pPr>
                  <a:endParaRPr lang="pt-BR"/>
                </a:p>
              </c:txPr>
              <c:showLegendKey val="0"/>
              <c:showVal val="0"/>
              <c:showCatName val="0"/>
              <c:showSerName val="0"/>
              <c:showPercent val="0"/>
              <c:showBubbleSize val="1"/>
              <c:extLst>
                <c:ext xmlns:c16="http://schemas.microsoft.com/office/drawing/2014/chart" uri="{C3380CC4-5D6E-409C-BE32-E72D297353CC}">
                  <c16:uniqueId val="{00000007-FB47-4393-B449-8D5C3F187991}"/>
                </c:ext>
              </c:extLst>
            </c:dLbl>
            <c:dLbl>
              <c:idx val="4"/>
              <c:spPr/>
              <c:txPr>
                <a:bodyPr wrap="none"/>
                <a:lstStyle/>
                <a:p>
                  <a:pPr>
                    <a:defRPr sz="1000" b="0" u="none" strike="noStrike">
                      <a:uFillTx/>
                      <a:latin typeface="Arial"/>
                    </a:defRPr>
                  </a:pPr>
                  <a:endParaRPr lang="pt-BR"/>
                </a:p>
              </c:txPr>
              <c:showLegendKey val="0"/>
              <c:showVal val="0"/>
              <c:showCatName val="0"/>
              <c:showSerName val="0"/>
              <c:showPercent val="0"/>
              <c:showBubbleSize val="1"/>
              <c:extLst>
                <c:ext xmlns:c16="http://schemas.microsoft.com/office/drawing/2014/chart" uri="{C3380CC4-5D6E-409C-BE32-E72D297353CC}">
                  <c16:uniqueId val="{00000009-FB47-4393-B449-8D5C3F187991}"/>
                </c:ext>
              </c:extLst>
            </c:dLbl>
            <c:dLbl>
              <c:idx val="5"/>
              <c:spPr/>
              <c:txPr>
                <a:bodyPr wrap="none"/>
                <a:lstStyle/>
                <a:p>
                  <a:pPr>
                    <a:defRPr sz="1000" b="0" u="none" strike="noStrike">
                      <a:uFillTx/>
                      <a:latin typeface="Arial"/>
                    </a:defRPr>
                  </a:pPr>
                  <a:endParaRPr lang="pt-BR"/>
                </a:p>
              </c:txPr>
              <c:showLegendKey val="0"/>
              <c:showVal val="0"/>
              <c:showCatName val="0"/>
              <c:showSerName val="0"/>
              <c:showPercent val="0"/>
              <c:showBubbleSize val="1"/>
              <c:extLst>
                <c:ext xmlns:c16="http://schemas.microsoft.com/office/drawing/2014/chart" uri="{C3380CC4-5D6E-409C-BE32-E72D297353CC}">
                  <c16:uniqueId val="{0000000B-FB47-4393-B449-8D5C3F187991}"/>
                </c:ext>
              </c:extLst>
            </c:dLbl>
            <c:dLbl>
              <c:idx val="6"/>
              <c:spPr/>
              <c:txPr>
                <a:bodyPr wrap="none"/>
                <a:lstStyle/>
                <a:p>
                  <a:pPr>
                    <a:defRPr sz="1000" b="0" u="none" strike="noStrike">
                      <a:uFillTx/>
                      <a:latin typeface="Arial"/>
                    </a:defRPr>
                  </a:pPr>
                  <a:endParaRPr lang="pt-BR"/>
                </a:p>
              </c:txPr>
              <c:showLegendKey val="0"/>
              <c:showVal val="0"/>
              <c:showCatName val="0"/>
              <c:showSerName val="0"/>
              <c:showPercent val="0"/>
              <c:showBubbleSize val="1"/>
              <c:extLst>
                <c:ext xmlns:c16="http://schemas.microsoft.com/office/drawing/2014/chart" uri="{C3380CC4-5D6E-409C-BE32-E72D297353CC}">
                  <c16:uniqueId val="{0000000D-FB47-4393-B449-8D5C3F187991}"/>
                </c:ext>
              </c:extLst>
            </c:dLbl>
            <c:dLbl>
              <c:idx val="7"/>
              <c:spPr/>
              <c:txPr>
                <a:bodyPr wrap="none"/>
                <a:lstStyle/>
                <a:p>
                  <a:pPr>
                    <a:defRPr sz="1000" b="0" u="none" strike="noStrike">
                      <a:uFillTx/>
                      <a:latin typeface="Arial"/>
                    </a:defRPr>
                  </a:pPr>
                  <a:endParaRPr lang="pt-BR"/>
                </a:p>
              </c:txPr>
              <c:showLegendKey val="0"/>
              <c:showVal val="0"/>
              <c:showCatName val="0"/>
              <c:showSerName val="0"/>
              <c:showPercent val="0"/>
              <c:showBubbleSize val="1"/>
              <c:extLst>
                <c:ext xmlns:c16="http://schemas.microsoft.com/office/drawing/2014/chart" uri="{C3380CC4-5D6E-409C-BE32-E72D297353CC}">
                  <c16:uniqueId val="{0000000F-FB47-4393-B449-8D5C3F187991}"/>
                </c:ext>
              </c:extLst>
            </c:dLbl>
            <c:dLbl>
              <c:idx val="8"/>
              <c:spPr/>
              <c:txPr>
                <a:bodyPr wrap="none"/>
                <a:lstStyle/>
                <a:p>
                  <a:pPr>
                    <a:defRPr sz="1000" b="0" u="none" strike="noStrike">
                      <a:uFillTx/>
                      <a:latin typeface="Arial"/>
                    </a:defRPr>
                  </a:pPr>
                  <a:endParaRPr lang="pt-BR"/>
                </a:p>
              </c:txPr>
              <c:showLegendKey val="0"/>
              <c:showVal val="0"/>
              <c:showCatName val="0"/>
              <c:showSerName val="0"/>
              <c:showPercent val="0"/>
              <c:showBubbleSize val="1"/>
              <c:extLst>
                <c:ext xmlns:c16="http://schemas.microsoft.com/office/drawing/2014/chart" uri="{C3380CC4-5D6E-409C-BE32-E72D297353CC}">
                  <c16:uniqueId val="{00000011-FB47-4393-B449-8D5C3F187991}"/>
                </c:ext>
              </c:extLst>
            </c:dLbl>
            <c:dLbl>
              <c:idx val="9"/>
              <c:spPr/>
              <c:txPr>
                <a:bodyPr wrap="none"/>
                <a:lstStyle/>
                <a:p>
                  <a:pPr>
                    <a:defRPr sz="1000" b="0" u="none" strike="noStrike">
                      <a:uFillTx/>
                      <a:latin typeface="Arial"/>
                    </a:defRPr>
                  </a:pPr>
                  <a:endParaRPr lang="pt-BR"/>
                </a:p>
              </c:txPr>
              <c:showLegendKey val="0"/>
              <c:showVal val="0"/>
              <c:showCatName val="0"/>
              <c:showSerName val="0"/>
              <c:showPercent val="0"/>
              <c:showBubbleSize val="1"/>
              <c:extLst>
                <c:ext xmlns:c16="http://schemas.microsoft.com/office/drawing/2014/chart" uri="{C3380CC4-5D6E-409C-BE32-E72D297353CC}">
                  <c16:uniqueId val="{00000013-FB47-4393-B449-8D5C3F187991}"/>
                </c:ext>
              </c:extLst>
            </c:dLbl>
            <c:dLbl>
              <c:idx val="10"/>
              <c:spPr/>
              <c:txPr>
                <a:bodyPr wrap="none"/>
                <a:lstStyle/>
                <a:p>
                  <a:pPr>
                    <a:defRPr sz="1000" b="0" u="none" strike="noStrike">
                      <a:uFillTx/>
                      <a:latin typeface="Arial"/>
                    </a:defRPr>
                  </a:pPr>
                  <a:endParaRPr lang="pt-BR"/>
                </a:p>
              </c:txPr>
              <c:showLegendKey val="0"/>
              <c:showVal val="0"/>
              <c:showCatName val="0"/>
              <c:showSerName val="0"/>
              <c:showPercent val="0"/>
              <c:showBubbleSize val="1"/>
              <c:extLst>
                <c:ext xmlns:c16="http://schemas.microsoft.com/office/drawing/2014/chart" uri="{C3380CC4-5D6E-409C-BE32-E72D297353CC}">
                  <c16:uniqueId val="{00000015-FB47-4393-B449-8D5C3F187991}"/>
                </c:ext>
              </c:extLst>
            </c:dLbl>
            <c:dLbl>
              <c:idx val="11"/>
              <c:spPr/>
              <c:txPr>
                <a:bodyPr wrap="none"/>
                <a:lstStyle/>
                <a:p>
                  <a:pPr>
                    <a:defRPr sz="1000" b="0" u="none" strike="noStrike">
                      <a:uFillTx/>
                      <a:latin typeface="Arial"/>
                    </a:defRPr>
                  </a:pPr>
                  <a:endParaRPr lang="pt-BR"/>
                </a:p>
              </c:txPr>
              <c:showLegendKey val="0"/>
              <c:showVal val="0"/>
              <c:showCatName val="0"/>
              <c:showSerName val="0"/>
              <c:showPercent val="0"/>
              <c:showBubbleSize val="1"/>
              <c:extLst>
                <c:ext xmlns:c16="http://schemas.microsoft.com/office/drawing/2014/chart" uri="{C3380CC4-5D6E-409C-BE32-E72D297353CC}">
                  <c16:uniqueId val="{00000017-FB47-4393-B449-8D5C3F187991}"/>
                </c:ext>
              </c:extLst>
            </c:dLbl>
            <c:spPr>
              <a:noFill/>
              <a:ln>
                <a:noFill/>
              </a:ln>
              <a:effectLst/>
            </c:spPr>
            <c:txPr>
              <a:bodyPr wrap="none"/>
              <a:lstStyle/>
              <a:p>
                <a:pPr>
                  <a:defRPr sz="1000" b="0" u="none" strike="noStrike">
                    <a:uFillTx/>
                    <a:latin typeface="Arial"/>
                  </a:defRPr>
                </a:pPr>
                <a:endParaRPr lang="pt-BR"/>
              </a:p>
            </c:txPr>
            <c:showLegendKey val="0"/>
            <c:showVal val="0"/>
            <c:showCatName val="0"/>
            <c:showSerName val="0"/>
            <c:showPercent val="0"/>
            <c:showBubbleSize val="1"/>
            <c:separator> </c:separator>
            <c:showLeaderLines val="1"/>
            <c:leaderLines>
              <c:spPr>
                <a:ln w="0">
                  <a:solidFill>
                    <a:srgbClr val="000000"/>
                  </a:solidFill>
                </a:ln>
              </c:spPr>
            </c:leaderLines>
            <c:extLst>
              <c:ext xmlns:c15="http://schemas.microsoft.com/office/drawing/2012/chart" uri="{CE6537A1-D6FC-4f65-9D91-7224C49458BB}"/>
            </c:extLst>
          </c:dLbls>
          <c:cat>
            <c:strRef>
              <c:f>'Cargos vagos'!$B$142:$B$153</c:f>
              <c:strCache>
                <c:ptCount val="12"/>
                <c:pt idx="0">
                  <c:v>Analista Judiciário - Área Judiciária</c:v>
                </c:pt>
                <c:pt idx="1">
                  <c:v>Analista Judiciário - Área Judiciária - Especialidade Oficial de Justiça Avaliador Federal</c:v>
                </c:pt>
                <c:pt idx="2">
                  <c:v>Analista Judiciário - Área Administrativa</c:v>
                </c:pt>
                <c:pt idx="3">
                  <c:v>Analista Judiciário - Área Apoio Especializado - Especialidade Medicina (Clínica Geral)</c:v>
                </c:pt>
                <c:pt idx="4">
                  <c:v>Analista Judiciário - Área Apoio Especializado - Especialidade Informática/Infraestrutura</c:v>
                </c:pt>
                <c:pt idx="5">
                  <c:v>Analista Judiciário - Área Apoio Especializado - Especialidade Informática/Desenvolvimento</c:v>
                </c:pt>
                <c:pt idx="6">
                  <c:v>Analista Judiciário - Área Apoio Especializado - Especialidade Contadoria</c:v>
                </c:pt>
                <c:pt idx="7">
                  <c:v>Analista Judiciário - Área Apoio Especializado - Especialidade Engenharia Eletrica</c:v>
                </c:pt>
                <c:pt idx="8">
                  <c:v>Analista Judiciário - Área Apoio Especializado - Especialidade Engenharia Civil</c:v>
                </c:pt>
                <c:pt idx="9">
                  <c:v>Técnico Judiciário- Apoio Especializado- Contabilidade</c:v>
                </c:pt>
                <c:pt idx="10">
                  <c:v>Técnico Judiciário - Área Administrativa </c:v>
                </c:pt>
                <c:pt idx="11">
                  <c:v>Técnico Judiciário - Área Administrativa - Especialidade Segurança e Transporte </c:v>
                </c:pt>
              </c:strCache>
            </c:strRef>
          </c:cat>
          <c:val>
            <c:numRef>
              <c:f>'Cargos vagos'!$C$142:$C$153</c:f>
              <c:numCache>
                <c:formatCode>General</c:formatCode>
                <c:ptCount val="12"/>
                <c:pt idx="0">
                  <c:v>0</c:v>
                </c:pt>
                <c:pt idx="1">
                  <c:v>0</c:v>
                </c:pt>
                <c:pt idx="2">
                  <c:v>0</c:v>
                </c:pt>
                <c:pt idx="3">
                  <c:v>0</c:v>
                </c:pt>
                <c:pt idx="4">
                  <c:v>0</c:v>
                </c:pt>
                <c:pt idx="5">
                  <c:v>0</c:v>
                </c:pt>
                <c:pt idx="6">
                  <c:v>0</c:v>
                </c:pt>
                <c:pt idx="7">
                  <c:v>1</c:v>
                </c:pt>
                <c:pt idx="8">
                  <c:v>0</c:v>
                </c:pt>
                <c:pt idx="9">
                  <c:v>0</c:v>
                </c:pt>
                <c:pt idx="10">
                  <c:v>2</c:v>
                </c:pt>
                <c:pt idx="11">
                  <c:v>1</c:v>
                </c:pt>
              </c:numCache>
            </c:numRef>
          </c:val>
          <c:extLst>
            <c:ext xmlns:c16="http://schemas.microsoft.com/office/drawing/2014/chart" uri="{C3380CC4-5D6E-409C-BE32-E72D297353CC}">
              <c16:uniqueId val="{00000018-FB47-4393-B449-8D5C3F187991}"/>
            </c:ext>
          </c:extLst>
        </c:ser>
        <c:dLbls>
          <c:showLegendKey val="0"/>
          <c:showVal val="0"/>
          <c:showCatName val="0"/>
          <c:showSerName val="0"/>
          <c:showPercent val="0"/>
          <c:showBubbleSize val="0"/>
          <c:showLeaderLines val="1"/>
        </c:dLbls>
        <c:firstSliceAng val="0"/>
        <c:holeSize val="50"/>
      </c:doughnutChart>
      <c:spPr>
        <a:noFill/>
        <a:ln w="0">
          <a:noFill/>
        </a:ln>
      </c:spPr>
    </c:plotArea>
    <c:legend>
      <c:legendPos val="r"/>
      <c:layout>
        <c:manualLayout>
          <c:xMode val="edge"/>
          <c:yMode val="edge"/>
          <c:x val="0.564560246262093"/>
          <c:y val="0.309912854030503"/>
        </c:manualLayout>
      </c:layout>
      <c:overlay val="0"/>
      <c:spPr>
        <a:noFill/>
        <a:ln w="0">
          <a:noFill/>
        </a:ln>
      </c:spPr>
      <c:txPr>
        <a:bodyPr/>
        <a:lstStyle/>
        <a:p>
          <a:pPr>
            <a:defRPr sz="1200" b="1" u="none" strike="noStrike">
              <a:solidFill>
                <a:srgbClr val="1A1A1A"/>
              </a:solidFill>
              <a:uFillTx/>
              <a:latin typeface="Georgia"/>
              <a:ea typeface="Arial"/>
            </a:defRPr>
          </a:pPr>
          <a:endParaRPr lang="pt-BR"/>
        </a:p>
      </c:txPr>
    </c:legend>
    <c:plotVisOnly val="1"/>
    <c:dispBlanksAs val="zero"/>
    <c:showDLblsOverMax val="1"/>
  </c:chart>
  <c:spPr>
    <a:solidFill>
      <a:srgbClr val="FFFFFF"/>
    </a:solidFill>
    <a:ln w="9360">
      <a:solidFill>
        <a:srgbClr val="D9D9D9"/>
      </a:solidFill>
      <a:round/>
    </a:ln>
  </c:spPr>
  <c:printSettings>
    <c:headerFooter/>
    <c:pageMargins b="0.78740157499999996" l="0.511811024" r="0.511811024" t="0.78740157499999996" header="0.31496062000000002" footer="0.3149606200000000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c:style val="2"/>
  <c:chart>
    <c:title>
      <c:tx>
        <c:rich>
          <a:bodyPr rot="0"/>
          <a:lstStyle/>
          <a:p>
            <a:pPr>
              <a:defRPr sz="1300" b="0" u="none" strike="noStrike">
                <a:uFillTx/>
                <a:latin typeface="Arial"/>
              </a:defRPr>
            </a:pPr>
            <a:r>
              <a:rPr lang="pt-BR" sz="1800" b="1" u="none" strike="noStrike">
                <a:solidFill>
                  <a:srgbClr val="000000"/>
                </a:solidFill>
                <a:uFillTx/>
                <a:latin typeface="Arial"/>
                <a:ea typeface="Arial"/>
              </a:rPr>
              <a:t>VACÂNCIA POR ÁREA NA SEÇÃO JUDICIÁRIA DO CEARÁ</a:t>
            </a:r>
          </a:p>
        </c:rich>
      </c:tx>
      <c:overlay val="0"/>
      <c:spPr>
        <a:noFill/>
        <a:ln w="0">
          <a:noFill/>
        </a:ln>
      </c:spPr>
    </c:title>
    <c:autoTitleDeleted val="0"/>
    <c:plotArea>
      <c:layout/>
      <c:barChart>
        <c:barDir val="col"/>
        <c:grouping val="clustered"/>
        <c:varyColors val="0"/>
        <c:ser>
          <c:idx val="0"/>
          <c:order val="0"/>
          <c:spPr>
            <a:solidFill>
              <a:srgbClr val="D9EAD3"/>
            </a:solidFill>
            <a:ln w="0">
              <a:solidFill>
                <a:srgbClr val="000000"/>
              </a:solidFill>
            </a:ln>
          </c:spPr>
          <c:invertIfNegative val="0"/>
          <c:dPt>
            <c:idx val="0"/>
            <c:invertIfNegative val="0"/>
            <c:bubble3D val="0"/>
            <c:spPr>
              <a:solidFill>
                <a:srgbClr val="CC0000"/>
              </a:solidFill>
              <a:ln w="0">
                <a:solidFill>
                  <a:srgbClr val="000000"/>
                </a:solidFill>
              </a:ln>
            </c:spPr>
            <c:extLst>
              <c:ext xmlns:c16="http://schemas.microsoft.com/office/drawing/2014/chart" uri="{C3380CC4-5D6E-409C-BE32-E72D297353CC}">
                <c16:uniqueId val="{00000001-40BD-4DC7-A058-6B970A2312A4}"/>
              </c:ext>
            </c:extLst>
          </c:dPt>
          <c:dPt>
            <c:idx val="1"/>
            <c:invertIfNegative val="0"/>
            <c:bubble3D val="0"/>
            <c:spPr>
              <a:solidFill>
                <a:srgbClr val="0B5394"/>
              </a:solidFill>
              <a:ln w="0">
                <a:solidFill>
                  <a:srgbClr val="000000"/>
                </a:solidFill>
              </a:ln>
            </c:spPr>
            <c:extLst>
              <c:ext xmlns:c16="http://schemas.microsoft.com/office/drawing/2014/chart" uri="{C3380CC4-5D6E-409C-BE32-E72D297353CC}">
                <c16:uniqueId val="{00000003-40BD-4DC7-A058-6B970A2312A4}"/>
              </c:ext>
            </c:extLst>
          </c:dPt>
          <c:dLbls>
            <c:dLbl>
              <c:idx val="0"/>
              <c:spPr/>
              <c:txPr>
                <a:bodyPr wrap="none"/>
                <a:lstStyle/>
                <a:p>
                  <a:pPr>
                    <a:defRPr sz="1000" b="0" u="none" strike="noStrike">
                      <a:uFillTx/>
                      <a:latin typeface="Arial"/>
                    </a:defRPr>
                  </a:pPr>
                  <a:endParaRPr lang="pt-BR"/>
                </a:p>
              </c:txPr>
              <c:showLegendKey val="0"/>
              <c:showVal val="0"/>
              <c:showCatName val="0"/>
              <c:showSerName val="0"/>
              <c:showPercent val="0"/>
              <c:showBubbleSize val="1"/>
              <c:extLst>
                <c:ext xmlns:c16="http://schemas.microsoft.com/office/drawing/2014/chart" uri="{C3380CC4-5D6E-409C-BE32-E72D297353CC}">
                  <c16:uniqueId val="{00000001-40BD-4DC7-A058-6B970A2312A4}"/>
                </c:ext>
              </c:extLst>
            </c:dLbl>
            <c:dLbl>
              <c:idx val="1"/>
              <c:spPr/>
              <c:txPr>
                <a:bodyPr wrap="none"/>
                <a:lstStyle/>
                <a:p>
                  <a:pPr>
                    <a:defRPr sz="1000" b="0" u="none" strike="noStrike">
                      <a:uFillTx/>
                      <a:latin typeface="Arial"/>
                    </a:defRPr>
                  </a:pPr>
                  <a:endParaRPr lang="pt-BR"/>
                </a:p>
              </c:txPr>
              <c:showLegendKey val="0"/>
              <c:showVal val="0"/>
              <c:showCatName val="0"/>
              <c:showSerName val="0"/>
              <c:showPercent val="0"/>
              <c:showBubbleSize val="1"/>
              <c:extLst>
                <c:ext xmlns:c16="http://schemas.microsoft.com/office/drawing/2014/chart" uri="{C3380CC4-5D6E-409C-BE32-E72D297353CC}">
                  <c16:uniqueId val="{00000003-40BD-4DC7-A058-6B970A2312A4}"/>
                </c:ext>
              </c:extLst>
            </c:dLbl>
            <c:spPr>
              <a:noFill/>
              <a:ln>
                <a:noFill/>
              </a:ln>
              <a:effectLst/>
            </c:spPr>
            <c:txPr>
              <a:bodyPr wrap="none"/>
              <a:lstStyle/>
              <a:p>
                <a:pPr>
                  <a:defRPr sz="1000" b="0" u="none" strike="noStrike">
                    <a:uFillTx/>
                    <a:latin typeface="Arial"/>
                  </a:defRPr>
                </a:pPr>
                <a:endParaRPr lang="pt-BR"/>
              </a:p>
            </c:txP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15:leaderLines>
                  <c:spPr>
                    <a:ln w="0">
                      <a:solidFill>
                        <a:srgbClr val="000000"/>
                      </a:solidFill>
                    </a:ln>
                  </c:spPr>
                </c15:leaderLines>
              </c:ext>
            </c:extLst>
          </c:dLbls>
          <c:cat>
            <c:strRef>
              <c:f>'Cargos vagos'!$B$167:$B$168</c:f>
              <c:strCache>
                <c:ptCount val="2"/>
                <c:pt idx="0">
                  <c:v>ADMINISTRATIVA</c:v>
                </c:pt>
                <c:pt idx="1">
                  <c:v>JUDICIÁRIA </c:v>
                </c:pt>
              </c:strCache>
            </c:strRef>
          </c:cat>
          <c:val>
            <c:numRef>
              <c:f>'Cargos vagos'!$C$167:$C$168</c:f>
              <c:numCache>
                <c:formatCode>General</c:formatCode>
                <c:ptCount val="2"/>
                <c:pt idx="0">
                  <c:v>3</c:v>
                </c:pt>
                <c:pt idx="1">
                  <c:v>2</c:v>
                </c:pt>
              </c:numCache>
            </c:numRef>
          </c:val>
          <c:extLst>
            <c:ext xmlns:c16="http://schemas.microsoft.com/office/drawing/2014/chart" uri="{C3380CC4-5D6E-409C-BE32-E72D297353CC}">
              <c16:uniqueId val="{00000004-40BD-4DC7-A058-6B970A2312A4}"/>
            </c:ext>
          </c:extLst>
        </c:ser>
        <c:dLbls>
          <c:showLegendKey val="0"/>
          <c:showVal val="0"/>
          <c:showCatName val="0"/>
          <c:showSerName val="0"/>
          <c:showPercent val="0"/>
          <c:showBubbleSize val="0"/>
        </c:dLbls>
        <c:gapWidth val="150"/>
        <c:axId val="41190069"/>
        <c:axId val="58498863"/>
      </c:barChart>
      <c:catAx>
        <c:axId val="41190069"/>
        <c:scaling>
          <c:orientation val="minMax"/>
        </c:scaling>
        <c:delete val="0"/>
        <c:axPos val="b"/>
        <c:title>
          <c:tx>
            <c:rich>
              <a:bodyPr rot="0"/>
              <a:lstStyle/>
              <a:p>
                <a:pPr>
                  <a:defRPr sz="1300" b="0" u="none" strike="noStrike">
                    <a:uFillTx/>
                    <a:latin typeface="Arial"/>
                  </a:defRPr>
                </a:pPr>
                <a:r>
                  <a:rPr lang="pt-BR" sz="1000" b="1" u="none" strike="noStrike">
                    <a:solidFill>
                      <a:srgbClr val="000000"/>
                    </a:solidFill>
                    <a:uFillTx/>
                    <a:latin typeface="Comic Sans MS"/>
                    <a:ea typeface="Arial"/>
                  </a:rPr>
                  <a:t>ÁREA: ADMINISTRATIVA OU JUDICIÁRIA</a:t>
                </a:r>
              </a:p>
            </c:rich>
          </c:tx>
          <c:overlay val="0"/>
          <c:spPr>
            <a:noFill/>
            <a:ln w="0">
              <a:noFill/>
            </a:ln>
          </c:spPr>
        </c:title>
        <c:numFmt formatCode="General" sourceLinked="0"/>
        <c:majorTickMark val="none"/>
        <c:minorTickMark val="none"/>
        <c:tickLblPos val="nextTo"/>
        <c:spPr>
          <a:ln w="6480">
            <a:solidFill>
              <a:srgbClr val="8B8B8B"/>
            </a:solidFill>
            <a:round/>
          </a:ln>
        </c:spPr>
        <c:txPr>
          <a:bodyPr/>
          <a:lstStyle/>
          <a:p>
            <a:pPr>
              <a:defRPr sz="1000" b="1" u="none" strike="noStrike">
                <a:solidFill>
                  <a:srgbClr val="000000"/>
                </a:solidFill>
                <a:uFillTx/>
                <a:latin typeface="Arial black"/>
                <a:ea typeface="Arial"/>
              </a:defRPr>
            </a:pPr>
            <a:endParaRPr lang="pt-BR"/>
          </a:p>
        </c:txPr>
        <c:crossAx val="58498863"/>
        <c:crosses val="autoZero"/>
        <c:auto val="1"/>
        <c:lblAlgn val="ctr"/>
        <c:lblOffset val="100"/>
        <c:noMultiLvlLbl val="0"/>
      </c:catAx>
      <c:valAx>
        <c:axId val="58498863"/>
        <c:scaling>
          <c:orientation val="minMax"/>
        </c:scaling>
        <c:delete val="0"/>
        <c:axPos val="l"/>
        <c:majorGridlines>
          <c:spPr>
            <a:ln w="6480">
              <a:solidFill>
                <a:srgbClr val="B7B7B7"/>
              </a:solidFill>
              <a:round/>
            </a:ln>
          </c:spPr>
        </c:majorGridlines>
        <c:title>
          <c:tx>
            <c:rich>
              <a:bodyPr rot="-5400000"/>
              <a:lstStyle/>
              <a:p>
                <a:pPr>
                  <a:defRPr sz="1300" b="0" u="none" strike="noStrike">
                    <a:uFillTx/>
                    <a:latin typeface="Arial"/>
                  </a:defRPr>
                </a:pPr>
                <a:r>
                  <a:rPr lang="pt-BR" sz="1000" b="1" u="none" strike="noStrike">
                    <a:solidFill>
                      <a:srgbClr val="000000"/>
                    </a:solidFill>
                    <a:uFillTx/>
                    <a:latin typeface="Comic Sans MS"/>
                    <a:ea typeface="Arial"/>
                  </a:rPr>
                  <a:t>QUANTIDADE</a:t>
                </a:r>
              </a:p>
            </c:rich>
          </c:tx>
          <c:overlay val="0"/>
          <c:spPr>
            <a:noFill/>
            <a:ln w="0">
              <a:noFill/>
            </a:ln>
          </c:spPr>
        </c:title>
        <c:numFmt formatCode="General" sourceLinked="0"/>
        <c:majorTickMark val="none"/>
        <c:minorTickMark val="none"/>
        <c:tickLblPos val="nextTo"/>
        <c:spPr>
          <a:ln w="6480">
            <a:solidFill>
              <a:srgbClr val="8B8B8B"/>
            </a:solidFill>
            <a:round/>
          </a:ln>
        </c:spPr>
        <c:txPr>
          <a:bodyPr/>
          <a:lstStyle/>
          <a:p>
            <a:pPr>
              <a:defRPr sz="1000" b="0" u="none" strike="noStrike">
                <a:solidFill>
                  <a:srgbClr val="000000"/>
                </a:solidFill>
                <a:uFillTx/>
                <a:latin typeface="Arial"/>
                <a:ea typeface="Arial"/>
              </a:defRPr>
            </a:pPr>
            <a:endParaRPr lang="pt-BR"/>
          </a:p>
        </c:txPr>
        <c:crossAx val="41190069"/>
        <c:crosses val="autoZero"/>
        <c:crossBetween val="between"/>
      </c:valAx>
      <c:spPr>
        <a:noFill/>
        <a:ln w="0">
          <a:noFill/>
        </a:ln>
      </c:spPr>
    </c:plotArea>
    <c:legend>
      <c:legendPos val="r"/>
      <c:overlay val="0"/>
      <c:spPr>
        <a:noFill/>
        <a:ln w="0">
          <a:noFill/>
        </a:ln>
      </c:spPr>
      <c:txPr>
        <a:bodyPr/>
        <a:lstStyle/>
        <a:p>
          <a:pPr>
            <a:defRPr sz="1000" b="0" u="none" strike="noStrike">
              <a:solidFill>
                <a:srgbClr val="1A1A1A"/>
              </a:solidFill>
              <a:uFillTx/>
              <a:latin typeface="Arial"/>
              <a:ea typeface="Arial"/>
            </a:defRPr>
          </a:pPr>
          <a:endParaRPr lang="pt-BR"/>
        </a:p>
      </c:txPr>
    </c:legend>
    <c:plotVisOnly val="1"/>
    <c:dispBlanksAs val="gap"/>
    <c:showDLblsOverMax val="1"/>
  </c:chart>
  <c:spPr>
    <a:solidFill>
      <a:srgbClr val="FFFFFF"/>
    </a:solidFill>
    <a:ln w="9360">
      <a:solidFill>
        <a:srgbClr val="D9D9D9"/>
      </a:solidFill>
      <a:round/>
    </a:ln>
  </c:spPr>
  <c:printSettings>
    <c:headerFooter/>
    <c:pageMargins b="0.78740157499999996" l="0.511811024" r="0.511811024" t="0.78740157499999996" header="0.31496062000000002" footer="0.3149606200000000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c:style val="2"/>
  <c:chart>
    <c:title>
      <c:tx>
        <c:rich>
          <a:bodyPr rot="0"/>
          <a:lstStyle/>
          <a:p>
            <a:pPr>
              <a:defRPr sz="1300" b="0" u="none" strike="noStrike">
                <a:uFillTx/>
                <a:latin typeface="Arial"/>
              </a:defRPr>
            </a:pPr>
            <a:r>
              <a:rPr lang="pt-BR" sz="1800" b="1" u="none" strike="noStrike">
                <a:solidFill>
                  <a:srgbClr val="000000"/>
                </a:solidFill>
                <a:uFillTx/>
                <a:latin typeface="Arial"/>
                <a:ea typeface="Arial"/>
              </a:rPr>
              <a:t>               PROJEÇÃO DE APOSENTADORIAS SJCE</a:t>
            </a:r>
          </a:p>
        </c:rich>
      </c:tx>
      <c:overlay val="0"/>
      <c:spPr>
        <a:noFill/>
        <a:ln w="0">
          <a:noFill/>
        </a:ln>
      </c:spPr>
    </c:title>
    <c:autoTitleDeleted val="0"/>
    <c:plotArea>
      <c:layout/>
      <c:pieChart>
        <c:varyColors val="1"/>
        <c:ser>
          <c:idx val="0"/>
          <c:order val="0"/>
          <c:spPr>
            <a:solidFill>
              <a:srgbClr val="D9EAD3"/>
            </a:solidFill>
            <a:ln w="0">
              <a:noFill/>
            </a:ln>
          </c:spPr>
          <c:dPt>
            <c:idx val="0"/>
            <c:bubble3D val="0"/>
            <c:spPr>
              <a:solidFill>
                <a:srgbClr val="FFFF00"/>
              </a:solidFill>
              <a:ln w="0">
                <a:noFill/>
              </a:ln>
            </c:spPr>
            <c:extLst>
              <c:ext xmlns:c16="http://schemas.microsoft.com/office/drawing/2014/chart" uri="{C3380CC4-5D6E-409C-BE32-E72D297353CC}">
                <c16:uniqueId val="{00000001-80E9-40E3-88F6-6110EAE9C499}"/>
              </c:ext>
            </c:extLst>
          </c:dPt>
          <c:dPt>
            <c:idx val="1"/>
            <c:bubble3D val="0"/>
            <c:spPr>
              <a:solidFill>
                <a:srgbClr val="FF00FF"/>
              </a:solidFill>
              <a:ln w="0">
                <a:noFill/>
              </a:ln>
            </c:spPr>
            <c:extLst>
              <c:ext xmlns:c16="http://schemas.microsoft.com/office/drawing/2014/chart" uri="{C3380CC4-5D6E-409C-BE32-E72D297353CC}">
                <c16:uniqueId val="{00000003-80E9-40E3-88F6-6110EAE9C499}"/>
              </c:ext>
            </c:extLst>
          </c:dPt>
          <c:dPt>
            <c:idx val="2"/>
            <c:bubble3D val="0"/>
            <c:spPr>
              <a:solidFill>
                <a:srgbClr val="9BBB59"/>
              </a:solidFill>
              <a:ln w="0">
                <a:noFill/>
              </a:ln>
            </c:spPr>
            <c:extLst>
              <c:ext xmlns:c16="http://schemas.microsoft.com/office/drawing/2014/chart" uri="{C3380CC4-5D6E-409C-BE32-E72D297353CC}">
                <c16:uniqueId val="{00000005-80E9-40E3-88F6-6110EAE9C499}"/>
              </c:ext>
            </c:extLst>
          </c:dPt>
          <c:dPt>
            <c:idx val="3"/>
            <c:bubble3D val="0"/>
            <c:spPr>
              <a:solidFill>
                <a:srgbClr val="FF0000"/>
              </a:solidFill>
              <a:ln w="0">
                <a:noFill/>
              </a:ln>
            </c:spPr>
            <c:extLst>
              <c:ext xmlns:c16="http://schemas.microsoft.com/office/drawing/2014/chart" uri="{C3380CC4-5D6E-409C-BE32-E72D297353CC}">
                <c16:uniqueId val="{00000007-80E9-40E3-88F6-6110EAE9C499}"/>
              </c:ext>
            </c:extLst>
          </c:dPt>
          <c:dPt>
            <c:idx val="4"/>
            <c:bubble3D val="0"/>
            <c:spPr>
              <a:solidFill>
                <a:srgbClr val="333399"/>
              </a:solidFill>
              <a:ln w="0">
                <a:noFill/>
              </a:ln>
            </c:spPr>
            <c:extLst>
              <c:ext xmlns:c16="http://schemas.microsoft.com/office/drawing/2014/chart" uri="{C3380CC4-5D6E-409C-BE32-E72D297353CC}">
                <c16:uniqueId val="{00000009-80E9-40E3-88F6-6110EAE9C499}"/>
              </c:ext>
            </c:extLst>
          </c:dPt>
          <c:dLbls>
            <c:dLbl>
              <c:idx val="0"/>
              <c:spPr/>
              <c:txPr>
                <a:bodyPr wrap="none"/>
                <a:lstStyle/>
                <a:p>
                  <a:pPr>
                    <a:defRPr sz="1000" b="0" u="none" strike="noStrike">
                      <a:uFillTx/>
                      <a:latin typeface="Arial"/>
                    </a:defRPr>
                  </a:pPr>
                  <a:endParaRPr lang="pt-BR"/>
                </a:p>
              </c:txPr>
              <c:showLegendKey val="0"/>
              <c:showVal val="0"/>
              <c:showCatName val="0"/>
              <c:showSerName val="0"/>
              <c:showPercent val="0"/>
              <c:showBubbleSize val="1"/>
              <c:extLst>
                <c:ext xmlns:c16="http://schemas.microsoft.com/office/drawing/2014/chart" uri="{C3380CC4-5D6E-409C-BE32-E72D297353CC}">
                  <c16:uniqueId val="{00000001-80E9-40E3-88F6-6110EAE9C499}"/>
                </c:ext>
              </c:extLst>
            </c:dLbl>
            <c:dLbl>
              <c:idx val="1"/>
              <c:spPr/>
              <c:txPr>
                <a:bodyPr wrap="none"/>
                <a:lstStyle/>
                <a:p>
                  <a:pPr>
                    <a:defRPr sz="1000" b="0" u="none" strike="noStrike">
                      <a:uFillTx/>
                      <a:latin typeface="Arial"/>
                    </a:defRPr>
                  </a:pPr>
                  <a:endParaRPr lang="pt-BR"/>
                </a:p>
              </c:txPr>
              <c:showLegendKey val="0"/>
              <c:showVal val="0"/>
              <c:showCatName val="0"/>
              <c:showSerName val="0"/>
              <c:showPercent val="0"/>
              <c:showBubbleSize val="1"/>
              <c:extLst>
                <c:ext xmlns:c16="http://schemas.microsoft.com/office/drawing/2014/chart" uri="{C3380CC4-5D6E-409C-BE32-E72D297353CC}">
                  <c16:uniqueId val="{00000003-80E9-40E3-88F6-6110EAE9C499}"/>
                </c:ext>
              </c:extLst>
            </c:dLbl>
            <c:dLbl>
              <c:idx val="2"/>
              <c:spPr/>
              <c:txPr>
                <a:bodyPr wrap="none"/>
                <a:lstStyle/>
                <a:p>
                  <a:pPr>
                    <a:defRPr sz="1000" b="0" u="none" strike="noStrike">
                      <a:uFillTx/>
                      <a:latin typeface="Arial"/>
                    </a:defRPr>
                  </a:pPr>
                  <a:endParaRPr lang="pt-BR"/>
                </a:p>
              </c:txPr>
              <c:showLegendKey val="0"/>
              <c:showVal val="0"/>
              <c:showCatName val="0"/>
              <c:showSerName val="0"/>
              <c:showPercent val="0"/>
              <c:showBubbleSize val="1"/>
              <c:extLst>
                <c:ext xmlns:c16="http://schemas.microsoft.com/office/drawing/2014/chart" uri="{C3380CC4-5D6E-409C-BE32-E72D297353CC}">
                  <c16:uniqueId val="{00000005-80E9-40E3-88F6-6110EAE9C499}"/>
                </c:ext>
              </c:extLst>
            </c:dLbl>
            <c:dLbl>
              <c:idx val="3"/>
              <c:spPr/>
              <c:txPr>
                <a:bodyPr wrap="none"/>
                <a:lstStyle/>
                <a:p>
                  <a:pPr>
                    <a:defRPr sz="1000" b="0" u="none" strike="noStrike">
                      <a:uFillTx/>
                      <a:latin typeface="Arial"/>
                    </a:defRPr>
                  </a:pPr>
                  <a:endParaRPr lang="pt-BR"/>
                </a:p>
              </c:txPr>
              <c:showLegendKey val="0"/>
              <c:showVal val="0"/>
              <c:showCatName val="0"/>
              <c:showSerName val="0"/>
              <c:showPercent val="0"/>
              <c:showBubbleSize val="1"/>
              <c:extLst>
                <c:ext xmlns:c16="http://schemas.microsoft.com/office/drawing/2014/chart" uri="{C3380CC4-5D6E-409C-BE32-E72D297353CC}">
                  <c16:uniqueId val="{00000007-80E9-40E3-88F6-6110EAE9C499}"/>
                </c:ext>
              </c:extLst>
            </c:dLbl>
            <c:dLbl>
              <c:idx val="4"/>
              <c:spPr/>
              <c:txPr>
                <a:bodyPr wrap="none"/>
                <a:lstStyle/>
                <a:p>
                  <a:pPr>
                    <a:defRPr sz="1000" b="0" u="none" strike="noStrike">
                      <a:uFillTx/>
                      <a:latin typeface="Arial"/>
                    </a:defRPr>
                  </a:pPr>
                  <a:endParaRPr lang="pt-BR"/>
                </a:p>
              </c:txPr>
              <c:showLegendKey val="0"/>
              <c:showVal val="0"/>
              <c:showCatName val="0"/>
              <c:showSerName val="0"/>
              <c:showPercent val="0"/>
              <c:showBubbleSize val="1"/>
              <c:extLst>
                <c:ext xmlns:c16="http://schemas.microsoft.com/office/drawing/2014/chart" uri="{C3380CC4-5D6E-409C-BE32-E72D297353CC}">
                  <c16:uniqueId val="{00000009-80E9-40E3-88F6-6110EAE9C499}"/>
                </c:ext>
              </c:extLst>
            </c:dLbl>
            <c:spPr>
              <a:noFill/>
              <a:ln>
                <a:noFill/>
              </a:ln>
              <a:effectLst/>
            </c:spPr>
            <c:txPr>
              <a:bodyPr wrap="none"/>
              <a:lstStyle/>
              <a:p>
                <a:pPr>
                  <a:defRPr sz="1000" b="0" u="none" strike="noStrike">
                    <a:uFillTx/>
                    <a:latin typeface="Arial"/>
                  </a:defRPr>
                </a:pPr>
                <a:endParaRPr lang="pt-BR"/>
              </a:p>
            </c:txPr>
            <c:showLegendKey val="0"/>
            <c:showVal val="0"/>
            <c:showCatName val="0"/>
            <c:showSerName val="0"/>
            <c:showPercent val="0"/>
            <c:showBubbleSize val="1"/>
            <c:separator> </c:separator>
            <c:showLeaderLines val="1"/>
            <c:leaderLines>
              <c:spPr>
                <a:ln w="0">
                  <a:solidFill>
                    <a:srgbClr val="000000"/>
                  </a:solidFill>
                </a:ln>
              </c:spPr>
            </c:leaderLines>
            <c:extLst>
              <c:ext xmlns:c15="http://schemas.microsoft.com/office/drawing/2012/chart" uri="{CE6537A1-D6FC-4f65-9D91-7224C49458BB}"/>
            </c:extLst>
          </c:dLbls>
          <c:cat>
            <c:strRef>
              <c:f>'PROJEÇÃO APOSENTADORIAS'!$B$4:$B$8</c:f>
              <c:strCache>
                <c:ptCount val="5"/>
                <c:pt idx="0">
                  <c:v>ANALISTA JUDICIÁRIO</c:v>
                </c:pt>
                <c:pt idx="1">
                  <c:v>AJOJ (14/10/2022)</c:v>
                </c:pt>
                <c:pt idx="2">
                  <c:v>AJAA (21/10/2022)</c:v>
                </c:pt>
                <c:pt idx="3">
                  <c:v>TJAA (11/11/2022)</c:v>
                </c:pt>
                <c:pt idx="4">
                  <c:v>TJAS (18/10/2022)</c:v>
                </c:pt>
              </c:strCache>
            </c:strRef>
          </c:cat>
          <c:val>
            <c:numRef>
              <c:f>'PROJEÇÃO APOSENTADORIAS'!$C$4:$C$8</c:f>
              <c:numCache>
                <c:formatCode>General</c:formatCode>
                <c:ptCount val="5"/>
                <c:pt idx="0">
                  <c:v>14</c:v>
                </c:pt>
                <c:pt idx="1">
                  <c:v>9</c:v>
                </c:pt>
                <c:pt idx="2">
                  <c:v>6</c:v>
                </c:pt>
                <c:pt idx="3">
                  <c:v>20</c:v>
                </c:pt>
                <c:pt idx="4">
                  <c:v>5</c:v>
                </c:pt>
              </c:numCache>
            </c:numRef>
          </c:val>
          <c:extLst>
            <c:ext xmlns:c16="http://schemas.microsoft.com/office/drawing/2014/chart" uri="{C3380CC4-5D6E-409C-BE32-E72D297353CC}">
              <c16:uniqueId val="{0000000A-80E9-40E3-88F6-6110EAE9C499}"/>
            </c:ext>
          </c:extLst>
        </c:ser>
        <c:dLbls>
          <c:showLegendKey val="0"/>
          <c:showVal val="0"/>
          <c:showCatName val="0"/>
          <c:showSerName val="0"/>
          <c:showPercent val="0"/>
          <c:showBubbleSize val="0"/>
          <c:showLeaderLines val="1"/>
        </c:dLbls>
        <c:firstSliceAng val="0"/>
      </c:pieChart>
      <c:spPr>
        <a:noFill/>
        <a:ln w="0">
          <a:noFill/>
        </a:ln>
      </c:spPr>
    </c:plotArea>
    <c:legend>
      <c:legendPos val="r"/>
      <c:overlay val="0"/>
      <c:spPr>
        <a:noFill/>
        <a:ln w="0">
          <a:noFill/>
        </a:ln>
      </c:spPr>
      <c:txPr>
        <a:bodyPr/>
        <a:lstStyle/>
        <a:p>
          <a:pPr>
            <a:defRPr sz="1400" b="1" u="none" strike="noStrike">
              <a:solidFill>
                <a:srgbClr val="1A1A1A"/>
              </a:solidFill>
              <a:uFillTx/>
              <a:latin typeface="Arial"/>
              <a:ea typeface="Arial"/>
            </a:defRPr>
          </a:pPr>
          <a:endParaRPr lang="pt-BR"/>
        </a:p>
      </c:txPr>
    </c:legend>
    <c:plotVisOnly val="1"/>
    <c:dispBlanksAs val="zero"/>
    <c:showDLblsOverMax val="1"/>
  </c:chart>
  <c:spPr>
    <a:solidFill>
      <a:srgbClr val="FCE5CD"/>
    </a:solidFill>
    <a:ln w="9360">
      <a:solidFill>
        <a:srgbClr val="D9D9D9"/>
      </a:solidFill>
      <a:round/>
    </a:ln>
  </c:spPr>
  <c:printSettings>
    <c:headerFooter/>
    <c:pageMargins b="0.78740157499999996" l="0.511811024" r="0.511811024" t="0.78740157499999996" header="0.31496062000000002" footer="0.3149606200000000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c:style val="2"/>
  <c:chart>
    <c:autoTitleDeleted val="1"/>
    <c:plotArea>
      <c:layout/>
      <c:barChart>
        <c:barDir val="col"/>
        <c:grouping val="clustered"/>
        <c:varyColors val="0"/>
        <c:ser>
          <c:idx val="0"/>
          <c:order val="0"/>
          <c:spPr>
            <a:solidFill>
              <a:srgbClr val="D9EAD3"/>
            </a:solidFill>
            <a:ln w="0">
              <a:solidFill>
                <a:srgbClr val="000000"/>
              </a:solidFill>
            </a:ln>
          </c:spPr>
          <c:invertIfNegative val="0"/>
          <c:dPt>
            <c:idx val="1"/>
            <c:invertIfNegative val="0"/>
            <c:bubble3D val="0"/>
            <c:spPr>
              <a:solidFill>
                <a:srgbClr val="B6D7A8"/>
              </a:solidFill>
              <a:ln w="0">
                <a:solidFill>
                  <a:srgbClr val="000000"/>
                </a:solidFill>
              </a:ln>
            </c:spPr>
            <c:extLst>
              <c:ext xmlns:c16="http://schemas.microsoft.com/office/drawing/2014/chart" uri="{C3380CC4-5D6E-409C-BE32-E72D297353CC}">
                <c16:uniqueId val="{00000001-CEF8-4717-9D93-59F9F17B7F05}"/>
              </c:ext>
            </c:extLst>
          </c:dPt>
          <c:dPt>
            <c:idx val="2"/>
            <c:invertIfNegative val="0"/>
            <c:bubble3D val="0"/>
            <c:spPr>
              <a:solidFill>
                <a:srgbClr val="93C47D"/>
              </a:solidFill>
              <a:ln w="0">
                <a:solidFill>
                  <a:srgbClr val="000000"/>
                </a:solidFill>
              </a:ln>
            </c:spPr>
            <c:extLst>
              <c:ext xmlns:c16="http://schemas.microsoft.com/office/drawing/2014/chart" uri="{C3380CC4-5D6E-409C-BE32-E72D297353CC}">
                <c16:uniqueId val="{00000003-CEF8-4717-9D93-59F9F17B7F05}"/>
              </c:ext>
            </c:extLst>
          </c:dPt>
          <c:dPt>
            <c:idx val="3"/>
            <c:invertIfNegative val="0"/>
            <c:bubble3D val="0"/>
            <c:spPr>
              <a:solidFill>
                <a:srgbClr val="38761D"/>
              </a:solidFill>
              <a:ln w="0">
                <a:solidFill>
                  <a:srgbClr val="000000"/>
                </a:solidFill>
              </a:ln>
            </c:spPr>
            <c:extLst>
              <c:ext xmlns:c16="http://schemas.microsoft.com/office/drawing/2014/chart" uri="{C3380CC4-5D6E-409C-BE32-E72D297353CC}">
                <c16:uniqueId val="{00000005-CEF8-4717-9D93-59F9F17B7F05}"/>
              </c:ext>
            </c:extLst>
          </c:dPt>
          <c:dPt>
            <c:idx val="4"/>
            <c:invertIfNegative val="0"/>
            <c:bubble3D val="0"/>
            <c:spPr>
              <a:solidFill>
                <a:srgbClr val="274E13"/>
              </a:solidFill>
              <a:ln w="0">
                <a:solidFill>
                  <a:srgbClr val="000000"/>
                </a:solidFill>
              </a:ln>
            </c:spPr>
            <c:extLst>
              <c:ext xmlns:c16="http://schemas.microsoft.com/office/drawing/2014/chart" uri="{C3380CC4-5D6E-409C-BE32-E72D297353CC}">
                <c16:uniqueId val="{00000007-CEF8-4717-9D93-59F9F17B7F05}"/>
              </c:ext>
            </c:extLst>
          </c:dPt>
          <c:dLbls>
            <c:dLbl>
              <c:idx val="1"/>
              <c:spPr/>
              <c:txPr>
                <a:bodyPr wrap="none"/>
                <a:lstStyle/>
                <a:p>
                  <a:pPr>
                    <a:defRPr sz="1000" b="0" u="none" strike="noStrike">
                      <a:uFillTx/>
                      <a:latin typeface="Arial"/>
                    </a:defRPr>
                  </a:pPr>
                  <a:endParaRPr lang="pt-BR"/>
                </a:p>
              </c:txPr>
              <c:showLegendKey val="0"/>
              <c:showVal val="0"/>
              <c:showCatName val="0"/>
              <c:showSerName val="0"/>
              <c:showPercent val="0"/>
              <c:showBubbleSize val="1"/>
              <c:extLst>
                <c:ext xmlns:c16="http://schemas.microsoft.com/office/drawing/2014/chart" uri="{C3380CC4-5D6E-409C-BE32-E72D297353CC}">
                  <c16:uniqueId val="{00000001-CEF8-4717-9D93-59F9F17B7F05}"/>
                </c:ext>
              </c:extLst>
            </c:dLbl>
            <c:dLbl>
              <c:idx val="2"/>
              <c:spPr/>
              <c:txPr>
                <a:bodyPr wrap="none"/>
                <a:lstStyle/>
                <a:p>
                  <a:pPr>
                    <a:defRPr sz="1000" b="0" u="none" strike="noStrike">
                      <a:uFillTx/>
                      <a:latin typeface="Arial"/>
                    </a:defRPr>
                  </a:pPr>
                  <a:endParaRPr lang="pt-BR"/>
                </a:p>
              </c:txPr>
              <c:showLegendKey val="0"/>
              <c:showVal val="0"/>
              <c:showCatName val="0"/>
              <c:showSerName val="0"/>
              <c:showPercent val="0"/>
              <c:showBubbleSize val="1"/>
              <c:extLst>
                <c:ext xmlns:c16="http://schemas.microsoft.com/office/drawing/2014/chart" uri="{C3380CC4-5D6E-409C-BE32-E72D297353CC}">
                  <c16:uniqueId val="{00000003-CEF8-4717-9D93-59F9F17B7F05}"/>
                </c:ext>
              </c:extLst>
            </c:dLbl>
            <c:dLbl>
              <c:idx val="3"/>
              <c:spPr/>
              <c:txPr>
                <a:bodyPr wrap="none"/>
                <a:lstStyle/>
                <a:p>
                  <a:pPr>
                    <a:defRPr sz="1000" b="0" u="none" strike="noStrike">
                      <a:uFillTx/>
                      <a:latin typeface="Arial"/>
                    </a:defRPr>
                  </a:pPr>
                  <a:endParaRPr lang="pt-BR"/>
                </a:p>
              </c:txPr>
              <c:showLegendKey val="0"/>
              <c:showVal val="0"/>
              <c:showCatName val="0"/>
              <c:showSerName val="0"/>
              <c:showPercent val="0"/>
              <c:showBubbleSize val="1"/>
              <c:extLst>
                <c:ext xmlns:c16="http://schemas.microsoft.com/office/drawing/2014/chart" uri="{C3380CC4-5D6E-409C-BE32-E72D297353CC}">
                  <c16:uniqueId val="{00000005-CEF8-4717-9D93-59F9F17B7F05}"/>
                </c:ext>
              </c:extLst>
            </c:dLbl>
            <c:dLbl>
              <c:idx val="4"/>
              <c:spPr/>
              <c:txPr>
                <a:bodyPr wrap="none"/>
                <a:lstStyle/>
                <a:p>
                  <a:pPr>
                    <a:defRPr sz="1000" b="0" u="none" strike="noStrike">
                      <a:uFillTx/>
                      <a:latin typeface="Arial"/>
                    </a:defRPr>
                  </a:pPr>
                  <a:endParaRPr lang="pt-BR"/>
                </a:p>
              </c:txPr>
              <c:showLegendKey val="0"/>
              <c:showVal val="0"/>
              <c:showCatName val="0"/>
              <c:showSerName val="0"/>
              <c:showPercent val="0"/>
              <c:showBubbleSize val="1"/>
              <c:extLst>
                <c:ext xmlns:c16="http://schemas.microsoft.com/office/drawing/2014/chart" uri="{C3380CC4-5D6E-409C-BE32-E72D297353CC}">
                  <c16:uniqueId val="{00000007-CEF8-4717-9D93-59F9F17B7F05}"/>
                </c:ext>
              </c:extLst>
            </c:dLbl>
            <c:spPr>
              <a:noFill/>
              <a:ln>
                <a:noFill/>
              </a:ln>
              <a:effectLst/>
            </c:spPr>
            <c:txPr>
              <a:bodyPr wrap="none"/>
              <a:lstStyle/>
              <a:p>
                <a:pPr>
                  <a:defRPr sz="1000" b="0" u="none" strike="noStrike">
                    <a:uFillTx/>
                    <a:latin typeface="Arial"/>
                  </a:defRPr>
                </a:pPr>
                <a:endParaRPr lang="pt-BR"/>
              </a:p>
            </c:txP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15:leaderLines>
                  <c:spPr>
                    <a:ln w="0">
                      <a:solidFill>
                        <a:srgbClr val="000000"/>
                      </a:solidFill>
                    </a:ln>
                  </c:spPr>
                </c15:leaderLines>
              </c:ext>
            </c:extLst>
          </c:dLbls>
          <c:cat>
            <c:strRef>
              <c:f>'PROJEÇÃO APOSENTADORIAS'!$B$4:$B$8</c:f>
              <c:strCache>
                <c:ptCount val="5"/>
                <c:pt idx="0">
                  <c:v>ANALISTA JUDICIÁRIO</c:v>
                </c:pt>
                <c:pt idx="1">
                  <c:v>AJOJ (14/10/2022)</c:v>
                </c:pt>
                <c:pt idx="2">
                  <c:v>AJAA (21/10/2022)</c:v>
                </c:pt>
                <c:pt idx="3">
                  <c:v>TJAA (11/11/2022)</c:v>
                </c:pt>
                <c:pt idx="4">
                  <c:v>TJAS (18/10/2022)</c:v>
                </c:pt>
              </c:strCache>
            </c:strRef>
          </c:cat>
          <c:val>
            <c:numRef>
              <c:f>'PROJEÇÃO APOSENTADORIAS'!$D$4:$D$8</c:f>
              <c:numCache>
                <c:formatCode>General</c:formatCode>
                <c:ptCount val="5"/>
                <c:pt idx="0">
                  <c:v>23</c:v>
                </c:pt>
                <c:pt idx="1">
                  <c:v>32</c:v>
                </c:pt>
                <c:pt idx="2">
                  <c:v>38</c:v>
                </c:pt>
                <c:pt idx="3">
                  <c:v>58</c:v>
                </c:pt>
                <c:pt idx="4">
                  <c:v>63</c:v>
                </c:pt>
              </c:numCache>
            </c:numRef>
          </c:val>
          <c:extLst>
            <c:ext xmlns:c16="http://schemas.microsoft.com/office/drawing/2014/chart" uri="{C3380CC4-5D6E-409C-BE32-E72D297353CC}">
              <c16:uniqueId val="{00000008-CEF8-4717-9D93-59F9F17B7F05}"/>
            </c:ext>
          </c:extLst>
        </c:ser>
        <c:dLbls>
          <c:showLegendKey val="0"/>
          <c:showVal val="0"/>
          <c:showCatName val="0"/>
          <c:showSerName val="0"/>
          <c:showPercent val="0"/>
          <c:showBubbleSize val="0"/>
        </c:dLbls>
        <c:gapWidth val="150"/>
        <c:axId val="5256770"/>
        <c:axId val="28496042"/>
      </c:barChart>
      <c:catAx>
        <c:axId val="5256770"/>
        <c:scaling>
          <c:orientation val="minMax"/>
        </c:scaling>
        <c:delete val="0"/>
        <c:axPos val="b"/>
        <c:numFmt formatCode="General" sourceLinked="0"/>
        <c:majorTickMark val="none"/>
        <c:minorTickMark val="none"/>
        <c:tickLblPos val="nextTo"/>
        <c:spPr>
          <a:ln w="6480">
            <a:solidFill>
              <a:srgbClr val="8B8B8B"/>
            </a:solidFill>
            <a:round/>
          </a:ln>
        </c:spPr>
        <c:txPr>
          <a:bodyPr/>
          <a:lstStyle/>
          <a:p>
            <a:pPr>
              <a:defRPr sz="1000" b="1" u="none" strike="noStrike">
                <a:solidFill>
                  <a:srgbClr val="000000"/>
                </a:solidFill>
                <a:uFillTx/>
                <a:latin typeface="Arial"/>
                <a:ea typeface="Arial"/>
              </a:defRPr>
            </a:pPr>
            <a:endParaRPr lang="pt-BR"/>
          </a:p>
        </c:txPr>
        <c:crossAx val="28496042"/>
        <c:crosses val="autoZero"/>
        <c:auto val="1"/>
        <c:lblAlgn val="ctr"/>
        <c:lblOffset val="100"/>
        <c:noMultiLvlLbl val="0"/>
      </c:catAx>
      <c:valAx>
        <c:axId val="28496042"/>
        <c:scaling>
          <c:orientation val="minMax"/>
        </c:scaling>
        <c:delete val="0"/>
        <c:axPos val="l"/>
        <c:majorGridlines>
          <c:spPr>
            <a:ln w="6480">
              <a:solidFill>
                <a:srgbClr val="B7B7B7"/>
              </a:solidFill>
              <a:round/>
            </a:ln>
          </c:spPr>
        </c:majorGridlines>
        <c:numFmt formatCode="General" sourceLinked="0"/>
        <c:majorTickMark val="none"/>
        <c:minorTickMark val="none"/>
        <c:tickLblPos val="nextTo"/>
        <c:spPr>
          <a:ln w="6480">
            <a:solidFill>
              <a:srgbClr val="8B8B8B"/>
            </a:solidFill>
            <a:round/>
          </a:ln>
        </c:spPr>
        <c:txPr>
          <a:bodyPr/>
          <a:lstStyle/>
          <a:p>
            <a:pPr>
              <a:defRPr sz="1000" b="0" u="none" strike="noStrike">
                <a:solidFill>
                  <a:srgbClr val="000000"/>
                </a:solidFill>
                <a:uFillTx/>
                <a:latin typeface="Arial"/>
                <a:ea typeface="Arial"/>
              </a:defRPr>
            </a:pPr>
            <a:endParaRPr lang="pt-BR"/>
          </a:p>
        </c:txPr>
        <c:crossAx val="5256770"/>
        <c:crosses val="autoZero"/>
        <c:crossBetween val="between"/>
      </c:valAx>
      <c:spPr>
        <a:noFill/>
        <a:ln w="0">
          <a:noFill/>
        </a:ln>
      </c:spPr>
    </c:plotArea>
    <c:legend>
      <c:legendPos val="r"/>
      <c:overlay val="0"/>
      <c:spPr>
        <a:noFill/>
        <a:ln w="0">
          <a:noFill/>
        </a:ln>
      </c:spPr>
      <c:txPr>
        <a:bodyPr/>
        <a:lstStyle/>
        <a:p>
          <a:pPr>
            <a:defRPr sz="1000" b="0" u="none" strike="noStrike">
              <a:solidFill>
                <a:srgbClr val="1A1A1A"/>
              </a:solidFill>
              <a:uFillTx/>
              <a:latin typeface="Arial"/>
              <a:ea typeface="Arial"/>
            </a:defRPr>
          </a:pPr>
          <a:endParaRPr lang="pt-BR"/>
        </a:p>
      </c:txPr>
    </c:legend>
    <c:plotVisOnly val="1"/>
    <c:dispBlanksAs val="gap"/>
    <c:showDLblsOverMax val="1"/>
  </c:chart>
  <c:spPr>
    <a:solidFill>
      <a:srgbClr val="FCE5CD"/>
    </a:solidFill>
    <a:ln w="9360">
      <a:solidFill>
        <a:srgbClr val="D9D9D9"/>
      </a:solidFill>
      <a:round/>
    </a:ln>
  </c:spPr>
  <c:printSettings>
    <c:headerFooter/>
    <c:pageMargins b="0.78740157499999996" l="0.511811024" r="0.511811024" t="0.78740157499999996" header="0.31496062000000002" footer="0.3149606200000000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c:style val="2"/>
  <c:chart>
    <c:autoTitleDeleted val="1"/>
    <c:view3D>
      <c:rotX val="50"/>
      <c:rotY val="0"/>
      <c:rAngAx val="0"/>
      <c:perspective val="0"/>
    </c:view3D>
    <c:floor>
      <c:thickness val="0"/>
      <c:spPr>
        <a:solidFill>
          <a:srgbClr val="D9D9D9"/>
        </a:solidFill>
        <a:ln w="0">
          <a:noFill/>
        </a:ln>
      </c:spPr>
    </c:floor>
    <c:sideWall>
      <c:thickness val="0"/>
      <c:spPr>
        <a:solidFill>
          <a:srgbClr val="D9D9D9"/>
        </a:solidFill>
        <a:ln w="0">
          <a:noFill/>
        </a:ln>
      </c:spPr>
    </c:sideWall>
    <c:backWall>
      <c:thickness val="0"/>
      <c:spPr>
        <a:solidFill>
          <a:srgbClr val="D9D9D9"/>
        </a:solidFill>
        <a:ln w="0">
          <a:noFill/>
        </a:ln>
      </c:spPr>
    </c:backWall>
    <c:plotArea>
      <c:layout/>
      <c:pie3DChart>
        <c:varyColors val="1"/>
        <c:ser>
          <c:idx val="0"/>
          <c:order val="0"/>
          <c:spPr>
            <a:solidFill>
              <a:srgbClr val="D9EAD3"/>
            </a:solidFill>
            <a:ln w="0">
              <a:noFill/>
            </a:ln>
          </c:spPr>
          <c:dPt>
            <c:idx val="0"/>
            <c:bubble3D val="0"/>
            <c:spPr>
              <a:solidFill>
                <a:srgbClr val="4F81BD"/>
              </a:solidFill>
              <a:ln w="0">
                <a:noFill/>
              </a:ln>
            </c:spPr>
            <c:extLst>
              <c:ext xmlns:c16="http://schemas.microsoft.com/office/drawing/2014/chart" uri="{C3380CC4-5D6E-409C-BE32-E72D297353CC}">
                <c16:uniqueId val="{00000001-28C9-4764-983E-09300474A2E3}"/>
              </c:ext>
            </c:extLst>
          </c:dPt>
          <c:dPt>
            <c:idx val="1"/>
            <c:bubble3D val="0"/>
            <c:spPr>
              <a:solidFill>
                <a:srgbClr val="C0504D"/>
              </a:solidFill>
              <a:ln w="0">
                <a:noFill/>
              </a:ln>
            </c:spPr>
            <c:extLst>
              <c:ext xmlns:c16="http://schemas.microsoft.com/office/drawing/2014/chart" uri="{C3380CC4-5D6E-409C-BE32-E72D297353CC}">
                <c16:uniqueId val="{00000003-28C9-4764-983E-09300474A2E3}"/>
              </c:ext>
            </c:extLst>
          </c:dPt>
          <c:dLbls>
            <c:dLbl>
              <c:idx val="0"/>
              <c:spPr/>
              <c:txPr>
                <a:bodyPr wrap="square"/>
                <a:lstStyle/>
                <a:p>
                  <a:pPr>
                    <a:defRPr sz="1000" b="0" u="none" strike="noStrike">
                      <a:solidFill>
                        <a:srgbClr val="000000"/>
                      </a:solidFill>
                      <a:uFillTx/>
                      <a:latin typeface="Arial"/>
                    </a:defRPr>
                  </a:pPr>
                  <a:endParaRPr lang="pt-BR"/>
                </a:p>
              </c:txPr>
              <c:dLblPos val="bestFit"/>
              <c:showLegendKey val="0"/>
              <c:showVal val="0"/>
              <c:showCatName val="0"/>
              <c:showSerName val="0"/>
              <c:showPercent val="1"/>
              <c:showBubbleSize val="1"/>
              <c:extLst>
                <c:ext xmlns:c16="http://schemas.microsoft.com/office/drawing/2014/chart" uri="{C3380CC4-5D6E-409C-BE32-E72D297353CC}">
                  <c16:uniqueId val="{00000001-28C9-4764-983E-09300474A2E3}"/>
                </c:ext>
              </c:extLst>
            </c:dLbl>
            <c:dLbl>
              <c:idx val="1"/>
              <c:spPr/>
              <c:txPr>
                <a:bodyPr wrap="square"/>
                <a:lstStyle/>
                <a:p>
                  <a:pPr>
                    <a:defRPr sz="1000" b="0" u="none" strike="noStrike">
                      <a:solidFill>
                        <a:srgbClr val="000000"/>
                      </a:solidFill>
                      <a:uFillTx/>
                      <a:latin typeface="Arial"/>
                    </a:defRPr>
                  </a:pPr>
                  <a:endParaRPr lang="pt-BR"/>
                </a:p>
              </c:txPr>
              <c:dLblPos val="bestFit"/>
              <c:showLegendKey val="0"/>
              <c:showVal val="0"/>
              <c:showCatName val="0"/>
              <c:showSerName val="0"/>
              <c:showPercent val="1"/>
              <c:showBubbleSize val="1"/>
              <c:extLst>
                <c:ext xmlns:c16="http://schemas.microsoft.com/office/drawing/2014/chart" uri="{C3380CC4-5D6E-409C-BE32-E72D297353CC}">
                  <c16:uniqueId val="{00000003-28C9-4764-983E-09300474A2E3}"/>
                </c:ext>
              </c:extLst>
            </c:dLbl>
            <c:spPr>
              <a:noFill/>
              <a:ln>
                <a:noFill/>
              </a:ln>
              <a:effectLst/>
            </c:spPr>
            <c:txPr>
              <a:bodyPr wrap="square"/>
              <a:lstStyle/>
              <a:p>
                <a:pPr>
                  <a:defRPr sz="1000" b="0" u="none" strike="noStrike">
                    <a:solidFill>
                      <a:srgbClr val="000000"/>
                    </a:solidFill>
                    <a:uFillTx/>
                    <a:latin typeface="Arial"/>
                    <a:ea typeface="Arial"/>
                  </a:defRPr>
                </a:pPr>
                <a:endParaRPr lang="pt-BR"/>
              </a:p>
            </c:txPr>
            <c:dLblPos val="bestFit"/>
            <c:showLegendKey val="0"/>
            <c:showVal val="0"/>
            <c:showCatName val="0"/>
            <c:showSerName val="0"/>
            <c:showPercent val="1"/>
            <c:showBubbleSize val="1"/>
            <c:separator>
</c:separator>
            <c:showLeaderLines val="1"/>
            <c:leaderLines>
              <c:spPr>
                <a:ln w="0">
                  <a:solidFill>
                    <a:srgbClr val="000000"/>
                  </a:solidFill>
                </a:ln>
              </c:spPr>
            </c:leaderLines>
            <c:extLst>
              <c:ext xmlns:c15="http://schemas.microsoft.com/office/drawing/2012/chart" uri="{CE6537A1-D6FC-4f65-9D91-7224C49458BB}"/>
            </c:extLst>
          </c:dLbls>
          <c:cat>
            <c:strRef>
              <c:f>'Equalização força de trabalho'!$B$3:$B$4</c:f>
              <c:strCache>
                <c:ptCount val="2"/>
                <c:pt idx="0">
                  <c:v>JUDICIÁRIA</c:v>
                </c:pt>
                <c:pt idx="1">
                  <c:v>ADMINISTRATIVA</c:v>
                </c:pt>
              </c:strCache>
            </c:strRef>
          </c:cat>
          <c:val>
            <c:numRef>
              <c:f>'Equalização força de trabalho'!$C$3:$C$4</c:f>
              <c:numCache>
                <c:formatCode>General</c:formatCode>
                <c:ptCount val="2"/>
                <c:pt idx="0">
                  <c:v>650</c:v>
                </c:pt>
                <c:pt idx="1">
                  <c:v>228</c:v>
                </c:pt>
              </c:numCache>
            </c:numRef>
          </c:val>
          <c:extLst>
            <c:ext xmlns:c16="http://schemas.microsoft.com/office/drawing/2014/chart" uri="{C3380CC4-5D6E-409C-BE32-E72D297353CC}">
              <c16:uniqueId val="{00000004-28C9-4764-983E-09300474A2E3}"/>
            </c:ext>
          </c:extLst>
        </c:ser>
        <c:dLbls>
          <c:showLegendKey val="0"/>
          <c:showVal val="0"/>
          <c:showCatName val="0"/>
          <c:showSerName val="0"/>
          <c:showPercent val="0"/>
          <c:showBubbleSize val="0"/>
          <c:showLeaderLines val="1"/>
        </c:dLbls>
      </c:pie3DChart>
    </c:plotArea>
    <c:legend>
      <c:legendPos val="t"/>
      <c:overlay val="0"/>
      <c:spPr>
        <a:noFill/>
        <a:ln w="0">
          <a:noFill/>
        </a:ln>
      </c:spPr>
      <c:txPr>
        <a:bodyPr/>
        <a:lstStyle/>
        <a:p>
          <a:pPr>
            <a:defRPr sz="1000" b="0" u="none" strike="noStrike">
              <a:solidFill>
                <a:srgbClr val="1A1A1A"/>
              </a:solidFill>
              <a:uFillTx/>
              <a:latin typeface="Arial"/>
              <a:ea typeface="Arial"/>
            </a:defRPr>
          </a:pPr>
          <a:endParaRPr lang="pt-BR"/>
        </a:p>
      </c:txPr>
    </c:legend>
    <c:plotVisOnly val="1"/>
    <c:dispBlanksAs val="zero"/>
    <c:showDLblsOverMax val="1"/>
  </c:chart>
  <c:spPr>
    <a:solidFill>
      <a:srgbClr val="FFFFFF"/>
    </a:solidFill>
    <a:ln w="9360">
      <a:solidFill>
        <a:srgbClr val="D9D9D9"/>
      </a:solidFill>
      <a:round/>
    </a:ln>
  </c:spPr>
  <c:printSettings>
    <c:headerFooter/>
    <c:pageMargins b="0.78740157499999996" l="0.511811024" r="0.511811024" t="0.78740157499999996" header="0.31496062000000002" footer="0.3149606200000000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c:style val="2"/>
  <c:chart>
    <c:title>
      <c:tx>
        <c:rich>
          <a:bodyPr rot="0"/>
          <a:lstStyle/>
          <a:p>
            <a:pPr>
              <a:defRPr sz="1300" b="0" u="none" strike="noStrike">
                <a:uFillTx/>
                <a:latin typeface="Arial"/>
              </a:defRPr>
            </a:pPr>
            <a:r>
              <a:rPr lang="pt-BR" sz="2400" b="1" u="none" strike="noStrike">
                <a:solidFill>
                  <a:srgbClr val="3D85C6"/>
                </a:solidFill>
                <a:uFillTx/>
                <a:latin typeface="Arial"/>
                <a:ea typeface="Arial"/>
              </a:rPr>
              <a:t>VACÂNCIAS POR CARGO DA SEÇÃO JUDICIÁRIA DO CEARÁ                                                                                       
      (24 CARGOS VAGOS EM 18 DE OUTUBRO DE 2022)  </a:t>
            </a:r>
          </a:p>
        </c:rich>
      </c:tx>
      <c:layout>
        <c:manualLayout>
          <c:xMode val="edge"/>
          <c:yMode val="edge"/>
          <c:x val="3.54886354311972E-2"/>
          <c:y val="2.7585725260143901E-2"/>
        </c:manualLayout>
      </c:layout>
      <c:overlay val="0"/>
      <c:spPr>
        <a:noFill/>
        <a:ln w="0">
          <a:noFill/>
        </a:ln>
      </c:spPr>
    </c:title>
    <c:autoTitleDeleted val="0"/>
    <c:plotArea>
      <c:layout/>
      <c:doughnutChart>
        <c:varyColors val="1"/>
        <c:ser>
          <c:idx val="0"/>
          <c:order val="0"/>
          <c:spPr>
            <a:solidFill>
              <a:srgbClr val="D9EAD3"/>
            </a:solidFill>
            <a:ln w="0">
              <a:noFill/>
            </a:ln>
          </c:spPr>
          <c:dPt>
            <c:idx val="0"/>
            <c:bubble3D val="0"/>
            <c:spPr>
              <a:solidFill>
                <a:srgbClr val="00FF50"/>
              </a:solidFill>
              <a:ln w="0">
                <a:noFill/>
              </a:ln>
            </c:spPr>
            <c:extLst>
              <c:ext xmlns:c16="http://schemas.microsoft.com/office/drawing/2014/chart" uri="{C3380CC4-5D6E-409C-BE32-E72D297353CC}">
                <c16:uniqueId val="{00000001-80E4-4CD3-8B93-681927D6C168}"/>
              </c:ext>
            </c:extLst>
          </c:dPt>
          <c:dPt>
            <c:idx val="1"/>
            <c:bubble3D val="0"/>
            <c:spPr>
              <a:solidFill>
                <a:srgbClr val="B6D7A8"/>
              </a:solidFill>
              <a:ln w="0">
                <a:noFill/>
              </a:ln>
            </c:spPr>
            <c:extLst>
              <c:ext xmlns:c16="http://schemas.microsoft.com/office/drawing/2014/chart" uri="{C3380CC4-5D6E-409C-BE32-E72D297353CC}">
                <c16:uniqueId val="{00000003-80E4-4CD3-8B93-681927D6C168}"/>
              </c:ext>
            </c:extLst>
          </c:dPt>
          <c:dPt>
            <c:idx val="2"/>
            <c:bubble3D val="0"/>
            <c:spPr>
              <a:solidFill>
                <a:srgbClr val="CA2F2F"/>
              </a:solidFill>
              <a:ln w="0">
                <a:noFill/>
              </a:ln>
            </c:spPr>
            <c:extLst>
              <c:ext xmlns:c16="http://schemas.microsoft.com/office/drawing/2014/chart" uri="{C3380CC4-5D6E-409C-BE32-E72D297353CC}">
                <c16:uniqueId val="{00000005-80E4-4CD3-8B93-681927D6C168}"/>
              </c:ext>
            </c:extLst>
          </c:dPt>
          <c:dPt>
            <c:idx val="3"/>
            <c:bubble3D val="0"/>
            <c:spPr>
              <a:solidFill>
                <a:srgbClr val="8064A2"/>
              </a:solidFill>
              <a:ln w="0">
                <a:noFill/>
              </a:ln>
            </c:spPr>
            <c:extLst>
              <c:ext xmlns:c16="http://schemas.microsoft.com/office/drawing/2014/chart" uri="{C3380CC4-5D6E-409C-BE32-E72D297353CC}">
                <c16:uniqueId val="{00000007-80E4-4CD3-8B93-681927D6C168}"/>
              </c:ext>
            </c:extLst>
          </c:dPt>
          <c:dPt>
            <c:idx val="4"/>
            <c:bubble3D val="0"/>
            <c:spPr>
              <a:solidFill>
                <a:srgbClr val="4BACC6"/>
              </a:solidFill>
              <a:ln w="0">
                <a:noFill/>
              </a:ln>
            </c:spPr>
            <c:extLst>
              <c:ext xmlns:c16="http://schemas.microsoft.com/office/drawing/2014/chart" uri="{C3380CC4-5D6E-409C-BE32-E72D297353CC}">
                <c16:uniqueId val="{00000009-80E4-4CD3-8B93-681927D6C168}"/>
              </c:ext>
            </c:extLst>
          </c:dPt>
          <c:dPt>
            <c:idx val="5"/>
            <c:bubble3D val="0"/>
            <c:spPr>
              <a:solidFill>
                <a:srgbClr val="F79646"/>
              </a:solidFill>
              <a:ln w="0">
                <a:noFill/>
              </a:ln>
            </c:spPr>
            <c:extLst>
              <c:ext xmlns:c16="http://schemas.microsoft.com/office/drawing/2014/chart" uri="{C3380CC4-5D6E-409C-BE32-E72D297353CC}">
                <c16:uniqueId val="{0000000B-80E4-4CD3-8B93-681927D6C168}"/>
              </c:ext>
            </c:extLst>
          </c:dPt>
          <c:dPt>
            <c:idx val="6"/>
            <c:bubble3D val="0"/>
            <c:spPr>
              <a:solidFill>
                <a:srgbClr val="E4F0E0"/>
              </a:solidFill>
              <a:ln w="0">
                <a:noFill/>
              </a:ln>
            </c:spPr>
            <c:extLst>
              <c:ext xmlns:c16="http://schemas.microsoft.com/office/drawing/2014/chart" uri="{C3380CC4-5D6E-409C-BE32-E72D297353CC}">
                <c16:uniqueId val="{0000000D-80E4-4CD3-8B93-681927D6C168}"/>
              </c:ext>
            </c:extLst>
          </c:dPt>
          <c:dPt>
            <c:idx val="7"/>
            <c:bubble3D val="0"/>
            <c:spPr>
              <a:solidFill>
                <a:srgbClr val="CCE3C2"/>
              </a:solidFill>
              <a:ln w="0">
                <a:noFill/>
              </a:ln>
            </c:spPr>
            <c:extLst>
              <c:ext xmlns:c16="http://schemas.microsoft.com/office/drawing/2014/chart" uri="{C3380CC4-5D6E-409C-BE32-E72D297353CC}">
                <c16:uniqueId val="{0000000F-80E4-4CD3-8B93-681927D6C168}"/>
              </c:ext>
            </c:extLst>
          </c:dPt>
          <c:dPt>
            <c:idx val="8"/>
            <c:bubble3D val="0"/>
            <c:spPr>
              <a:solidFill>
                <a:srgbClr val="2424D1"/>
              </a:solidFill>
              <a:ln w="0">
                <a:noFill/>
              </a:ln>
            </c:spPr>
            <c:extLst>
              <c:ext xmlns:c16="http://schemas.microsoft.com/office/drawing/2014/chart" uri="{C3380CC4-5D6E-409C-BE32-E72D297353CC}">
                <c16:uniqueId val="{00000011-80E4-4CD3-8B93-681927D6C168}"/>
              </c:ext>
            </c:extLst>
          </c:dPt>
          <c:dPt>
            <c:idx val="9"/>
            <c:bubble3D val="0"/>
            <c:spPr>
              <a:solidFill>
                <a:srgbClr val="F4CCCC"/>
              </a:solidFill>
              <a:ln w="0">
                <a:noFill/>
              </a:ln>
            </c:spPr>
            <c:extLst>
              <c:ext xmlns:c16="http://schemas.microsoft.com/office/drawing/2014/chart" uri="{C3380CC4-5D6E-409C-BE32-E72D297353CC}">
                <c16:uniqueId val="{00000013-80E4-4CD3-8B93-681927D6C168}"/>
              </c:ext>
            </c:extLst>
          </c:dPt>
          <c:dPt>
            <c:idx val="10"/>
            <c:bubble3D val="0"/>
            <c:spPr>
              <a:solidFill>
                <a:srgbClr val="FCE5CD"/>
              </a:solidFill>
              <a:ln w="0">
                <a:noFill/>
              </a:ln>
            </c:spPr>
            <c:extLst>
              <c:ext xmlns:c16="http://schemas.microsoft.com/office/drawing/2014/chart" uri="{C3380CC4-5D6E-409C-BE32-E72D297353CC}">
                <c16:uniqueId val="{00000015-80E4-4CD3-8B93-681927D6C168}"/>
              </c:ext>
            </c:extLst>
          </c:dPt>
          <c:dPt>
            <c:idx val="11"/>
            <c:bubble3D val="0"/>
            <c:spPr>
              <a:solidFill>
                <a:srgbClr val="F8B590"/>
              </a:solidFill>
              <a:ln w="0">
                <a:noFill/>
              </a:ln>
            </c:spPr>
            <c:extLst>
              <c:ext xmlns:c16="http://schemas.microsoft.com/office/drawing/2014/chart" uri="{C3380CC4-5D6E-409C-BE32-E72D297353CC}">
                <c16:uniqueId val="{00000017-80E4-4CD3-8B93-681927D6C168}"/>
              </c:ext>
            </c:extLst>
          </c:dPt>
          <c:dLbls>
            <c:dLbl>
              <c:idx val="0"/>
              <c:spPr/>
              <c:txPr>
                <a:bodyPr wrap="none"/>
                <a:lstStyle/>
                <a:p>
                  <a:pPr>
                    <a:defRPr sz="1000" b="0" u="none" strike="noStrike">
                      <a:uFillTx/>
                      <a:latin typeface="Arial"/>
                    </a:defRPr>
                  </a:pPr>
                  <a:endParaRPr lang="pt-BR"/>
                </a:p>
              </c:txPr>
              <c:showLegendKey val="0"/>
              <c:showVal val="0"/>
              <c:showCatName val="0"/>
              <c:showSerName val="0"/>
              <c:showPercent val="0"/>
              <c:showBubbleSize val="1"/>
              <c:extLst>
                <c:ext xmlns:c16="http://schemas.microsoft.com/office/drawing/2014/chart" uri="{C3380CC4-5D6E-409C-BE32-E72D297353CC}">
                  <c16:uniqueId val="{00000001-80E4-4CD3-8B93-681927D6C168}"/>
                </c:ext>
              </c:extLst>
            </c:dLbl>
            <c:dLbl>
              <c:idx val="1"/>
              <c:spPr/>
              <c:txPr>
                <a:bodyPr wrap="none"/>
                <a:lstStyle/>
                <a:p>
                  <a:pPr>
                    <a:defRPr sz="1000" b="0" u="none" strike="noStrike">
                      <a:uFillTx/>
                      <a:latin typeface="Arial"/>
                    </a:defRPr>
                  </a:pPr>
                  <a:endParaRPr lang="pt-BR"/>
                </a:p>
              </c:txPr>
              <c:showLegendKey val="0"/>
              <c:showVal val="0"/>
              <c:showCatName val="0"/>
              <c:showSerName val="0"/>
              <c:showPercent val="0"/>
              <c:showBubbleSize val="1"/>
              <c:extLst>
                <c:ext xmlns:c16="http://schemas.microsoft.com/office/drawing/2014/chart" uri="{C3380CC4-5D6E-409C-BE32-E72D297353CC}">
                  <c16:uniqueId val="{00000003-80E4-4CD3-8B93-681927D6C168}"/>
                </c:ext>
              </c:extLst>
            </c:dLbl>
            <c:dLbl>
              <c:idx val="2"/>
              <c:spPr/>
              <c:txPr>
                <a:bodyPr wrap="none"/>
                <a:lstStyle/>
                <a:p>
                  <a:pPr>
                    <a:defRPr sz="1000" b="0" u="none" strike="noStrike">
                      <a:uFillTx/>
                      <a:latin typeface="Arial"/>
                    </a:defRPr>
                  </a:pPr>
                  <a:endParaRPr lang="pt-BR"/>
                </a:p>
              </c:txPr>
              <c:showLegendKey val="0"/>
              <c:showVal val="0"/>
              <c:showCatName val="0"/>
              <c:showSerName val="0"/>
              <c:showPercent val="0"/>
              <c:showBubbleSize val="1"/>
              <c:extLst>
                <c:ext xmlns:c16="http://schemas.microsoft.com/office/drawing/2014/chart" uri="{C3380CC4-5D6E-409C-BE32-E72D297353CC}">
                  <c16:uniqueId val="{00000005-80E4-4CD3-8B93-681927D6C168}"/>
                </c:ext>
              </c:extLst>
            </c:dLbl>
            <c:dLbl>
              <c:idx val="3"/>
              <c:spPr/>
              <c:txPr>
                <a:bodyPr wrap="none"/>
                <a:lstStyle/>
                <a:p>
                  <a:pPr>
                    <a:defRPr sz="1000" b="0" u="none" strike="noStrike">
                      <a:uFillTx/>
                      <a:latin typeface="Arial"/>
                    </a:defRPr>
                  </a:pPr>
                  <a:endParaRPr lang="pt-BR"/>
                </a:p>
              </c:txPr>
              <c:showLegendKey val="0"/>
              <c:showVal val="0"/>
              <c:showCatName val="0"/>
              <c:showSerName val="0"/>
              <c:showPercent val="0"/>
              <c:showBubbleSize val="1"/>
              <c:extLst>
                <c:ext xmlns:c16="http://schemas.microsoft.com/office/drawing/2014/chart" uri="{C3380CC4-5D6E-409C-BE32-E72D297353CC}">
                  <c16:uniqueId val="{00000007-80E4-4CD3-8B93-681927D6C168}"/>
                </c:ext>
              </c:extLst>
            </c:dLbl>
            <c:dLbl>
              <c:idx val="4"/>
              <c:spPr/>
              <c:txPr>
                <a:bodyPr wrap="none"/>
                <a:lstStyle/>
                <a:p>
                  <a:pPr>
                    <a:defRPr sz="1000" b="0" u="none" strike="noStrike">
                      <a:uFillTx/>
                      <a:latin typeface="Arial"/>
                    </a:defRPr>
                  </a:pPr>
                  <a:endParaRPr lang="pt-BR"/>
                </a:p>
              </c:txPr>
              <c:showLegendKey val="0"/>
              <c:showVal val="0"/>
              <c:showCatName val="0"/>
              <c:showSerName val="0"/>
              <c:showPercent val="0"/>
              <c:showBubbleSize val="1"/>
              <c:extLst>
                <c:ext xmlns:c16="http://schemas.microsoft.com/office/drawing/2014/chart" uri="{C3380CC4-5D6E-409C-BE32-E72D297353CC}">
                  <c16:uniqueId val="{00000009-80E4-4CD3-8B93-681927D6C168}"/>
                </c:ext>
              </c:extLst>
            </c:dLbl>
            <c:dLbl>
              <c:idx val="5"/>
              <c:spPr/>
              <c:txPr>
                <a:bodyPr wrap="none"/>
                <a:lstStyle/>
                <a:p>
                  <a:pPr>
                    <a:defRPr sz="1000" b="0" u="none" strike="noStrike">
                      <a:uFillTx/>
                      <a:latin typeface="Arial"/>
                    </a:defRPr>
                  </a:pPr>
                  <a:endParaRPr lang="pt-BR"/>
                </a:p>
              </c:txPr>
              <c:showLegendKey val="0"/>
              <c:showVal val="0"/>
              <c:showCatName val="0"/>
              <c:showSerName val="0"/>
              <c:showPercent val="0"/>
              <c:showBubbleSize val="1"/>
              <c:extLst>
                <c:ext xmlns:c16="http://schemas.microsoft.com/office/drawing/2014/chart" uri="{C3380CC4-5D6E-409C-BE32-E72D297353CC}">
                  <c16:uniqueId val="{0000000B-80E4-4CD3-8B93-681927D6C168}"/>
                </c:ext>
              </c:extLst>
            </c:dLbl>
            <c:dLbl>
              <c:idx val="6"/>
              <c:spPr/>
              <c:txPr>
                <a:bodyPr wrap="none"/>
                <a:lstStyle/>
                <a:p>
                  <a:pPr>
                    <a:defRPr sz="1000" b="0" u="none" strike="noStrike">
                      <a:uFillTx/>
                      <a:latin typeface="Arial"/>
                    </a:defRPr>
                  </a:pPr>
                  <a:endParaRPr lang="pt-BR"/>
                </a:p>
              </c:txPr>
              <c:showLegendKey val="0"/>
              <c:showVal val="0"/>
              <c:showCatName val="0"/>
              <c:showSerName val="0"/>
              <c:showPercent val="0"/>
              <c:showBubbleSize val="1"/>
              <c:extLst>
                <c:ext xmlns:c16="http://schemas.microsoft.com/office/drawing/2014/chart" uri="{C3380CC4-5D6E-409C-BE32-E72D297353CC}">
                  <c16:uniqueId val="{0000000D-80E4-4CD3-8B93-681927D6C168}"/>
                </c:ext>
              </c:extLst>
            </c:dLbl>
            <c:dLbl>
              <c:idx val="7"/>
              <c:spPr/>
              <c:txPr>
                <a:bodyPr wrap="none"/>
                <a:lstStyle/>
                <a:p>
                  <a:pPr>
                    <a:defRPr sz="1000" b="0" u="none" strike="noStrike">
                      <a:uFillTx/>
                      <a:latin typeface="Arial"/>
                    </a:defRPr>
                  </a:pPr>
                  <a:endParaRPr lang="pt-BR"/>
                </a:p>
              </c:txPr>
              <c:showLegendKey val="0"/>
              <c:showVal val="0"/>
              <c:showCatName val="0"/>
              <c:showSerName val="0"/>
              <c:showPercent val="0"/>
              <c:showBubbleSize val="1"/>
              <c:extLst>
                <c:ext xmlns:c16="http://schemas.microsoft.com/office/drawing/2014/chart" uri="{C3380CC4-5D6E-409C-BE32-E72D297353CC}">
                  <c16:uniqueId val="{0000000F-80E4-4CD3-8B93-681927D6C168}"/>
                </c:ext>
              </c:extLst>
            </c:dLbl>
            <c:dLbl>
              <c:idx val="8"/>
              <c:spPr/>
              <c:txPr>
                <a:bodyPr wrap="none"/>
                <a:lstStyle/>
                <a:p>
                  <a:pPr>
                    <a:defRPr sz="1000" b="0" u="none" strike="noStrike">
                      <a:uFillTx/>
                      <a:latin typeface="Arial"/>
                    </a:defRPr>
                  </a:pPr>
                  <a:endParaRPr lang="pt-BR"/>
                </a:p>
              </c:txPr>
              <c:showLegendKey val="0"/>
              <c:showVal val="0"/>
              <c:showCatName val="0"/>
              <c:showSerName val="0"/>
              <c:showPercent val="0"/>
              <c:showBubbleSize val="1"/>
              <c:extLst>
                <c:ext xmlns:c16="http://schemas.microsoft.com/office/drawing/2014/chart" uri="{C3380CC4-5D6E-409C-BE32-E72D297353CC}">
                  <c16:uniqueId val="{00000011-80E4-4CD3-8B93-681927D6C168}"/>
                </c:ext>
              </c:extLst>
            </c:dLbl>
            <c:dLbl>
              <c:idx val="9"/>
              <c:spPr/>
              <c:txPr>
                <a:bodyPr wrap="none"/>
                <a:lstStyle/>
                <a:p>
                  <a:pPr>
                    <a:defRPr sz="1000" b="0" u="none" strike="noStrike">
                      <a:uFillTx/>
                      <a:latin typeface="Arial"/>
                    </a:defRPr>
                  </a:pPr>
                  <a:endParaRPr lang="pt-BR"/>
                </a:p>
              </c:txPr>
              <c:showLegendKey val="0"/>
              <c:showVal val="0"/>
              <c:showCatName val="0"/>
              <c:showSerName val="0"/>
              <c:showPercent val="0"/>
              <c:showBubbleSize val="1"/>
              <c:extLst>
                <c:ext xmlns:c16="http://schemas.microsoft.com/office/drawing/2014/chart" uri="{C3380CC4-5D6E-409C-BE32-E72D297353CC}">
                  <c16:uniqueId val="{00000013-80E4-4CD3-8B93-681927D6C168}"/>
                </c:ext>
              </c:extLst>
            </c:dLbl>
            <c:dLbl>
              <c:idx val="10"/>
              <c:spPr/>
              <c:txPr>
                <a:bodyPr wrap="none"/>
                <a:lstStyle/>
                <a:p>
                  <a:pPr>
                    <a:defRPr sz="1000" b="0" u="none" strike="noStrike">
                      <a:uFillTx/>
                      <a:latin typeface="Arial"/>
                    </a:defRPr>
                  </a:pPr>
                  <a:endParaRPr lang="pt-BR"/>
                </a:p>
              </c:txPr>
              <c:showLegendKey val="0"/>
              <c:showVal val="0"/>
              <c:showCatName val="0"/>
              <c:showSerName val="0"/>
              <c:showPercent val="0"/>
              <c:showBubbleSize val="1"/>
              <c:extLst>
                <c:ext xmlns:c16="http://schemas.microsoft.com/office/drawing/2014/chart" uri="{C3380CC4-5D6E-409C-BE32-E72D297353CC}">
                  <c16:uniqueId val="{00000015-80E4-4CD3-8B93-681927D6C168}"/>
                </c:ext>
              </c:extLst>
            </c:dLbl>
            <c:dLbl>
              <c:idx val="11"/>
              <c:spPr/>
              <c:txPr>
                <a:bodyPr wrap="none"/>
                <a:lstStyle/>
                <a:p>
                  <a:pPr>
                    <a:defRPr sz="1000" b="0" u="none" strike="noStrike">
                      <a:uFillTx/>
                      <a:latin typeface="Arial"/>
                    </a:defRPr>
                  </a:pPr>
                  <a:endParaRPr lang="pt-BR"/>
                </a:p>
              </c:txPr>
              <c:showLegendKey val="0"/>
              <c:showVal val="0"/>
              <c:showCatName val="0"/>
              <c:showSerName val="0"/>
              <c:showPercent val="0"/>
              <c:showBubbleSize val="1"/>
              <c:extLst>
                <c:ext xmlns:c16="http://schemas.microsoft.com/office/drawing/2014/chart" uri="{C3380CC4-5D6E-409C-BE32-E72D297353CC}">
                  <c16:uniqueId val="{00000017-80E4-4CD3-8B93-681927D6C168}"/>
                </c:ext>
              </c:extLst>
            </c:dLbl>
            <c:spPr>
              <a:noFill/>
              <a:ln>
                <a:noFill/>
              </a:ln>
              <a:effectLst/>
            </c:spPr>
            <c:txPr>
              <a:bodyPr wrap="none"/>
              <a:lstStyle/>
              <a:p>
                <a:pPr>
                  <a:defRPr sz="1000" b="0" u="none" strike="noStrike">
                    <a:uFillTx/>
                    <a:latin typeface="Arial"/>
                  </a:defRPr>
                </a:pPr>
                <a:endParaRPr lang="pt-BR"/>
              </a:p>
            </c:txPr>
            <c:showLegendKey val="0"/>
            <c:showVal val="0"/>
            <c:showCatName val="0"/>
            <c:showSerName val="0"/>
            <c:showPercent val="0"/>
            <c:showBubbleSize val="1"/>
            <c:separator> </c:separator>
            <c:showLeaderLines val="1"/>
            <c:leaderLines>
              <c:spPr>
                <a:ln w="0">
                  <a:solidFill>
                    <a:srgbClr val="000000"/>
                  </a:solidFill>
                </a:ln>
              </c:spPr>
            </c:leaderLines>
            <c:extLst>
              <c:ext xmlns:c15="http://schemas.microsoft.com/office/drawing/2012/chart" uri="{CE6537A1-D6FC-4f65-9D91-7224C49458BB}"/>
            </c:extLst>
          </c:dLbls>
          <c:cat>
            <c:strRef>
              <c:f>'Cargos vagos'!$B$142:$B$153</c:f>
              <c:strCache>
                <c:ptCount val="12"/>
                <c:pt idx="0">
                  <c:v>Analista Judiciário - Área Judiciária</c:v>
                </c:pt>
                <c:pt idx="1">
                  <c:v>Analista Judiciário - Área Judiciária - Especialidade Oficial de Justiça Avaliador Federal</c:v>
                </c:pt>
                <c:pt idx="2">
                  <c:v>Analista Judiciário - Área Administrativa</c:v>
                </c:pt>
                <c:pt idx="3">
                  <c:v>Analista Judiciário - Área Apoio Especializado - Especialidade Medicina (Clínica Geral)</c:v>
                </c:pt>
                <c:pt idx="4">
                  <c:v>Analista Judiciário - Área Apoio Especializado - Especialidade Informática/Infraestrutura</c:v>
                </c:pt>
                <c:pt idx="5">
                  <c:v>Analista Judiciário - Área Apoio Especializado - Especialidade Informática/Desenvolvimento</c:v>
                </c:pt>
                <c:pt idx="6">
                  <c:v>Analista Judiciário - Área Apoio Especializado - Especialidade Contadoria</c:v>
                </c:pt>
                <c:pt idx="7">
                  <c:v>Analista Judiciário - Área Apoio Especializado - Especialidade Engenharia Eletrica</c:v>
                </c:pt>
                <c:pt idx="8">
                  <c:v>Analista Judiciário - Área Apoio Especializado - Especialidade Engenharia Civil</c:v>
                </c:pt>
                <c:pt idx="9">
                  <c:v>Técnico Judiciário- Apoio Especializado- Contabilidade</c:v>
                </c:pt>
                <c:pt idx="10">
                  <c:v>Técnico Judiciário - Área Administrativa </c:v>
                </c:pt>
                <c:pt idx="11">
                  <c:v>Técnico Judiciário - Área Administrativa - Especialidade Segurança e Transporte </c:v>
                </c:pt>
              </c:strCache>
            </c:strRef>
          </c:cat>
          <c:val>
            <c:numRef>
              <c:f>'Cargos vagos'!$C$142:$C$153</c:f>
              <c:numCache>
                <c:formatCode>General</c:formatCode>
                <c:ptCount val="12"/>
                <c:pt idx="0">
                  <c:v>0</c:v>
                </c:pt>
                <c:pt idx="1">
                  <c:v>0</c:v>
                </c:pt>
                <c:pt idx="2">
                  <c:v>0</c:v>
                </c:pt>
                <c:pt idx="3">
                  <c:v>0</c:v>
                </c:pt>
                <c:pt idx="4">
                  <c:v>0</c:v>
                </c:pt>
                <c:pt idx="5">
                  <c:v>0</c:v>
                </c:pt>
                <c:pt idx="6">
                  <c:v>0</c:v>
                </c:pt>
                <c:pt idx="7">
                  <c:v>1</c:v>
                </c:pt>
                <c:pt idx="8">
                  <c:v>0</c:v>
                </c:pt>
                <c:pt idx="9">
                  <c:v>0</c:v>
                </c:pt>
                <c:pt idx="10">
                  <c:v>2</c:v>
                </c:pt>
                <c:pt idx="11">
                  <c:v>1</c:v>
                </c:pt>
              </c:numCache>
            </c:numRef>
          </c:val>
          <c:extLst>
            <c:ext xmlns:c16="http://schemas.microsoft.com/office/drawing/2014/chart" uri="{C3380CC4-5D6E-409C-BE32-E72D297353CC}">
              <c16:uniqueId val="{00000018-80E4-4CD3-8B93-681927D6C168}"/>
            </c:ext>
          </c:extLst>
        </c:ser>
        <c:dLbls>
          <c:showLegendKey val="0"/>
          <c:showVal val="0"/>
          <c:showCatName val="0"/>
          <c:showSerName val="0"/>
          <c:showPercent val="0"/>
          <c:showBubbleSize val="0"/>
          <c:showLeaderLines val="1"/>
        </c:dLbls>
        <c:firstSliceAng val="0"/>
        <c:holeSize val="50"/>
      </c:doughnutChart>
      <c:spPr>
        <a:noFill/>
        <a:ln w="0">
          <a:noFill/>
        </a:ln>
      </c:spPr>
    </c:plotArea>
    <c:legend>
      <c:legendPos val="r"/>
      <c:layout>
        <c:manualLayout>
          <c:xMode val="edge"/>
          <c:yMode val="edge"/>
          <c:x val="0.564560246262093"/>
          <c:y val="0.309912854030503"/>
        </c:manualLayout>
      </c:layout>
      <c:overlay val="0"/>
      <c:spPr>
        <a:noFill/>
        <a:ln w="0">
          <a:noFill/>
        </a:ln>
      </c:spPr>
      <c:txPr>
        <a:bodyPr/>
        <a:lstStyle/>
        <a:p>
          <a:pPr>
            <a:defRPr sz="1200" b="1" u="none" strike="noStrike">
              <a:solidFill>
                <a:srgbClr val="1A1A1A"/>
              </a:solidFill>
              <a:uFillTx/>
              <a:latin typeface="Georgia"/>
              <a:ea typeface="Arial"/>
            </a:defRPr>
          </a:pPr>
          <a:endParaRPr lang="pt-BR"/>
        </a:p>
      </c:txPr>
    </c:legend>
    <c:plotVisOnly val="1"/>
    <c:dispBlanksAs val="zero"/>
    <c:showDLblsOverMax val="1"/>
  </c:chart>
  <c:spPr>
    <a:solidFill>
      <a:srgbClr val="FFFFFF"/>
    </a:solidFill>
    <a:ln w="9360">
      <a:solidFill>
        <a:srgbClr val="D9D9D9"/>
      </a:solidFill>
      <a:round/>
    </a:ln>
  </c:spPr>
  <c:printSettings>
    <c:headerFooter/>
    <c:pageMargins b="0.78740157499999996" l="0.511811024" r="0.511811024" t="0.78740157499999996" header="0.31496062000000002" footer="0.3149606200000000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c:style val="2"/>
  <c:chart>
    <c:autoTitleDeleted val="1"/>
    <c:view3D>
      <c:rotX val="50"/>
      <c:rotY val="0"/>
      <c:rAngAx val="0"/>
      <c:perspective val="0"/>
    </c:view3D>
    <c:floor>
      <c:thickness val="0"/>
      <c:spPr>
        <a:solidFill>
          <a:srgbClr val="D9D9D9"/>
        </a:solidFill>
        <a:ln w="0">
          <a:noFill/>
        </a:ln>
      </c:spPr>
    </c:floor>
    <c:sideWall>
      <c:thickness val="0"/>
      <c:spPr>
        <a:solidFill>
          <a:srgbClr val="D9D9D9"/>
        </a:solidFill>
        <a:ln w="0">
          <a:noFill/>
        </a:ln>
      </c:spPr>
    </c:sideWall>
    <c:backWall>
      <c:thickness val="0"/>
      <c:spPr>
        <a:solidFill>
          <a:srgbClr val="D9D9D9"/>
        </a:solidFill>
        <a:ln w="0">
          <a:noFill/>
        </a:ln>
      </c:spPr>
    </c:backWall>
    <c:plotArea>
      <c:layout/>
      <c:pie3DChart>
        <c:varyColors val="1"/>
        <c:ser>
          <c:idx val="0"/>
          <c:order val="0"/>
          <c:spPr>
            <a:solidFill>
              <a:srgbClr val="D9EAD3"/>
            </a:solidFill>
            <a:ln w="0">
              <a:noFill/>
            </a:ln>
          </c:spPr>
          <c:dPt>
            <c:idx val="0"/>
            <c:bubble3D val="0"/>
            <c:spPr>
              <a:solidFill>
                <a:srgbClr val="4F81BD"/>
              </a:solidFill>
              <a:ln w="0">
                <a:noFill/>
              </a:ln>
            </c:spPr>
            <c:extLst>
              <c:ext xmlns:c16="http://schemas.microsoft.com/office/drawing/2014/chart" uri="{C3380CC4-5D6E-409C-BE32-E72D297353CC}">
                <c16:uniqueId val="{00000001-591E-4205-98AF-64EA4936D318}"/>
              </c:ext>
            </c:extLst>
          </c:dPt>
          <c:dPt>
            <c:idx val="1"/>
            <c:bubble3D val="0"/>
            <c:spPr>
              <a:solidFill>
                <a:srgbClr val="C0504D"/>
              </a:solidFill>
              <a:ln w="0">
                <a:noFill/>
              </a:ln>
            </c:spPr>
            <c:extLst>
              <c:ext xmlns:c16="http://schemas.microsoft.com/office/drawing/2014/chart" uri="{C3380CC4-5D6E-409C-BE32-E72D297353CC}">
                <c16:uniqueId val="{00000003-591E-4205-98AF-64EA4936D318}"/>
              </c:ext>
            </c:extLst>
          </c:dPt>
          <c:dLbls>
            <c:dLbl>
              <c:idx val="0"/>
              <c:spPr/>
              <c:txPr>
                <a:bodyPr wrap="square"/>
                <a:lstStyle/>
                <a:p>
                  <a:pPr>
                    <a:defRPr sz="1000" b="0" u="none" strike="noStrike">
                      <a:solidFill>
                        <a:srgbClr val="000000"/>
                      </a:solidFill>
                      <a:uFillTx/>
                      <a:latin typeface="Arial"/>
                    </a:defRPr>
                  </a:pPr>
                  <a:endParaRPr lang="pt-BR"/>
                </a:p>
              </c:txPr>
              <c:dLblPos val="bestFit"/>
              <c:showLegendKey val="0"/>
              <c:showVal val="0"/>
              <c:showCatName val="0"/>
              <c:showSerName val="0"/>
              <c:showPercent val="1"/>
              <c:showBubbleSize val="1"/>
              <c:extLst>
                <c:ext xmlns:c16="http://schemas.microsoft.com/office/drawing/2014/chart" uri="{C3380CC4-5D6E-409C-BE32-E72D297353CC}">
                  <c16:uniqueId val="{00000001-591E-4205-98AF-64EA4936D318}"/>
                </c:ext>
              </c:extLst>
            </c:dLbl>
            <c:dLbl>
              <c:idx val="1"/>
              <c:spPr/>
              <c:txPr>
                <a:bodyPr wrap="square"/>
                <a:lstStyle/>
                <a:p>
                  <a:pPr>
                    <a:defRPr sz="1000" b="0" u="none" strike="noStrike">
                      <a:solidFill>
                        <a:srgbClr val="000000"/>
                      </a:solidFill>
                      <a:uFillTx/>
                      <a:latin typeface="Arial"/>
                    </a:defRPr>
                  </a:pPr>
                  <a:endParaRPr lang="pt-BR"/>
                </a:p>
              </c:txPr>
              <c:dLblPos val="bestFit"/>
              <c:showLegendKey val="0"/>
              <c:showVal val="0"/>
              <c:showCatName val="0"/>
              <c:showSerName val="0"/>
              <c:showPercent val="1"/>
              <c:showBubbleSize val="1"/>
              <c:extLst>
                <c:ext xmlns:c16="http://schemas.microsoft.com/office/drawing/2014/chart" uri="{C3380CC4-5D6E-409C-BE32-E72D297353CC}">
                  <c16:uniqueId val="{00000003-591E-4205-98AF-64EA4936D318}"/>
                </c:ext>
              </c:extLst>
            </c:dLbl>
            <c:spPr>
              <a:noFill/>
              <a:ln>
                <a:noFill/>
              </a:ln>
              <a:effectLst/>
            </c:spPr>
            <c:txPr>
              <a:bodyPr wrap="square"/>
              <a:lstStyle/>
              <a:p>
                <a:pPr>
                  <a:defRPr sz="1000" b="0" u="none" strike="noStrike">
                    <a:solidFill>
                      <a:srgbClr val="000000"/>
                    </a:solidFill>
                    <a:uFillTx/>
                    <a:latin typeface="Arial"/>
                    <a:ea typeface="Arial"/>
                  </a:defRPr>
                </a:pPr>
                <a:endParaRPr lang="pt-BR"/>
              </a:p>
            </c:txPr>
            <c:dLblPos val="bestFit"/>
            <c:showLegendKey val="0"/>
            <c:showVal val="0"/>
            <c:showCatName val="0"/>
            <c:showSerName val="0"/>
            <c:showPercent val="1"/>
            <c:showBubbleSize val="1"/>
            <c:separator>
</c:separator>
            <c:showLeaderLines val="1"/>
            <c:leaderLines>
              <c:spPr>
                <a:ln w="0">
                  <a:solidFill>
                    <a:srgbClr val="000000"/>
                  </a:solidFill>
                </a:ln>
              </c:spPr>
            </c:leaderLines>
            <c:extLst>
              <c:ext xmlns:c15="http://schemas.microsoft.com/office/drawing/2012/chart" uri="{CE6537A1-D6FC-4f65-9D91-7224C49458BB}"/>
            </c:extLst>
          </c:dLbls>
          <c:cat>
            <c:strRef>
              <c:f>'Equalização força de trabalho'!$B$3:$B$4</c:f>
              <c:strCache>
                <c:ptCount val="2"/>
                <c:pt idx="0">
                  <c:v>JUDICIÁRIA</c:v>
                </c:pt>
                <c:pt idx="1">
                  <c:v>ADMINISTRATIVA</c:v>
                </c:pt>
              </c:strCache>
            </c:strRef>
          </c:cat>
          <c:val>
            <c:numRef>
              <c:f>'Equalização força de trabalho'!$C$3:$C$4</c:f>
              <c:numCache>
                <c:formatCode>General</c:formatCode>
                <c:ptCount val="2"/>
                <c:pt idx="0">
                  <c:v>650</c:v>
                </c:pt>
                <c:pt idx="1">
                  <c:v>228</c:v>
                </c:pt>
              </c:numCache>
            </c:numRef>
          </c:val>
          <c:extLst>
            <c:ext xmlns:c16="http://schemas.microsoft.com/office/drawing/2014/chart" uri="{C3380CC4-5D6E-409C-BE32-E72D297353CC}">
              <c16:uniqueId val="{00000004-591E-4205-98AF-64EA4936D318}"/>
            </c:ext>
          </c:extLst>
        </c:ser>
        <c:dLbls>
          <c:showLegendKey val="0"/>
          <c:showVal val="0"/>
          <c:showCatName val="0"/>
          <c:showSerName val="0"/>
          <c:showPercent val="0"/>
          <c:showBubbleSize val="0"/>
          <c:showLeaderLines val="1"/>
        </c:dLbls>
      </c:pie3DChart>
    </c:plotArea>
    <c:legend>
      <c:legendPos val="t"/>
      <c:overlay val="0"/>
      <c:spPr>
        <a:noFill/>
        <a:ln w="0">
          <a:noFill/>
        </a:ln>
      </c:spPr>
      <c:txPr>
        <a:bodyPr/>
        <a:lstStyle/>
        <a:p>
          <a:pPr>
            <a:defRPr sz="1000" b="0" u="none" strike="noStrike">
              <a:solidFill>
                <a:srgbClr val="1A1A1A"/>
              </a:solidFill>
              <a:uFillTx/>
              <a:latin typeface="Arial"/>
              <a:ea typeface="Arial"/>
            </a:defRPr>
          </a:pPr>
          <a:endParaRPr lang="pt-BR"/>
        </a:p>
      </c:txPr>
    </c:legend>
    <c:plotVisOnly val="1"/>
    <c:dispBlanksAs val="zero"/>
    <c:showDLblsOverMax val="1"/>
  </c:chart>
  <c:spPr>
    <a:solidFill>
      <a:srgbClr val="FFFFFF"/>
    </a:solidFill>
    <a:ln w="9360">
      <a:solidFill>
        <a:srgbClr val="D9D9D9"/>
      </a:solidFill>
      <a:round/>
    </a:ln>
  </c:spPr>
  <c:printSettings>
    <c:headerFooter/>
    <c:pageMargins b="0.78740157499999996" l="0.511811024" r="0.511811024" t="0.78740157499999996" header="0.31496062000000002" footer="0.31496062000000002"/>
    <c:pageSetup/>
  </c:printSettings>
</c:chartSpace>
</file>

<file path=xl/drawings/_rels/drawing1.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editAs="oneCell">
    <xdr:from>
      <xdr:col>3</xdr:col>
      <xdr:colOff>162000</xdr:colOff>
      <xdr:row>318</xdr:row>
      <xdr:rowOff>85680</xdr:rowOff>
    </xdr:from>
    <xdr:to>
      <xdr:col>12</xdr:col>
      <xdr:colOff>328680</xdr:colOff>
      <xdr:row>344</xdr:row>
      <xdr:rowOff>154080</xdr:rowOff>
    </xdr:to>
    <xdr:graphicFrame macro="">
      <xdr:nvGraphicFramePr>
        <xdr:cNvPr id="2" name="Chart 1">
          <a:extLst>
            <a:ext uri="{FF2B5EF4-FFF2-40B4-BE49-F238E27FC236}">
              <a16:creationId xmlns:a16="http://schemas.microsoft.com/office/drawing/2014/main" id="{00000000-0008-0000-06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771480</xdr:colOff>
      <xdr:row>348</xdr:row>
      <xdr:rowOff>76320</xdr:rowOff>
    </xdr:from>
    <xdr:to>
      <xdr:col>11</xdr:col>
      <xdr:colOff>821520</xdr:colOff>
      <xdr:row>367</xdr:row>
      <xdr:rowOff>172800</xdr:rowOff>
    </xdr:to>
    <xdr:graphicFrame macro="">
      <xdr:nvGraphicFramePr>
        <xdr:cNvPr id="3" name="Chart 2">
          <a:extLst>
            <a:ext uri="{FF2B5EF4-FFF2-40B4-BE49-F238E27FC236}">
              <a16:creationId xmlns:a16="http://schemas.microsoft.com/office/drawing/2014/main" id="{00000000-0008-0000-06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xdr:col>
      <xdr:colOff>207000</xdr:colOff>
      <xdr:row>0</xdr:row>
      <xdr:rowOff>0</xdr:rowOff>
    </xdr:from>
    <xdr:to>
      <xdr:col>1</xdr:col>
      <xdr:colOff>3189960</xdr:colOff>
      <xdr:row>2</xdr:row>
      <xdr:rowOff>1865880</xdr:rowOff>
    </xdr:to>
    <xdr:pic>
      <xdr:nvPicPr>
        <xdr:cNvPr id="4" name="image1.png">
          <a:extLst>
            <a:ext uri="{FF2B5EF4-FFF2-40B4-BE49-F238E27FC236}">
              <a16:creationId xmlns:a16="http://schemas.microsoft.com/office/drawing/2014/main" id="{00000000-0008-0000-0600-000004000000}"/>
            </a:ext>
          </a:extLst>
        </xdr:cNvPr>
        <xdr:cNvPicPr/>
      </xdr:nvPicPr>
      <xdr:blipFill>
        <a:blip xmlns:r="http://schemas.openxmlformats.org/officeDocument/2006/relationships" r:embed="rId3"/>
        <a:stretch/>
      </xdr:blipFill>
      <xdr:spPr>
        <a:xfrm>
          <a:off x="933480" y="0"/>
          <a:ext cx="2982960" cy="2327040"/>
        </a:xfrm>
        <a:prstGeom prst="rect">
          <a:avLst/>
        </a:prstGeom>
        <a:noFill/>
        <a:ln w="0">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752400</xdr:colOff>
      <xdr:row>9</xdr:row>
      <xdr:rowOff>171000</xdr:rowOff>
    </xdr:from>
    <xdr:to>
      <xdr:col>11</xdr:col>
      <xdr:colOff>592200</xdr:colOff>
      <xdr:row>29</xdr:row>
      <xdr:rowOff>106920</xdr:rowOff>
    </xdr:to>
    <xdr:graphicFrame macro="">
      <xdr:nvGraphicFramePr>
        <xdr:cNvPr id="3" name="Chart 3">
          <a:extLst>
            <a:ext uri="{FF2B5EF4-FFF2-40B4-BE49-F238E27FC236}">
              <a16:creationId xmlns:a16="http://schemas.microsoft.com/office/drawing/2014/main" id="{00000000-0008-0000-09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247680</xdr:colOff>
      <xdr:row>9</xdr:row>
      <xdr:rowOff>171000</xdr:rowOff>
    </xdr:from>
    <xdr:to>
      <xdr:col>5</xdr:col>
      <xdr:colOff>387000</xdr:colOff>
      <xdr:row>29</xdr:row>
      <xdr:rowOff>106920</xdr:rowOff>
    </xdr:to>
    <xdr:graphicFrame macro="">
      <xdr:nvGraphicFramePr>
        <xdr:cNvPr id="4" name="Chart 4">
          <a:extLst>
            <a:ext uri="{FF2B5EF4-FFF2-40B4-BE49-F238E27FC236}">
              <a16:creationId xmlns:a16="http://schemas.microsoft.com/office/drawing/2014/main" id="{00000000-0008-0000-09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237960</xdr:colOff>
      <xdr:row>0</xdr:row>
      <xdr:rowOff>142920</xdr:rowOff>
    </xdr:from>
    <xdr:to>
      <xdr:col>9</xdr:col>
      <xdr:colOff>594000</xdr:colOff>
      <xdr:row>15</xdr:row>
      <xdr:rowOff>115920</xdr:rowOff>
    </xdr:to>
    <xdr:graphicFrame macro="">
      <xdr:nvGraphicFramePr>
        <xdr:cNvPr id="5" name="Chart 5">
          <a:extLst>
            <a:ext uri="{FF2B5EF4-FFF2-40B4-BE49-F238E27FC236}">
              <a16:creationId xmlns:a16="http://schemas.microsoft.com/office/drawing/2014/main" id="{00000000-0008-0000-2C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8</xdr:col>
      <xdr:colOff>951120</xdr:colOff>
      <xdr:row>28</xdr:row>
      <xdr:rowOff>87120</xdr:rowOff>
    </xdr:to>
    <xdr:graphicFrame macro="">
      <xdr:nvGraphicFramePr>
        <xdr:cNvPr id="6" name="Chart 6">
          <a:extLst>
            <a:ext uri="{FF2B5EF4-FFF2-40B4-BE49-F238E27FC236}">
              <a16:creationId xmlns:a16="http://schemas.microsoft.com/office/drawing/2014/main" id="{00000000-0008-0000-2D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114480</xdr:colOff>
      <xdr:row>28</xdr:row>
      <xdr:rowOff>95400</xdr:rowOff>
    </xdr:from>
    <xdr:to>
      <xdr:col>21</xdr:col>
      <xdr:colOff>49680</xdr:colOff>
      <xdr:row>54</xdr:row>
      <xdr:rowOff>59040</xdr:rowOff>
    </xdr:to>
    <xdr:graphicFrame macro="">
      <xdr:nvGraphicFramePr>
        <xdr:cNvPr id="7" name="Chart 8">
          <a:extLst>
            <a:ext uri="{FF2B5EF4-FFF2-40B4-BE49-F238E27FC236}">
              <a16:creationId xmlns:a16="http://schemas.microsoft.com/office/drawing/2014/main" id="{00000000-0008-0000-2D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Date="0" createdVersion="3" recordCount="846" xr:uid="{00000000-000A-0000-FFFF-FFFF01000000}">
  <cacheSource type="worksheet">
    <worksheetSource ref="A3:G849" sheet="BASE DE DADOS"/>
  </cacheSource>
  <cacheFields count="7">
    <cacheField name="LOTAÇÃO" numFmtId="0">
      <sharedItems count="40">
        <s v="10ª Vara"/>
        <s v="11ª Vara"/>
        <s v="12ª Vara"/>
        <s v="13ª Vara"/>
        <s v="14ª Vara"/>
        <s v="15ª Vara"/>
        <s v="16ª Vara"/>
        <s v="17ª Vara"/>
        <s v="18ª Vara"/>
        <s v="19ª Vara"/>
        <s v="1ª Vara"/>
        <s v="20ª Vara"/>
        <s v="21ª Vara"/>
        <s v="22ª Vara "/>
        <s v="23ª Vara"/>
        <s v="24ª Vara"/>
        <s v="25ª Vara"/>
        <s v="26ª Vara"/>
        <s v="27ª Vara"/>
        <s v="28ª Vara"/>
        <s v="29ª Vara"/>
        <s v="2ª Vara"/>
        <s v="30ª Vara"/>
        <s v="31ª Vara"/>
        <s v="32ª Vara "/>
        <s v="33ª Vara "/>
        <s v="34ª Vara"/>
        <s v="35ª Vara"/>
        <s v="3ª Vara"/>
        <s v="4ª Vara"/>
        <s v="5ª Vara"/>
        <s v="6ª Vara"/>
        <s v="7ª Vara"/>
        <s v="8ª Vara"/>
        <s v="9ª Vara"/>
        <s v="Diretoria do Foro"/>
        <s v="Secretaria Administrativa"/>
        <s v="Subdiretoria do Foro"/>
        <s v="Subdiretoria do Foro "/>
        <s v="Turmas Recursais"/>
      </sharedItems>
    </cacheField>
    <cacheField name="ÁREA" numFmtId="0">
      <sharedItems count="2">
        <s v="ADMINISTRATIVA"/>
        <s v="JUDICIÁRIA"/>
      </sharedItems>
    </cacheField>
    <cacheField name="ESPECIALIDADE" numFmtId="0">
      <sharedItems count="7">
        <s v="ADMINISTRATIVO"/>
        <s v="CIVIL"/>
        <s v="COMUM COM JEF"/>
        <s v="COMUM SEM JEF"/>
        <s v="CRIMINAL"/>
        <s v="EXECUÇÃO FISCAL"/>
        <s v="JUIZADO ESPECIAL"/>
      </sharedItems>
    </cacheField>
    <cacheField name="CARGO" numFmtId="0">
      <sharedItems count="18">
        <s v="Anal.Jud.(Á. Biblioteconomia)"/>
        <s v="Analista Judiciário (Esp.Oficial de Justiça Avaliador Federal)"/>
        <s v="Analista Judiciário(Á. Administrativa)"/>
        <s v="Analista Judiciário(Á. Apoio Especializado- Engenharia Civil)"/>
        <s v="Analista Judiciário(Á. Apoio Especializado-Contadoria)"/>
        <s v="Analista Judiciário(Á. Apoio Especializado-Informática-Desenvolvimento)"/>
        <s v="Analista Judiciário(Á. Apoio Especializado-Informática-Infraestrutura)"/>
        <s v="Analista Judiciário(Á. Apoio Especializado-Informática)"/>
        <s v="Analista Judiciário(Á. Apoio Especializado-Medicina-Cliníca Médica)"/>
        <s v="Analista Judiciário(Á. Judiciária)"/>
        <s v="Auxiliar Judiciário"/>
        <s v="Exercício Provisório (de outros órgãos)"/>
        <s v="Removidos (de outros órgãos)"/>
        <s v="Requisitados"/>
        <s v="Sem Vínculo"/>
        <s v="Técnico Judiciário (Á. Administrativa)-inclusas as Especialidades Serviços de Portaria/Telefonia "/>
        <s v="Técnico Judiciário (Á. Segurança e Transporte – Agente de Policia Judicial)"/>
        <s v="Técnico Judiciário(Á. Apoio Especializado- Informática)"/>
      </sharedItems>
    </cacheField>
    <cacheField name="QUANTIDADE" numFmtId="0">
      <sharedItems containsSemiMixedTypes="0" containsString="0" containsNumber="1" containsInteger="1" minValue="0" maxValue="60" count="18">
        <n v="0"/>
        <n v="1"/>
        <n v="2"/>
        <n v="3"/>
        <n v="4"/>
        <n v="5"/>
        <n v="6"/>
        <n v="7"/>
        <n v="8"/>
        <n v="9"/>
        <n v="10"/>
        <n v="11"/>
        <n v="16"/>
        <n v="19"/>
        <n v="23"/>
        <n v="33"/>
        <n v="57"/>
        <n v="60"/>
      </sharedItems>
    </cacheField>
    <cacheField name="VÍNCULO" numFmtId="0">
      <sharedItems count="5">
        <s v="EFETIVO"/>
        <s v="Exercício Provisório (de outros órgãos)"/>
        <s v="Removidos (de outros órgãos)"/>
        <s v="Requisitados"/>
        <s v="Sem Vínculo"/>
      </sharedItems>
    </cacheField>
    <cacheField name="MUNICIPIO" numFmtId="0">
      <sharedItems count="10">
        <s v="CRATEÚS"/>
        <s v="FORTALEZA"/>
        <s v="IGUATU"/>
        <s v="ITAPIPOCA"/>
        <s v="JUAZEIRO DO NORTE"/>
        <s v="LIMOEIRO DO NORTE"/>
        <s v="MARACANAÚ"/>
        <s v="QUIXADÁ"/>
        <s v="SOBRAL"/>
        <s v="TAUÁ"/>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846">
  <r>
    <x v="10"/>
    <x v="1"/>
    <x v="1"/>
    <x v="9"/>
    <x v="4"/>
    <x v="0"/>
    <x v="1"/>
  </r>
  <r>
    <x v="10"/>
    <x v="1"/>
    <x v="1"/>
    <x v="2"/>
    <x v="0"/>
    <x v="0"/>
    <x v="1"/>
  </r>
  <r>
    <x v="10"/>
    <x v="1"/>
    <x v="1"/>
    <x v="1"/>
    <x v="0"/>
    <x v="0"/>
    <x v="1"/>
  </r>
  <r>
    <x v="10"/>
    <x v="1"/>
    <x v="1"/>
    <x v="0"/>
    <x v="0"/>
    <x v="0"/>
    <x v="1"/>
  </r>
  <r>
    <x v="10"/>
    <x v="1"/>
    <x v="1"/>
    <x v="7"/>
    <x v="0"/>
    <x v="0"/>
    <x v="1"/>
  </r>
  <r>
    <x v="10"/>
    <x v="1"/>
    <x v="1"/>
    <x v="5"/>
    <x v="0"/>
    <x v="0"/>
    <x v="1"/>
  </r>
  <r>
    <x v="10"/>
    <x v="1"/>
    <x v="1"/>
    <x v="6"/>
    <x v="0"/>
    <x v="0"/>
    <x v="1"/>
  </r>
  <r>
    <x v="10"/>
    <x v="1"/>
    <x v="1"/>
    <x v="8"/>
    <x v="0"/>
    <x v="0"/>
    <x v="1"/>
  </r>
  <r>
    <x v="10"/>
    <x v="1"/>
    <x v="1"/>
    <x v="4"/>
    <x v="0"/>
    <x v="0"/>
    <x v="1"/>
  </r>
  <r>
    <x v="10"/>
    <x v="1"/>
    <x v="1"/>
    <x v="3"/>
    <x v="0"/>
    <x v="0"/>
    <x v="1"/>
  </r>
  <r>
    <x v="10"/>
    <x v="1"/>
    <x v="1"/>
    <x v="15"/>
    <x v="7"/>
    <x v="0"/>
    <x v="1"/>
  </r>
  <r>
    <x v="10"/>
    <x v="1"/>
    <x v="1"/>
    <x v="17"/>
    <x v="0"/>
    <x v="0"/>
    <x v="1"/>
  </r>
  <r>
    <x v="10"/>
    <x v="1"/>
    <x v="1"/>
    <x v="16"/>
    <x v="1"/>
    <x v="0"/>
    <x v="1"/>
  </r>
  <r>
    <x v="10"/>
    <x v="1"/>
    <x v="1"/>
    <x v="10"/>
    <x v="0"/>
    <x v="0"/>
    <x v="1"/>
  </r>
  <r>
    <x v="10"/>
    <x v="1"/>
    <x v="1"/>
    <x v="13"/>
    <x v="0"/>
    <x v="3"/>
    <x v="1"/>
  </r>
  <r>
    <x v="10"/>
    <x v="1"/>
    <x v="1"/>
    <x v="11"/>
    <x v="1"/>
    <x v="1"/>
    <x v="1"/>
  </r>
  <r>
    <x v="10"/>
    <x v="1"/>
    <x v="1"/>
    <x v="12"/>
    <x v="2"/>
    <x v="2"/>
    <x v="1"/>
  </r>
  <r>
    <x v="10"/>
    <x v="1"/>
    <x v="1"/>
    <x v="14"/>
    <x v="0"/>
    <x v="4"/>
    <x v="1"/>
  </r>
  <r>
    <x v="21"/>
    <x v="1"/>
    <x v="1"/>
    <x v="9"/>
    <x v="2"/>
    <x v="0"/>
    <x v="1"/>
  </r>
  <r>
    <x v="21"/>
    <x v="1"/>
    <x v="1"/>
    <x v="2"/>
    <x v="2"/>
    <x v="0"/>
    <x v="1"/>
  </r>
  <r>
    <x v="21"/>
    <x v="1"/>
    <x v="1"/>
    <x v="1"/>
    <x v="0"/>
    <x v="0"/>
    <x v="1"/>
  </r>
  <r>
    <x v="21"/>
    <x v="1"/>
    <x v="1"/>
    <x v="0"/>
    <x v="0"/>
    <x v="0"/>
    <x v="1"/>
  </r>
  <r>
    <x v="21"/>
    <x v="1"/>
    <x v="1"/>
    <x v="7"/>
    <x v="0"/>
    <x v="0"/>
    <x v="1"/>
  </r>
  <r>
    <x v="21"/>
    <x v="1"/>
    <x v="1"/>
    <x v="5"/>
    <x v="0"/>
    <x v="0"/>
    <x v="1"/>
  </r>
  <r>
    <x v="21"/>
    <x v="1"/>
    <x v="1"/>
    <x v="6"/>
    <x v="0"/>
    <x v="0"/>
    <x v="1"/>
  </r>
  <r>
    <x v="21"/>
    <x v="1"/>
    <x v="1"/>
    <x v="8"/>
    <x v="0"/>
    <x v="0"/>
    <x v="1"/>
  </r>
  <r>
    <x v="21"/>
    <x v="1"/>
    <x v="1"/>
    <x v="4"/>
    <x v="0"/>
    <x v="0"/>
    <x v="1"/>
  </r>
  <r>
    <x v="21"/>
    <x v="1"/>
    <x v="1"/>
    <x v="3"/>
    <x v="0"/>
    <x v="0"/>
    <x v="1"/>
  </r>
  <r>
    <x v="21"/>
    <x v="1"/>
    <x v="1"/>
    <x v="15"/>
    <x v="0"/>
    <x v="0"/>
    <x v="1"/>
  </r>
  <r>
    <x v="21"/>
    <x v="1"/>
    <x v="1"/>
    <x v="17"/>
    <x v="0"/>
    <x v="0"/>
    <x v="1"/>
  </r>
  <r>
    <x v="21"/>
    <x v="1"/>
    <x v="1"/>
    <x v="16"/>
    <x v="0"/>
    <x v="0"/>
    <x v="1"/>
  </r>
  <r>
    <x v="21"/>
    <x v="1"/>
    <x v="1"/>
    <x v="10"/>
    <x v="0"/>
    <x v="0"/>
    <x v="1"/>
  </r>
  <r>
    <x v="21"/>
    <x v="1"/>
    <x v="1"/>
    <x v="13"/>
    <x v="0"/>
    <x v="3"/>
    <x v="1"/>
  </r>
  <r>
    <x v="21"/>
    <x v="1"/>
    <x v="1"/>
    <x v="11"/>
    <x v="0"/>
    <x v="1"/>
    <x v="1"/>
  </r>
  <r>
    <x v="21"/>
    <x v="1"/>
    <x v="1"/>
    <x v="12"/>
    <x v="0"/>
    <x v="2"/>
    <x v="1"/>
  </r>
  <r>
    <x v="21"/>
    <x v="1"/>
    <x v="1"/>
    <x v="14"/>
    <x v="0"/>
    <x v="4"/>
    <x v="1"/>
  </r>
  <r>
    <x v="28"/>
    <x v="1"/>
    <x v="1"/>
    <x v="9"/>
    <x v="3"/>
    <x v="0"/>
    <x v="1"/>
  </r>
  <r>
    <x v="28"/>
    <x v="1"/>
    <x v="1"/>
    <x v="2"/>
    <x v="0"/>
    <x v="0"/>
    <x v="1"/>
  </r>
  <r>
    <x v="28"/>
    <x v="1"/>
    <x v="1"/>
    <x v="1"/>
    <x v="0"/>
    <x v="0"/>
    <x v="1"/>
  </r>
  <r>
    <x v="28"/>
    <x v="1"/>
    <x v="1"/>
    <x v="0"/>
    <x v="0"/>
    <x v="0"/>
    <x v="1"/>
  </r>
  <r>
    <x v="28"/>
    <x v="1"/>
    <x v="1"/>
    <x v="7"/>
    <x v="0"/>
    <x v="0"/>
    <x v="1"/>
  </r>
  <r>
    <x v="28"/>
    <x v="1"/>
    <x v="1"/>
    <x v="5"/>
    <x v="0"/>
    <x v="0"/>
    <x v="1"/>
  </r>
  <r>
    <x v="28"/>
    <x v="1"/>
    <x v="1"/>
    <x v="6"/>
    <x v="0"/>
    <x v="0"/>
    <x v="1"/>
  </r>
  <r>
    <x v="28"/>
    <x v="1"/>
    <x v="1"/>
    <x v="8"/>
    <x v="0"/>
    <x v="0"/>
    <x v="1"/>
  </r>
  <r>
    <x v="28"/>
    <x v="1"/>
    <x v="1"/>
    <x v="4"/>
    <x v="0"/>
    <x v="0"/>
    <x v="1"/>
  </r>
  <r>
    <x v="28"/>
    <x v="1"/>
    <x v="1"/>
    <x v="3"/>
    <x v="0"/>
    <x v="0"/>
    <x v="1"/>
  </r>
  <r>
    <x v="28"/>
    <x v="1"/>
    <x v="1"/>
    <x v="15"/>
    <x v="12"/>
    <x v="0"/>
    <x v="1"/>
  </r>
  <r>
    <x v="28"/>
    <x v="1"/>
    <x v="1"/>
    <x v="17"/>
    <x v="0"/>
    <x v="0"/>
    <x v="1"/>
  </r>
  <r>
    <x v="28"/>
    <x v="1"/>
    <x v="1"/>
    <x v="16"/>
    <x v="0"/>
    <x v="0"/>
    <x v="1"/>
  </r>
  <r>
    <x v="28"/>
    <x v="1"/>
    <x v="1"/>
    <x v="10"/>
    <x v="0"/>
    <x v="0"/>
    <x v="1"/>
  </r>
  <r>
    <x v="28"/>
    <x v="1"/>
    <x v="1"/>
    <x v="13"/>
    <x v="0"/>
    <x v="3"/>
    <x v="1"/>
  </r>
  <r>
    <x v="28"/>
    <x v="1"/>
    <x v="1"/>
    <x v="11"/>
    <x v="0"/>
    <x v="1"/>
    <x v="1"/>
  </r>
  <r>
    <x v="28"/>
    <x v="1"/>
    <x v="1"/>
    <x v="12"/>
    <x v="1"/>
    <x v="2"/>
    <x v="1"/>
  </r>
  <r>
    <x v="28"/>
    <x v="1"/>
    <x v="1"/>
    <x v="14"/>
    <x v="0"/>
    <x v="4"/>
    <x v="1"/>
  </r>
  <r>
    <x v="29"/>
    <x v="1"/>
    <x v="1"/>
    <x v="9"/>
    <x v="5"/>
    <x v="0"/>
    <x v="1"/>
  </r>
  <r>
    <x v="29"/>
    <x v="1"/>
    <x v="1"/>
    <x v="2"/>
    <x v="0"/>
    <x v="0"/>
    <x v="1"/>
  </r>
  <r>
    <x v="29"/>
    <x v="1"/>
    <x v="1"/>
    <x v="1"/>
    <x v="0"/>
    <x v="0"/>
    <x v="1"/>
  </r>
  <r>
    <x v="29"/>
    <x v="1"/>
    <x v="1"/>
    <x v="0"/>
    <x v="0"/>
    <x v="0"/>
    <x v="1"/>
  </r>
  <r>
    <x v="29"/>
    <x v="1"/>
    <x v="1"/>
    <x v="7"/>
    <x v="0"/>
    <x v="0"/>
    <x v="1"/>
  </r>
  <r>
    <x v="29"/>
    <x v="1"/>
    <x v="1"/>
    <x v="5"/>
    <x v="0"/>
    <x v="0"/>
    <x v="1"/>
  </r>
  <r>
    <x v="29"/>
    <x v="1"/>
    <x v="1"/>
    <x v="6"/>
    <x v="0"/>
    <x v="0"/>
    <x v="1"/>
  </r>
  <r>
    <x v="29"/>
    <x v="1"/>
    <x v="1"/>
    <x v="8"/>
    <x v="0"/>
    <x v="0"/>
    <x v="1"/>
  </r>
  <r>
    <x v="29"/>
    <x v="1"/>
    <x v="1"/>
    <x v="4"/>
    <x v="0"/>
    <x v="0"/>
    <x v="1"/>
  </r>
  <r>
    <x v="29"/>
    <x v="1"/>
    <x v="1"/>
    <x v="3"/>
    <x v="0"/>
    <x v="0"/>
    <x v="1"/>
  </r>
  <r>
    <x v="29"/>
    <x v="1"/>
    <x v="1"/>
    <x v="15"/>
    <x v="10"/>
    <x v="0"/>
    <x v="1"/>
  </r>
  <r>
    <x v="29"/>
    <x v="1"/>
    <x v="1"/>
    <x v="17"/>
    <x v="0"/>
    <x v="0"/>
    <x v="1"/>
  </r>
  <r>
    <x v="29"/>
    <x v="1"/>
    <x v="1"/>
    <x v="16"/>
    <x v="0"/>
    <x v="0"/>
    <x v="1"/>
  </r>
  <r>
    <x v="29"/>
    <x v="1"/>
    <x v="1"/>
    <x v="10"/>
    <x v="0"/>
    <x v="0"/>
    <x v="1"/>
  </r>
  <r>
    <x v="29"/>
    <x v="1"/>
    <x v="1"/>
    <x v="13"/>
    <x v="0"/>
    <x v="3"/>
    <x v="1"/>
  </r>
  <r>
    <x v="29"/>
    <x v="1"/>
    <x v="1"/>
    <x v="11"/>
    <x v="0"/>
    <x v="1"/>
    <x v="1"/>
  </r>
  <r>
    <x v="29"/>
    <x v="1"/>
    <x v="1"/>
    <x v="12"/>
    <x v="1"/>
    <x v="2"/>
    <x v="1"/>
  </r>
  <r>
    <x v="29"/>
    <x v="1"/>
    <x v="1"/>
    <x v="14"/>
    <x v="0"/>
    <x v="4"/>
    <x v="1"/>
  </r>
  <r>
    <x v="30"/>
    <x v="1"/>
    <x v="1"/>
    <x v="9"/>
    <x v="5"/>
    <x v="0"/>
    <x v="1"/>
  </r>
  <r>
    <x v="30"/>
    <x v="1"/>
    <x v="1"/>
    <x v="2"/>
    <x v="0"/>
    <x v="0"/>
    <x v="1"/>
  </r>
  <r>
    <x v="30"/>
    <x v="1"/>
    <x v="1"/>
    <x v="1"/>
    <x v="0"/>
    <x v="0"/>
    <x v="1"/>
  </r>
  <r>
    <x v="30"/>
    <x v="1"/>
    <x v="1"/>
    <x v="0"/>
    <x v="0"/>
    <x v="0"/>
    <x v="1"/>
  </r>
  <r>
    <x v="30"/>
    <x v="1"/>
    <x v="1"/>
    <x v="7"/>
    <x v="0"/>
    <x v="0"/>
    <x v="1"/>
  </r>
  <r>
    <x v="30"/>
    <x v="1"/>
    <x v="1"/>
    <x v="5"/>
    <x v="0"/>
    <x v="0"/>
    <x v="1"/>
  </r>
  <r>
    <x v="30"/>
    <x v="1"/>
    <x v="1"/>
    <x v="6"/>
    <x v="0"/>
    <x v="0"/>
    <x v="1"/>
  </r>
  <r>
    <x v="30"/>
    <x v="1"/>
    <x v="1"/>
    <x v="8"/>
    <x v="0"/>
    <x v="0"/>
    <x v="1"/>
  </r>
  <r>
    <x v="30"/>
    <x v="1"/>
    <x v="1"/>
    <x v="4"/>
    <x v="0"/>
    <x v="0"/>
    <x v="1"/>
  </r>
  <r>
    <x v="30"/>
    <x v="1"/>
    <x v="1"/>
    <x v="3"/>
    <x v="0"/>
    <x v="0"/>
    <x v="1"/>
  </r>
  <r>
    <x v="30"/>
    <x v="1"/>
    <x v="1"/>
    <x v="15"/>
    <x v="6"/>
    <x v="0"/>
    <x v="1"/>
  </r>
  <r>
    <x v="30"/>
    <x v="1"/>
    <x v="1"/>
    <x v="17"/>
    <x v="0"/>
    <x v="0"/>
    <x v="1"/>
  </r>
  <r>
    <x v="30"/>
    <x v="1"/>
    <x v="1"/>
    <x v="16"/>
    <x v="0"/>
    <x v="0"/>
    <x v="1"/>
  </r>
  <r>
    <x v="30"/>
    <x v="1"/>
    <x v="1"/>
    <x v="10"/>
    <x v="0"/>
    <x v="0"/>
    <x v="1"/>
  </r>
  <r>
    <x v="30"/>
    <x v="1"/>
    <x v="1"/>
    <x v="13"/>
    <x v="1"/>
    <x v="3"/>
    <x v="1"/>
  </r>
  <r>
    <x v="30"/>
    <x v="1"/>
    <x v="1"/>
    <x v="11"/>
    <x v="1"/>
    <x v="1"/>
    <x v="1"/>
  </r>
  <r>
    <x v="30"/>
    <x v="1"/>
    <x v="1"/>
    <x v="12"/>
    <x v="2"/>
    <x v="2"/>
    <x v="1"/>
  </r>
  <r>
    <x v="30"/>
    <x v="1"/>
    <x v="1"/>
    <x v="14"/>
    <x v="0"/>
    <x v="4"/>
    <x v="1"/>
  </r>
  <r>
    <x v="31"/>
    <x v="1"/>
    <x v="1"/>
    <x v="9"/>
    <x v="4"/>
    <x v="0"/>
    <x v="1"/>
  </r>
  <r>
    <x v="31"/>
    <x v="1"/>
    <x v="1"/>
    <x v="2"/>
    <x v="1"/>
    <x v="0"/>
    <x v="1"/>
  </r>
  <r>
    <x v="31"/>
    <x v="1"/>
    <x v="1"/>
    <x v="1"/>
    <x v="0"/>
    <x v="0"/>
    <x v="1"/>
  </r>
  <r>
    <x v="31"/>
    <x v="1"/>
    <x v="1"/>
    <x v="0"/>
    <x v="0"/>
    <x v="0"/>
    <x v="1"/>
  </r>
  <r>
    <x v="31"/>
    <x v="1"/>
    <x v="1"/>
    <x v="7"/>
    <x v="0"/>
    <x v="0"/>
    <x v="1"/>
  </r>
  <r>
    <x v="31"/>
    <x v="1"/>
    <x v="1"/>
    <x v="5"/>
    <x v="0"/>
    <x v="0"/>
    <x v="1"/>
  </r>
  <r>
    <x v="31"/>
    <x v="1"/>
    <x v="1"/>
    <x v="6"/>
    <x v="0"/>
    <x v="0"/>
    <x v="1"/>
  </r>
  <r>
    <x v="31"/>
    <x v="1"/>
    <x v="1"/>
    <x v="8"/>
    <x v="0"/>
    <x v="0"/>
    <x v="1"/>
  </r>
  <r>
    <x v="31"/>
    <x v="1"/>
    <x v="1"/>
    <x v="4"/>
    <x v="0"/>
    <x v="0"/>
    <x v="1"/>
  </r>
  <r>
    <x v="31"/>
    <x v="1"/>
    <x v="1"/>
    <x v="3"/>
    <x v="0"/>
    <x v="0"/>
    <x v="1"/>
  </r>
  <r>
    <x v="31"/>
    <x v="1"/>
    <x v="1"/>
    <x v="15"/>
    <x v="6"/>
    <x v="0"/>
    <x v="1"/>
  </r>
  <r>
    <x v="31"/>
    <x v="1"/>
    <x v="1"/>
    <x v="17"/>
    <x v="0"/>
    <x v="0"/>
    <x v="1"/>
  </r>
  <r>
    <x v="31"/>
    <x v="1"/>
    <x v="1"/>
    <x v="16"/>
    <x v="1"/>
    <x v="0"/>
    <x v="1"/>
  </r>
  <r>
    <x v="31"/>
    <x v="1"/>
    <x v="1"/>
    <x v="10"/>
    <x v="0"/>
    <x v="0"/>
    <x v="1"/>
  </r>
  <r>
    <x v="31"/>
    <x v="1"/>
    <x v="1"/>
    <x v="13"/>
    <x v="2"/>
    <x v="3"/>
    <x v="1"/>
  </r>
  <r>
    <x v="31"/>
    <x v="1"/>
    <x v="1"/>
    <x v="11"/>
    <x v="0"/>
    <x v="1"/>
    <x v="1"/>
  </r>
  <r>
    <x v="31"/>
    <x v="1"/>
    <x v="1"/>
    <x v="12"/>
    <x v="2"/>
    <x v="2"/>
    <x v="1"/>
  </r>
  <r>
    <x v="31"/>
    <x v="1"/>
    <x v="1"/>
    <x v="14"/>
    <x v="0"/>
    <x v="4"/>
    <x v="1"/>
  </r>
  <r>
    <x v="32"/>
    <x v="1"/>
    <x v="1"/>
    <x v="9"/>
    <x v="2"/>
    <x v="0"/>
    <x v="1"/>
  </r>
  <r>
    <x v="32"/>
    <x v="1"/>
    <x v="1"/>
    <x v="2"/>
    <x v="3"/>
    <x v="0"/>
    <x v="1"/>
  </r>
  <r>
    <x v="32"/>
    <x v="1"/>
    <x v="1"/>
    <x v="1"/>
    <x v="0"/>
    <x v="0"/>
    <x v="1"/>
  </r>
  <r>
    <x v="32"/>
    <x v="1"/>
    <x v="1"/>
    <x v="0"/>
    <x v="0"/>
    <x v="0"/>
    <x v="1"/>
  </r>
  <r>
    <x v="32"/>
    <x v="1"/>
    <x v="1"/>
    <x v="7"/>
    <x v="0"/>
    <x v="0"/>
    <x v="1"/>
  </r>
  <r>
    <x v="32"/>
    <x v="1"/>
    <x v="1"/>
    <x v="5"/>
    <x v="0"/>
    <x v="0"/>
    <x v="1"/>
  </r>
  <r>
    <x v="32"/>
    <x v="1"/>
    <x v="1"/>
    <x v="6"/>
    <x v="0"/>
    <x v="0"/>
    <x v="1"/>
  </r>
  <r>
    <x v="32"/>
    <x v="1"/>
    <x v="1"/>
    <x v="8"/>
    <x v="0"/>
    <x v="0"/>
    <x v="1"/>
  </r>
  <r>
    <x v="32"/>
    <x v="1"/>
    <x v="1"/>
    <x v="4"/>
    <x v="0"/>
    <x v="0"/>
    <x v="1"/>
  </r>
  <r>
    <x v="32"/>
    <x v="1"/>
    <x v="1"/>
    <x v="3"/>
    <x v="0"/>
    <x v="0"/>
    <x v="1"/>
  </r>
  <r>
    <x v="32"/>
    <x v="1"/>
    <x v="1"/>
    <x v="15"/>
    <x v="6"/>
    <x v="0"/>
    <x v="1"/>
  </r>
  <r>
    <x v="32"/>
    <x v="1"/>
    <x v="1"/>
    <x v="17"/>
    <x v="0"/>
    <x v="0"/>
    <x v="1"/>
  </r>
  <r>
    <x v="32"/>
    <x v="1"/>
    <x v="1"/>
    <x v="16"/>
    <x v="1"/>
    <x v="0"/>
    <x v="1"/>
  </r>
  <r>
    <x v="32"/>
    <x v="1"/>
    <x v="1"/>
    <x v="10"/>
    <x v="0"/>
    <x v="0"/>
    <x v="1"/>
  </r>
  <r>
    <x v="32"/>
    <x v="1"/>
    <x v="1"/>
    <x v="13"/>
    <x v="1"/>
    <x v="3"/>
    <x v="1"/>
  </r>
  <r>
    <x v="32"/>
    <x v="1"/>
    <x v="1"/>
    <x v="11"/>
    <x v="0"/>
    <x v="1"/>
    <x v="1"/>
  </r>
  <r>
    <x v="32"/>
    <x v="1"/>
    <x v="1"/>
    <x v="12"/>
    <x v="1"/>
    <x v="2"/>
    <x v="1"/>
  </r>
  <r>
    <x v="32"/>
    <x v="1"/>
    <x v="1"/>
    <x v="14"/>
    <x v="1"/>
    <x v="4"/>
    <x v="1"/>
  </r>
  <r>
    <x v="33"/>
    <x v="1"/>
    <x v="1"/>
    <x v="9"/>
    <x v="2"/>
    <x v="0"/>
    <x v="1"/>
  </r>
  <r>
    <x v="33"/>
    <x v="1"/>
    <x v="1"/>
    <x v="2"/>
    <x v="2"/>
    <x v="0"/>
    <x v="1"/>
  </r>
  <r>
    <x v="33"/>
    <x v="1"/>
    <x v="1"/>
    <x v="1"/>
    <x v="0"/>
    <x v="0"/>
    <x v="1"/>
  </r>
  <r>
    <x v="33"/>
    <x v="1"/>
    <x v="1"/>
    <x v="0"/>
    <x v="0"/>
    <x v="0"/>
    <x v="1"/>
  </r>
  <r>
    <x v="33"/>
    <x v="1"/>
    <x v="1"/>
    <x v="7"/>
    <x v="0"/>
    <x v="0"/>
    <x v="1"/>
  </r>
  <r>
    <x v="33"/>
    <x v="1"/>
    <x v="1"/>
    <x v="5"/>
    <x v="0"/>
    <x v="0"/>
    <x v="1"/>
  </r>
  <r>
    <x v="33"/>
    <x v="1"/>
    <x v="1"/>
    <x v="6"/>
    <x v="0"/>
    <x v="0"/>
    <x v="1"/>
  </r>
  <r>
    <x v="33"/>
    <x v="1"/>
    <x v="1"/>
    <x v="8"/>
    <x v="0"/>
    <x v="0"/>
    <x v="1"/>
  </r>
  <r>
    <x v="33"/>
    <x v="1"/>
    <x v="1"/>
    <x v="4"/>
    <x v="0"/>
    <x v="0"/>
    <x v="1"/>
  </r>
  <r>
    <x v="33"/>
    <x v="1"/>
    <x v="1"/>
    <x v="3"/>
    <x v="0"/>
    <x v="0"/>
    <x v="1"/>
  </r>
  <r>
    <x v="33"/>
    <x v="1"/>
    <x v="1"/>
    <x v="15"/>
    <x v="10"/>
    <x v="0"/>
    <x v="1"/>
  </r>
  <r>
    <x v="33"/>
    <x v="1"/>
    <x v="1"/>
    <x v="17"/>
    <x v="0"/>
    <x v="0"/>
    <x v="1"/>
  </r>
  <r>
    <x v="33"/>
    <x v="1"/>
    <x v="1"/>
    <x v="16"/>
    <x v="0"/>
    <x v="0"/>
    <x v="1"/>
  </r>
  <r>
    <x v="33"/>
    <x v="1"/>
    <x v="1"/>
    <x v="10"/>
    <x v="0"/>
    <x v="0"/>
    <x v="1"/>
  </r>
  <r>
    <x v="33"/>
    <x v="1"/>
    <x v="1"/>
    <x v="13"/>
    <x v="1"/>
    <x v="3"/>
    <x v="1"/>
  </r>
  <r>
    <x v="33"/>
    <x v="1"/>
    <x v="1"/>
    <x v="11"/>
    <x v="0"/>
    <x v="1"/>
    <x v="1"/>
  </r>
  <r>
    <x v="33"/>
    <x v="1"/>
    <x v="1"/>
    <x v="12"/>
    <x v="1"/>
    <x v="2"/>
    <x v="1"/>
  </r>
  <r>
    <x v="33"/>
    <x v="1"/>
    <x v="1"/>
    <x v="14"/>
    <x v="0"/>
    <x v="4"/>
    <x v="1"/>
  </r>
  <r>
    <x v="34"/>
    <x v="1"/>
    <x v="5"/>
    <x v="9"/>
    <x v="3"/>
    <x v="0"/>
    <x v="1"/>
  </r>
  <r>
    <x v="34"/>
    <x v="1"/>
    <x v="5"/>
    <x v="2"/>
    <x v="1"/>
    <x v="0"/>
    <x v="1"/>
  </r>
  <r>
    <x v="34"/>
    <x v="1"/>
    <x v="5"/>
    <x v="1"/>
    <x v="0"/>
    <x v="0"/>
    <x v="1"/>
  </r>
  <r>
    <x v="34"/>
    <x v="1"/>
    <x v="5"/>
    <x v="0"/>
    <x v="0"/>
    <x v="0"/>
    <x v="1"/>
  </r>
  <r>
    <x v="34"/>
    <x v="1"/>
    <x v="5"/>
    <x v="7"/>
    <x v="0"/>
    <x v="0"/>
    <x v="1"/>
  </r>
  <r>
    <x v="34"/>
    <x v="1"/>
    <x v="5"/>
    <x v="5"/>
    <x v="0"/>
    <x v="0"/>
    <x v="1"/>
  </r>
  <r>
    <x v="34"/>
    <x v="1"/>
    <x v="5"/>
    <x v="6"/>
    <x v="0"/>
    <x v="0"/>
    <x v="1"/>
  </r>
  <r>
    <x v="34"/>
    <x v="1"/>
    <x v="5"/>
    <x v="8"/>
    <x v="0"/>
    <x v="0"/>
    <x v="1"/>
  </r>
  <r>
    <x v="34"/>
    <x v="1"/>
    <x v="5"/>
    <x v="4"/>
    <x v="0"/>
    <x v="0"/>
    <x v="1"/>
  </r>
  <r>
    <x v="34"/>
    <x v="1"/>
    <x v="5"/>
    <x v="3"/>
    <x v="0"/>
    <x v="0"/>
    <x v="1"/>
  </r>
  <r>
    <x v="34"/>
    <x v="1"/>
    <x v="5"/>
    <x v="15"/>
    <x v="10"/>
    <x v="0"/>
    <x v="1"/>
  </r>
  <r>
    <x v="34"/>
    <x v="1"/>
    <x v="5"/>
    <x v="17"/>
    <x v="0"/>
    <x v="0"/>
    <x v="1"/>
  </r>
  <r>
    <x v="34"/>
    <x v="1"/>
    <x v="5"/>
    <x v="16"/>
    <x v="0"/>
    <x v="0"/>
    <x v="1"/>
  </r>
  <r>
    <x v="34"/>
    <x v="1"/>
    <x v="5"/>
    <x v="10"/>
    <x v="0"/>
    <x v="0"/>
    <x v="1"/>
  </r>
  <r>
    <x v="34"/>
    <x v="1"/>
    <x v="5"/>
    <x v="13"/>
    <x v="1"/>
    <x v="3"/>
    <x v="1"/>
  </r>
  <r>
    <x v="34"/>
    <x v="1"/>
    <x v="5"/>
    <x v="11"/>
    <x v="1"/>
    <x v="1"/>
    <x v="1"/>
  </r>
  <r>
    <x v="34"/>
    <x v="1"/>
    <x v="5"/>
    <x v="12"/>
    <x v="0"/>
    <x v="2"/>
    <x v="1"/>
  </r>
  <r>
    <x v="34"/>
    <x v="1"/>
    <x v="5"/>
    <x v="14"/>
    <x v="0"/>
    <x v="4"/>
    <x v="1"/>
  </r>
  <r>
    <x v="0"/>
    <x v="1"/>
    <x v="1"/>
    <x v="9"/>
    <x v="3"/>
    <x v="0"/>
    <x v="1"/>
  </r>
  <r>
    <x v="0"/>
    <x v="1"/>
    <x v="1"/>
    <x v="2"/>
    <x v="2"/>
    <x v="0"/>
    <x v="1"/>
  </r>
  <r>
    <x v="0"/>
    <x v="1"/>
    <x v="1"/>
    <x v="1"/>
    <x v="0"/>
    <x v="0"/>
    <x v="1"/>
  </r>
  <r>
    <x v="0"/>
    <x v="1"/>
    <x v="1"/>
    <x v="0"/>
    <x v="0"/>
    <x v="0"/>
    <x v="1"/>
  </r>
  <r>
    <x v="0"/>
    <x v="1"/>
    <x v="1"/>
    <x v="7"/>
    <x v="0"/>
    <x v="0"/>
    <x v="1"/>
  </r>
  <r>
    <x v="0"/>
    <x v="1"/>
    <x v="1"/>
    <x v="5"/>
    <x v="0"/>
    <x v="0"/>
    <x v="1"/>
  </r>
  <r>
    <x v="0"/>
    <x v="1"/>
    <x v="1"/>
    <x v="6"/>
    <x v="0"/>
    <x v="0"/>
    <x v="1"/>
  </r>
  <r>
    <x v="0"/>
    <x v="1"/>
    <x v="1"/>
    <x v="8"/>
    <x v="0"/>
    <x v="0"/>
    <x v="1"/>
  </r>
  <r>
    <x v="0"/>
    <x v="1"/>
    <x v="1"/>
    <x v="4"/>
    <x v="0"/>
    <x v="0"/>
    <x v="1"/>
  </r>
  <r>
    <x v="0"/>
    <x v="1"/>
    <x v="1"/>
    <x v="3"/>
    <x v="0"/>
    <x v="0"/>
    <x v="1"/>
  </r>
  <r>
    <x v="0"/>
    <x v="1"/>
    <x v="1"/>
    <x v="15"/>
    <x v="7"/>
    <x v="0"/>
    <x v="1"/>
  </r>
  <r>
    <x v="0"/>
    <x v="1"/>
    <x v="1"/>
    <x v="17"/>
    <x v="0"/>
    <x v="0"/>
    <x v="1"/>
  </r>
  <r>
    <x v="0"/>
    <x v="1"/>
    <x v="1"/>
    <x v="16"/>
    <x v="0"/>
    <x v="0"/>
    <x v="1"/>
  </r>
  <r>
    <x v="0"/>
    <x v="1"/>
    <x v="1"/>
    <x v="10"/>
    <x v="0"/>
    <x v="0"/>
    <x v="1"/>
  </r>
  <r>
    <x v="0"/>
    <x v="1"/>
    <x v="1"/>
    <x v="13"/>
    <x v="0"/>
    <x v="3"/>
    <x v="1"/>
  </r>
  <r>
    <x v="0"/>
    <x v="1"/>
    <x v="1"/>
    <x v="11"/>
    <x v="0"/>
    <x v="1"/>
    <x v="1"/>
  </r>
  <r>
    <x v="0"/>
    <x v="1"/>
    <x v="1"/>
    <x v="12"/>
    <x v="1"/>
    <x v="2"/>
    <x v="1"/>
  </r>
  <r>
    <x v="0"/>
    <x v="1"/>
    <x v="1"/>
    <x v="14"/>
    <x v="1"/>
    <x v="4"/>
    <x v="1"/>
  </r>
  <r>
    <x v="1"/>
    <x v="1"/>
    <x v="4"/>
    <x v="9"/>
    <x v="4"/>
    <x v="0"/>
    <x v="1"/>
  </r>
  <r>
    <x v="1"/>
    <x v="1"/>
    <x v="4"/>
    <x v="2"/>
    <x v="0"/>
    <x v="0"/>
    <x v="1"/>
  </r>
  <r>
    <x v="1"/>
    <x v="1"/>
    <x v="4"/>
    <x v="1"/>
    <x v="0"/>
    <x v="0"/>
    <x v="1"/>
  </r>
  <r>
    <x v="1"/>
    <x v="1"/>
    <x v="4"/>
    <x v="0"/>
    <x v="0"/>
    <x v="0"/>
    <x v="1"/>
  </r>
  <r>
    <x v="1"/>
    <x v="1"/>
    <x v="4"/>
    <x v="7"/>
    <x v="0"/>
    <x v="0"/>
    <x v="1"/>
  </r>
  <r>
    <x v="1"/>
    <x v="1"/>
    <x v="4"/>
    <x v="5"/>
    <x v="0"/>
    <x v="0"/>
    <x v="1"/>
  </r>
  <r>
    <x v="1"/>
    <x v="1"/>
    <x v="4"/>
    <x v="6"/>
    <x v="0"/>
    <x v="0"/>
    <x v="1"/>
  </r>
  <r>
    <x v="1"/>
    <x v="1"/>
    <x v="4"/>
    <x v="8"/>
    <x v="0"/>
    <x v="0"/>
    <x v="1"/>
  </r>
  <r>
    <x v="1"/>
    <x v="1"/>
    <x v="4"/>
    <x v="4"/>
    <x v="0"/>
    <x v="0"/>
    <x v="1"/>
  </r>
  <r>
    <x v="1"/>
    <x v="1"/>
    <x v="4"/>
    <x v="3"/>
    <x v="0"/>
    <x v="0"/>
    <x v="1"/>
  </r>
  <r>
    <x v="1"/>
    <x v="1"/>
    <x v="4"/>
    <x v="15"/>
    <x v="9"/>
    <x v="0"/>
    <x v="1"/>
  </r>
  <r>
    <x v="1"/>
    <x v="1"/>
    <x v="4"/>
    <x v="17"/>
    <x v="0"/>
    <x v="0"/>
    <x v="1"/>
  </r>
  <r>
    <x v="1"/>
    <x v="1"/>
    <x v="4"/>
    <x v="16"/>
    <x v="0"/>
    <x v="0"/>
    <x v="1"/>
  </r>
  <r>
    <x v="1"/>
    <x v="1"/>
    <x v="4"/>
    <x v="10"/>
    <x v="0"/>
    <x v="0"/>
    <x v="1"/>
  </r>
  <r>
    <x v="1"/>
    <x v="1"/>
    <x v="4"/>
    <x v="13"/>
    <x v="1"/>
    <x v="3"/>
    <x v="1"/>
  </r>
  <r>
    <x v="1"/>
    <x v="1"/>
    <x v="4"/>
    <x v="11"/>
    <x v="1"/>
    <x v="1"/>
    <x v="1"/>
  </r>
  <r>
    <x v="1"/>
    <x v="1"/>
    <x v="4"/>
    <x v="12"/>
    <x v="0"/>
    <x v="2"/>
    <x v="1"/>
  </r>
  <r>
    <x v="1"/>
    <x v="1"/>
    <x v="4"/>
    <x v="14"/>
    <x v="0"/>
    <x v="4"/>
    <x v="1"/>
  </r>
  <r>
    <x v="2"/>
    <x v="1"/>
    <x v="4"/>
    <x v="9"/>
    <x v="4"/>
    <x v="0"/>
    <x v="1"/>
  </r>
  <r>
    <x v="2"/>
    <x v="1"/>
    <x v="4"/>
    <x v="2"/>
    <x v="0"/>
    <x v="0"/>
    <x v="1"/>
  </r>
  <r>
    <x v="2"/>
    <x v="1"/>
    <x v="4"/>
    <x v="1"/>
    <x v="0"/>
    <x v="0"/>
    <x v="1"/>
  </r>
  <r>
    <x v="2"/>
    <x v="1"/>
    <x v="4"/>
    <x v="0"/>
    <x v="0"/>
    <x v="0"/>
    <x v="1"/>
  </r>
  <r>
    <x v="2"/>
    <x v="1"/>
    <x v="4"/>
    <x v="7"/>
    <x v="0"/>
    <x v="0"/>
    <x v="1"/>
  </r>
  <r>
    <x v="2"/>
    <x v="1"/>
    <x v="4"/>
    <x v="5"/>
    <x v="0"/>
    <x v="0"/>
    <x v="1"/>
  </r>
  <r>
    <x v="2"/>
    <x v="1"/>
    <x v="4"/>
    <x v="6"/>
    <x v="0"/>
    <x v="0"/>
    <x v="1"/>
  </r>
  <r>
    <x v="2"/>
    <x v="1"/>
    <x v="4"/>
    <x v="8"/>
    <x v="0"/>
    <x v="0"/>
    <x v="1"/>
  </r>
  <r>
    <x v="2"/>
    <x v="1"/>
    <x v="4"/>
    <x v="4"/>
    <x v="0"/>
    <x v="0"/>
    <x v="1"/>
  </r>
  <r>
    <x v="2"/>
    <x v="1"/>
    <x v="4"/>
    <x v="3"/>
    <x v="0"/>
    <x v="0"/>
    <x v="1"/>
  </r>
  <r>
    <x v="2"/>
    <x v="1"/>
    <x v="4"/>
    <x v="15"/>
    <x v="7"/>
    <x v="0"/>
    <x v="1"/>
  </r>
  <r>
    <x v="2"/>
    <x v="1"/>
    <x v="4"/>
    <x v="17"/>
    <x v="0"/>
    <x v="0"/>
    <x v="1"/>
  </r>
  <r>
    <x v="2"/>
    <x v="1"/>
    <x v="4"/>
    <x v="16"/>
    <x v="0"/>
    <x v="0"/>
    <x v="1"/>
  </r>
  <r>
    <x v="2"/>
    <x v="1"/>
    <x v="4"/>
    <x v="10"/>
    <x v="0"/>
    <x v="0"/>
    <x v="1"/>
  </r>
  <r>
    <x v="2"/>
    <x v="1"/>
    <x v="4"/>
    <x v="13"/>
    <x v="3"/>
    <x v="3"/>
    <x v="1"/>
  </r>
  <r>
    <x v="2"/>
    <x v="1"/>
    <x v="4"/>
    <x v="11"/>
    <x v="2"/>
    <x v="1"/>
    <x v="1"/>
  </r>
  <r>
    <x v="2"/>
    <x v="1"/>
    <x v="4"/>
    <x v="12"/>
    <x v="0"/>
    <x v="2"/>
    <x v="1"/>
  </r>
  <r>
    <x v="2"/>
    <x v="1"/>
    <x v="4"/>
    <x v="14"/>
    <x v="0"/>
    <x v="4"/>
    <x v="1"/>
  </r>
  <r>
    <x v="3"/>
    <x v="1"/>
    <x v="6"/>
    <x v="9"/>
    <x v="0"/>
    <x v="0"/>
    <x v="1"/>
  </r>
  <r>
    <x v="3"/>
    <x v="1"/>
    <x v="6"/>
    <x v="2"/>
    <x v="2"/>
    <x v="0"/>
    <x v="1"/>
  </r>
  <r>
    <x v="3"/>
    <x v="1"/>
    <x v="6"/>
    <x v="1"/>
    <x v="0"/>
    <x v="0"/>
    <x v="1"/>
  </r>
  <r>
    <x v="3"/>
    <x v="1"/>
    <x v="6"/>
    <x v="0"/>
    <x v="0"/>
    <x v="0"/>
    <x v="1"/>
  </r>
  <r>
    <x v="3"/>
    <x v="1"/>
    <x v="6"/>
    <x v="7"/>
    <x v="0"/>
    <x v="0"/>
    <x v="1"/>
  </r>
  <r>
    <x v="3"/>
    <x v="1"/>
    <x v="6"/>
    <x v="5"/>
    <x v="0"/>
    <x v="0"/>
    <x v="1"/>
  </r>
  <r>
    <x v="3"/>
    <x v="1"/>
    <x v="6"/>
    <x v="6"/>
    <x v="0"/>
    <x v="0"/>
    <x v="1"/>
  </r>
  <r>
    <x v="3"/>
    <x v="1"/>
    <x v="6"/>
    <x v="8"/>
    <x v="0"/>
    <x v="0"/>
    <x v="1"/>
  </r>
  <r>
    <x v="3"/>
    <x v="1"/>
    <x v="6"/>
    <x v="4"/>
    <x v="0"/>
    <x v="0"/>
    <x v="1"/>
  </r>
  <r>
    <x v="3"/>
    <x v="1"/>
    <x v="6"/>
    <x v="3"/>
    <x v="0"/>
    <x v="0"/>
    <x v="1"/>
  </r>
  <r>
    <x v="3"/>
    <x v="1"/>
    <x v="6"/>
    <x v="15"/>
    <x v="8"/>
    <x v="0"/>
    <x v="1"/>
  </r>
  <r>
    <x v="3"/>
    <x v="1"/>
    <x v="6"/>
    <x v="17"/>
    <x v="0"/>
    <x v="0"/>
    <x v="1"/>
  </r>
  <r>
    <x v="3"/>
    <x v="1"/>
    <x v="6"/>
    <x v="16"/>
    <x v="0"/>
    <x v="0"/>
    <x v="1"/>
  </r>
  <r>
    <x v="3"/>
    <x v="1"/>
    <x v="6"/>
    <x v="10"/>
    <x v="0"/>
    <x v="0"/>
    <x v="1"/>
  </r>
  <r>
    <x v="3"/>
    <x v="1"/>
    <x v="6"/>
    <x v="13"/>
    <x v="2"/>
    <x v="3"/>
    <x v="1"/>
  </r>
  <r>
    <x v="3"/>
    <x v="1"/>
    <x v="6"/>
    <x v="11"/>
    <x v="1"/>
    <x v="1"/>
    <x v="1"/>
  </r>
  <r>
    <x v="3"/>
    <x v="1"/>
    <x v="6"/>
    <x v="12"/>
    <x v="2"/>
    <x v="2"/>
    <x v="1"/>
  </r>
  <r>
    <x v="3"/>
    <x v="1"/>
    <x v="6"/>
    <x v="14"/>
    <x v="0"/>
    <x v="4"/>
    <x v="1"/>
  </r>
  <r>
    <x v="4"/>
    <x v="1"/>
    <x v="6"/>
    <x v="9"/>
    <x v="1"/>
    <x v="0"/>
    <x v="1"/>
  </r>
  <r>
    <x v="4"/>
    <x v="1"/>
    <x v="6"/>
    <x v="2"/>
    <x v="0"/>
    <x v="0"/>
    <x v="1"/>
  </r>
  <r>
    <x v="4"/>
    <x v="1"/>
    <x v="6"/>
    <x v="1"/>
    <x v="2"/>
    <x v="0"/>
    <x v="1"/>
  </r>
  <r>
    <x v="4"/>
    <x v="1"/>
    <x v="6"/>
    <x v="0"/>
    <x v="0"/>
    <x v="0"/>
    <x v="1"/>
  </r>
  <r>
    <x v="4"/>
    <x v="1"/>
    <x v="6"/>
    <x v="7"/>
    <x v="0"/>
    <x v="0"/>
    <x v="1"/>
  </r>
  <r>
    <x v="4"/>
    <x v="1"/>
    <x v="6"/>
    <x v="5"/>
    <x v="0"/>
    <x v="0"/>
    <x v="1"/>
  </r>
  <r>
    <x v="4"/>
    <x v="1"/>
    <x v="6"/>
    <x v="6"/>
    <x v="0"/>
    <x v="0"/>
    <x v="1"/>
  </r>
  <r>
    <x v="4"/>
    <x v="1"/>
    <x v="6"/>
    <x v="8"/>
    <x v="0"/>
    <x v="0"/>
    <x v="1"/>
  </r>
  <r>
    <x v="4"/>
    <x v="1"/>
    <x v="6"/>
    <x v="4"/>
    <x v="0"/>
    <x v="0"/>
    <x v="1"/>
  </r>
  <r>
    <x v="4"/>
    <x v="1"/>
    <x v="6"/>
    <x v="3"/>
    <x v="0"/>
    <x v="0"/>
    <x v="1"/>
  </r>
  <r>
    <x v="4"/>
    <x v="1"/>
    <x v="6"/>
    <x v="15"/>
    <x v="10"/>
    <x v="0"/>
    <x v="1"/>
  </r>
  <r>
    <x v="4"/>
    <x v="1"/>
    <x v="6"/>
    <x v="17"/>
    <x v="0"/>
    <x v="0"/>
    <x v="1"/>
  </r>
  <r>
    <x v="4"/>
    <x v="1"/>
    <x v="6"/>
    <x v="16"/>
    <x v="0"/>
    <x v="0"/>
    <x v="1"/>
  </r>
  <r>
    <x v="4"/>
    <x v="1"/>
    <x v="6"/>
    <x v="10"/>
    <x v="0"/>
    <x v="0"/>
    <x v="1"/>
  </r>
  <r>
    <x v="4"/>
    <x v="1"/>
    <x v="6"/>
    <x v="13"/>
    <x v="2"/>
    <x v="3"/>
    <x v="1"/>
  </r>
  <r>
    <x v="4"/>
    <x v="1"/>
    <x v="6"/>
    <x v="11"/>
    <x v="1"/>
    <x v="1"/>
    <x v="1"/>
  </r>
  <r>
    <x v="4"/>
    <x v="1"/>
    <x v="6"/>
    <x v="12"/>
    <x v="1"/>
    <x v="2"/>
    <x v="1"/>
  </r>
  <r>
    <x v="4"/>
    <x v="1"/>
    <x v="6"/>
    <x v="14"/>
    <x v="0"/>
    <x v="4"/>
    <x v="1"/>
  </r>
  <r>
    <x v="11"/>
    <x v="1"/>
    <x v="5"/>
    <x v="9"/>
    <x v="3"/>
    <x v="0"/>
    <x v="1"/>
  </r>
  <r>
    <x v="11"/>
    <x v="1"/>
    <x v="5"/>
    <x v="2"/>
    <x v="4"/>
    <x v="0"/>
    <x v="1"/>
  </r>
  <r>
    <x v="11"/>
    <x v="1"/>
    <x v="5"/>
    <x v="1"/>
    <x v="0"/>
    <x v="0"/>
    <x v="1"/>
  </r>
  <r>
    <x v="11"/>
    <x v="1"/>
    <x v="5"/>
    <x v="0"/>
    <x v="0"/>
    <x v="0"/>
    <x v="1"/>
  </r>
  <r>
    <x v="11"/>
    <x v="1"/>
    <x v="5"/>
    <x v="7"/>
    <x v="0"/>
    <x v="0"/>
    <x v="1"/>
  </r>
  <r>
    <x v="11"/>
    <x v="1"/>
    <x v="5"/>
    <x v="5"/>
    <x v="0"/>
    <x v="0"/>
    <x v="1"/>
  </r>
  <r>
    <x v="11"/>
    <x v="1"/>
    <x v="5"/>
    <x v="6"/>
    <x v="0"/>
    <x v="0"/>
    <x v="1"/>
  </r>
  <r>
    <x v="11"/>
    <x v="1"/>
    <x v="5"/>
    <x v="8"/>
    <x v="0"/>
    <x v="0"/>
    <x v="1"/>
  </r>
  <r>
    <x v="11"/>
    <x v="1"/>
    <x v="5"/>
    <x v="4"/>
    <x v="0"/>
    <x v="0"/>
    <x v="1"/>
  </r>
  <r>
    <x v="11"/>
    <x v="1"/>
    <x v="5"/>
    <x v="3"/>
    <x v="0"/>
    <x v="0"/>
    <x v="1"/>
  </r>
  <r>
    <x v="11"/>
    <x v="1"/>
    <x v="5"/>
    <x v="15"/>
    <x v="5"/>
    <x v="0"/>
    <x v="1"/>
  </r>
  <r>
    <x v="11"/>
    <x v="1"/>
    <x v="5"/>
    <x v="17"/>
    <x v="0"/>
    <x v="0"/>
    <x v="1"/>
  </r>
  <r>
    <x v="11"/>
    <x v="1"/>
    <x v="5"/>
    <x v="16"/>
    <x v="1"/>
    <x v="0"/>
    <x v="1"/>
  </r>
  <r>
    <x v="11"/>
    <x v="1"/>
    <x v="5"/>
    <x v="10"/>
    <x v="0"/>
    <x v="0"/>
    <x v="1"/>
  </r>
  <r>
    <x v="11"/>
    <x v="1"/>
    <x v="5"/>
    <x v="13"/>
    <x v="1"/>
    <x v="3"/>
    <x v="1"/>
  </r>
  <r>
    <x v="11"/>
    <x v="1"/>
    <x v="5"/>
    <x v="11"/>
    <x v="0"/>
    <x v="1"/>
    <x v="1"/>
  </r>
  <r>
    <x v="11"/>
    <x v="1"/>
    <x v="5"/>
    <x v="12"/>
    <x v="2"/>
    <x v="2"/>
    <x v="1"/>
  </r>
  <r>
    <x v="11"/>
    <x v="1"/>
    <x v="5"/>
    <x v="14"/>
    <x v="0"/>
    <x v="4"/>
    <x v="1"/>
  </r>
  <r>
    <x v="12"/>
    <x v="1"/>
    <x v="6"/>
    <x v="9"/>
    <x v="5"/>
    <x v="0"/>
    <x v="1"/>
  </r>
  <r>
    <x v="12"/>
    <x v="1"/>
    <x v="6"/>
    <x v="2"/>
    <x v="1"/>
    <x v="0"/>
    <x v="1"/>
  </r>
  <r>
    <x v="12"/>
    <x v="1"/>
    <x v="6"/>
    <x v="1"/>
    <x v="2"/>
    <x v="0"/>
    <x v="1"/>
  </r>
  <r>
    <x v="12"/>
    <x v="1"/>
    <x v="6"/>
    <x v="0"/>
    <x v="0"/>
    <x v="0"/>
    <x v="1"/>
  </r>
  <r>
    <x v="12"/>
    <x v="1"/>
    <x v="6"/>
    <x v="7"/>
    <x v="0"/>
    <x v="0"/>
    <x v="1"/>
  </r>
  <r>
    <x v="12"/>
    <x v="1"/>
    <x v="6"/>
    <x v="5"/>
    <x v="0"/>
    <x v="0"/>
    <x v="1"/>
  </r>
  <r>
    <x v="12"/>
    <x v="1"/>
    <x v="6"/>
    <x v="6"/>
    <x v="0"/>
    <x v="0"/>
    <x v="1"/>
  </r>
  <r>
    <x v="12"/>
    <x v="1"/>
    <x v="6"/>
    <x v="8"/>
    <x v="0"/>
    <x v="0"/>
    <x v="1"/>
  </r>
  <r>
    <x v="12"/>
    <x v="1"/>
    <x v="6"/>
    <x v="4"/>
    <x v="0"/>
    <x v="0"/>
    <x v="1"/>
  </r>
  <r>
    <x v="12"/>
    <x v="1"/>
    <x v="6"/>
    <x v="3"/>
    <x v="0"/>
    <x v="0"/>
    <x v="1"/>
  </r>
  <r>
    <x v="12"/>
    <x v="1"/>
    <x v="6"/>
    <x v="15"/>
    <x v="4"/>
    <x v="0"/>
    <x v="1"/>
  </r>
  <r>
    <x v="12"/>
    <x v="1"/>
    <x v="6"/>
    <x v="17"/>
    <x v="0"/>
    <x v="0"/>
    <x v="1"/>
  </r>
  <r>
    <x v="12"/>
    <x v="1"/>
    <x v="6"/>
    <x v="16"/>
    <x v="1"/>
    <x v="0"/>
    <x v="1"/>
  </r>
  <r>
    <x v="12"/>
    <x v="1"/>
    <x v="6"/>
    <x v="10"/>
    <x v="0"/>
    <x v="0"/>
    <x v="1"/>
  </r>
  <r>
    <x v="12"/>
    <x v="1"/>
    <x v="6"/>
    <x v="13"/>
    <x v="2"/>
    <x v="3"/>
    <x v="1"/>
  </r>
  <r>
    <x v="12"/>
    <x v="1"/>
    <x v="6"/>
    <x v="11"/>
    <x v="0"/>
    <x v="1"/>
    <x v="1"/>
  </r>
  <r>
    <x v="12"/>
    <x v="1"/>
    <x v="6"/>
    <x v="12"/>
    <x v="2"/>
    <x v="2"/>
    <x v="1"/>
  </r>
  <r>
    <x v="12"/>
    <x v="1"/>
    <x v="6"/>
    <x v="14"/>
    <x v="0"/>
    <x v="4"/>
    <x v="1"/>
  </r>
  <r>
    <x v="17"/>
    <x v="1"/>
    <x v="6"/>
    <x v="9"/>
    <x v="5"/>
    <x v="0"/>
    <x v="1"/>
  </r>
  <r>
    <x v="17"/>
    <x v="1"/>
    <x v="6"/>
    <x v="2"/>
    <x v="0"/>
    <x v="0"/>
    <x v="1"/>
  </r>
  <r>
    <x v="17"/>
    <x v="1"/>
    <x v="6"/>
    <x v="1"/>
    <x v="2"/>
    <x v="0"/>
    <x v="1"/>
  </r>
  <r>
    <x v="17"/>
    <x v="1"/>
    <x v="6"/>
    <x v="0"/>
    <x v="0"/>
    <x v="0"/>
    <x v="1"/>
  </r>
  <r>
    <x v="17"/>
    <x v="1"/>
    <x v="6"/>
    <x v="7"/>
    <x v="0"/>
    <x v="0"/>
    <x v="1"/>
  </r>
  <r>
    <x v="17"/>
    <x v="1"/>
    <x v="6"/>
    <x v="5"/>
    <x v="0"/>
    <x v="0"/>
    <x v="1"/>
  </r>
  <r>
    <x v="17"/>
    <x v="1"/>
    <x v="6"/>
    <x v="6"/>
    <x v="0"/>
    <x v="0"/>
    <x v="1"/>
  </r>
  <r>
    <x v="17"/>
    <x v="1"/>
    <x v="6"/>
    <x v="8"/>
    <x v="0"/>
    <x v="0"/>
    <x v="1"/>
  </r>
  <r>
    <x v="17"/>
    <x v="1"/>
    <x v="6"/>
    <x v="4"/>
    <x v="0"/>
    <x v="0"/>
    <x v="1"/>
  </r>
  <r>
    <x v="17"/>
    <x v="1"/>
    <x v="6"/>
    <x v="3"/>
    <x v="0"/>
    <x v="0"/>
    <x v="1"/>
  </r>
  <r>
    <x v="17"/>
    <x v="1"/>
    <x v="6"/>
    <x v="15"/>
    <x v="8"/>
    <x v="0"/>
    <x v="1"/>
  </r>
  <r>
    <x v="17"/>
    <x v="1"/>
    <x v="6"/>
    <x v="17"/>
    <x v="0"/>
    <x v="0"/>
    <x v="1"/>
  </r>
  <r>
    <x v="17"/>
    <x v="1"/>
    <x v="6"/>
    <x v="16"/>
    <x v="0"/>
    <x v="0"/>
    <x v="1"/>
  </r>
  <r>
    <x v="17"/>
    <x v="1"/>
    <x v="6"/>
    <x v="10"/>
    <x v="0"/>
    <x v="0"/>
    <x v="1"/>
  </r>
  <r>
    <x v="17"/>
    <x v="1"/>
    <x v="6"/>
    <x v="13"/>
    <x v="0"/>
    <x v="3"/>
    <x v="1"/>
  </r>
  <r>
    <x v="17"/>
    <x v="1"/>
    <x v="6"/>
    <x v="11"/>
    <x v="0"/>
    <x v="1"/>
    <x v="1"/>
  </r>
  <r>
    <x v="17"/>
    <x v="1"/>
    <x v="6"/>
    <x v="12"/>
    <x v="0"/>
    <x v="2"/>
    <x v="1"/>
  </r>
  <r>
    <x v="17"/>
    <x v="1"/>
    <x v="6"/>
    <x v="14"/>
    <x v="0"/>
    <x v="4"/>
    <x v="1"/>
  </r>
  <r>
    <x v="19"/>
    <x v="1"/>
    <x v="6"/>
    <x v="9"/>
    <x v="4"/>
    <x v="0"/>
    <x v="1"/>
  </r>
  <r>
    <x v="19"/>
    <x v="1"/>
    <x v="6"/>
    <x v="2"/>
    <x v="0"/>
    <x v="0"/>
    <x v="1"/>
  </r>
  <r>
    <x v="19"/>
    <x v="1"/>
    <x v="6"/>
    <x v="1"/>
    <x v="3"/>
    <x v="0"/>
    <x v="1"/>
  </r>
  <r>
    <x v="19"/>
    <x v="1"/>
    <x v="6"/>
    <x v="0"/>
    <x v="0"/>
    <x v="0"/>
    <x v="1"/>
  </r>
  <r>
    <x v="19"/>
    <x v="1"/>
    <x v="6"/>
    <x v="7"/>
    <x v="0"/>
    <x v="0"/>
    <x v="1"/>
  </r>
  <r>
    <x v="19"/>
    <x v="1"/>
    <x v="6"/>
    <x v="5"/>
    <x v="0"/>
    <x v="0"/>
    <x v="1"/>
  </r>
  <r>
    <x v="19"/>
    <x v="1"/>
    <x v="6"/>
    <x v="6"/>
    <x v="0"/>
    <x v="0"/>
    <x v="1"/>
  </r>
  <r>
    <x v="19"/>
    <x v="1"/>
    <x v="6"/>
    <x v="8"/>
    <x v="0"/>
    <x v="0"/>
    <x v="1"/>
  </r>
  <r>
    <x v="19"/>
    <x v="1"/>
    <x v="6"/>
    <x v="4"/>
    <x v="0"/>
    <x v="0"/>
    <x v="1"/>
  </r>
  <r>
    <x v="19"/>
    <x v="1"/>
    <x v="6"/>
    <x v="3"/>
    <x v="0"/>
    <x v="0"/>
    <x v="1"/>
  </r>
  <r>
    <x v="19"/>
    <x v="1"/>
    <x v="6"/>
    <x v="15"/>
    <x v="7"/>
    <x v="0"/>
    <x v="1"/>
  </r>
  <r>
    <x v="19"/>
    <x v="1"/>
    <x v="6"/>
    <x v="17"/>
    <x v="0"/>
    <x v="0"/>
    <x v="1"/>
  </r>
  <r>
    <x v="19"/>
    <x v="1"/>
    <x v="6"/>
    <x v="16"/>
    <x v="0"/>
    <x v="0"/>
    <x v="1"/>
  </r>
  <r>
    <x v="19"/>
    <x v="1"/>
    <x v="6"/>
    <x v="10"/>
    <x v="0"/>
    <x v="0"/>
    <x v="1"/>
  </r>
  <r>
    <x v="19"/>
    <x v="1"/>
    <x v="6"/>
    <x v="13"/>
    <x v="2"/>
    <x v="3"/>
    <x v="1"/>
  </r>
  <r>
    <x v="19"/>
    <x v="1"/>
    <x v="6"/>
    <x v="11"/>
    <x v="0"/>
    <x v="1"/>
    <x v="1"/>
  </r>
  <r>
    <x v="19"/>
    <x v="1"/>
    <x v="6"/>
    <x v="12"/>
    <x v="1"/>
    <x v="2"/>
    <x v="1"/>
  </r>
  <r>
    <x v="19"/>
    <x v="1"/>
    <x v="6"/>
    <x v="14"/>
    <x v="0"/>
    <x v="4"/>
    <x v="1"/>
  </r>
  <r>
    <x v="24"/>
    <x v="1"/>
    <x v="4"/>
    <x v="9"/>
    <x v="3"/>
    <x v="0"/>
    <x v="1"/>
  </r>
  <r>
    <x v="24"/>
    <x v="1"/>
    <x v="4"/>
    <x v="2"/>
    <x v="0"/>
    <x v="0"/>
    <x v="1"/>
  </r>
  <r>
    <x v="24"/>
    <x v="1"/>
    <x v="4"/>
    <x v="1"/>
    <x v="0"/>
    <x v="0"/>
    <x v="1"/>
  </r>
  <r>
    <x v="24"/>
    <x v="1"/>
    <x v="4"/>
    <x v="0"/>
    <x v="0"/>
    <x v="0"/>
    <x v="1"/>
  </r>
  <r>
    <x v="24"/>
    <x v="1"/>
    <x v="4"/>
    <x v="7"/>
    <x v="0"/>
    <x v="0"/>
    <x v="1"/>
  </r>
  <r>
    <x v="24"/>
    <x v="1"/>
    <x v="4"/>
    <x v="5"/>
    <x v="0"/>
    <x v="0"/>
    <x v="1"/>
  </r>
  <r>
    <x v="24"/>
    <x v="1"/>
    <x v="4"/>
    <x v="6"/>
    <x v="0"/>
    <x v="0"/>
    <x v="1"/>
  </r>
  <r>
    <x v="24"/>
    <x v="1"/>
    <x v="4"/>
    <x v="8"/>
    <x v="0"/>
    <x v="0"/>
    <x v="1"/>
  </r>
  <r>
    <x v="24"/>
    <x v="1"/>
    <x v="4"/>
    <x v="4"/>
    <x v="0"/>
    <x v="0"/>
    <x v="1"/>
  </r>
  <r>
    <x v="24"/>
    <x v="1"/>
    <x v="4"/>
    <x v="3"/>
    <x v="0"/>
    <x v="0"/>
    <x v="1"/>
  </r>
  <r>
    <x v="24"/>
    <x v="1"/>
    <x v="4"/>
    <x v="15"/>
    <x v="9"/>
    <x v="0"/>
    <x v="1"/>
  </r>
  <r>
    <x v="24"/>
    <x v="1"/>
    <x v="4"/>
    <x v="17"/>
    <x v="0"/>
    <x v="0"/>
    <x v="1"/>
  </r>
  <r>
    <x v="24"/>
    <x v="1"/>
    <x v="4"/>
    <x v="16"/>
    <x v="1"/>
    <x v="0"/>
    <x v="1"/>
  </r>
  <r>
    <x v="24"/>
    <x v="1"/>
    <x v="4"/>
    <x v="10"/>
    <x v="0"/>
    <x v="0"/>
    <x v="1"/>
  </r>
  <r>
    <x v="24"/>
    <x v="1"/>
    <x v="4"/>
    <x v="13"/>
    <x v="0"/>
    <x v="3"/>
    <x v="1"/>
  </r>
  <r>
    <x v="24"/>
    <x v="1"/>
    <x v="4"/>
    <x v="11"/>
    <x v="0"/>
    <x v="1"/>
    <x v="1"/>
  </r>
  <r>
    <x v="24"/>
    <x v="1"/>
    <x v="4"/>
    <x v="12"/>
    <x v="2"/>
    <x v="2"/>
    <x v="1"/>
  </r>
  <r>
    <x v="24"/>
    <x v="1"/>
    <x v="4"/>
    <x v="14"/>
    <x v="0"/>
    <x v="4"/>
    <x v="1"/>
  </r>
  <r>
    <x v="25"/>
    <x v="1"/>
    <x v="5"/>
    <x v="9"/>
    <x v="3"/>
    <x v="0"/>
    <x v="1"/>
  </r>
  <r>
    <x v="25"/>
    <x v="1"/>
    <x v="5"/>
    <x v="2"/>
    <x v="0"/>
    <x v="0"/>
    <x v="1"/>
  </r>
  <r>
    <x v="25"/>
    <x v="1"/>
    <x v="5"/>
    <x v="1"/>
    <x v="0"/>
    <x v="0"/>
    <x v="1"/>
  </r>
  <r>
    <x v="25"/>
    <x v="1"/>
    <x v="5"/>
    <x v="0"/>
    <x v="0"/>
    <x v="0"/>
    <x v="1"/>
  </r>
  <r>
    <x v="25"/>
    <x v="1"/>
    <x v="5"/>
    <x v="7"/>
    <x v="0"/>
    <x v="0"/>
    <x v="1"/>
  </r>
  <r>
    <x v="25"/>
    <x v="1"/>
    <x v="5"/>
    <x v="5"/>
    <x v="0"/>
    <x v="0"/>
    <x v="1"/>
  </r>
  <r>
    <x v="25"/>
    <x v="1"/>
    <x v="5"/>
    <x v="6"/>
    <x v="0"/>
    <x v="0"/>
    <x v="1"/>
  </r>
  <r>
    <x v="25"/>
    <x v="1"/>
    <x v="5"/>
    <x v="8"/>
    <x v="0"/>
    <x v="0"/>
    <x v="1"/>
  </r>
  <r>
    <x v="25"/>
    <x v="1"/>
    <x v="5"/>
    <x v="4"/>
    <x v="0"/>
    <x v="0"/>
    <x v="1"/>
  </r>
  <r>
    <x v="25"/>
    <x v="1"/>
    <x v="5"/>
    <x v="3"/>
    <x v="0"/>
    <x v="0"/>
    <x v="1"/>
  </r>
  <r>
    <x v="25"/>
    <x v="1"/>
    <x v="5"/>
    <x v="15"/>
    <x v="10"/>
    <x v="0"/>
    <x v="1"/>
  </r>
  <r>
    <x v="25"/>
    <x v="1"/>
    <x v="5"/>
    <x v="17"/>
    <x v="0"/>
    <x v="0"/>
    <x v="1"/>
  </r>
  <r>
    <x v="25"/>
    <x v="1"/>
    <x v="5"/>
    <x v="16"/>
    <x v="1"/>
    <x v="0"/>
    <x v="1"/>
  </r>
  <r>
    <x v="25"/>
    <x v="1"/>
    <x v="5"/>
    <x v="10"/>
    <x v="0"/>
    <x v="0"/>
    <x v="1"/>
  </r>
  <r>
    <x v="25"/>
    <x v="1"/>
    <x v="5"/>
    <x v="13"/>
    <x v="1"/>
    <x v="3"/>
    <x v="1"/>
  </r>
  <r>
    <x v="25"/>
    <x v="1"/>
    <x v="5"/>
    <x v="11"/>
    <x v="0"/>
    <x v="1"/>
    <x v="1"/>
  </r>
  <r>
    <x v="25"/>
    <x v="1"/>
    <x v="5"/>
    <x v="12"/>
    <x v="0"/>
    <x v="2"/>
    <x v="1"/>
  </r>
  <r>
    <x v="25"/>
    <x v="1"/>
    <x v="5"/>
    <x v="14"/>
    <x v="0"/>
    <x v="4"/>
    <x v="1"/>
  </r>
  <r>
    <x v="39"/>
    <x v="1"/>
    <x v="6"/>
    <x v="9"/>
    <x v="11"/>
    <x v="0"/>
    <x v="1"/>
  </r>
  <r>
    <x v="39"/>
    <x v="1"/>
    <x v="6"/>
    <x v="2"/>
    <x v="2"/>
    <x v="0"/>
    <x v="1"/>
  </r>
  <r>
    <x v="39"/>
    <x v="1"/>
    <x v="6"/>
    <x v="1"/>
    <x v="0"/>
    <x v="0"/>
    <x v="1"/>
  </r>
  <r>
    <x v="39"/>
    <x v="1"/>
    <x v="6"/>
    <x v="0"/>
    <x v="0"/>
    <x v="0"/>
    <x v="1"/>
  </r>
  <r>
    <x v="39"/>
    <x v="1"/>
    <x v="6"/>
    <x v="7"/>
    <x v="0"/>
    <x v="0"/>
    <x v="1"/>
  </r>
  <r>
    <x v="39"/>
    <x v="1"/>
    <x v="6"/>
    <x v="5"/>
    <x v="0"/>
    <x v="0"/>
    <x v="1"/>
  </r>
  <r>
    <x v="39"/>
    <x v="1"/>
    <x v="6"/>
    <x v="6"/>
    <x v="0"/>
    <x v="0"/>
    <x v="1"/>
  </r>
  <r>
    <x v="39"/>
    <x v="1"/>
    <x v="6"/>
    <x v="8"/>
    <x v="0"/>
    <x v="0"/>
    <x v="1"/>
  </r>
  <r>
    <x v="39"/>
    <x v="1"/>
    <x v="6"/>
    <x v="4"/>
    <x v="0"/>
    <x v="0"/>
    <x v="1"/>
  </r>
  <r>
    <x v="39"/>
    <x v="1"/>
    <x v="6"/>
    <x v="3"/>
    <x v="0"/>
    <x v="0"/>
    <x v="1"/>
  </r>
  <r>
    <x v="39"/>
    <x v="1"/>
    <x v="6"/>
    <x v="15"/>
    <x v="13"/>
    <x v="0"/>
    <x v="1"/>
  </r>
  <r>
    <x v="39"/>
    <x v="1"/>
    <x v="6"/>
    <x v="17"/>
    <x v="0"/>
    <x v="0"/>
    <x v="1"/>
  </r>
  <r>
    <x v="39"/>
    <x v="1"/>
    <x v="6"/>
    <x v="16"/>
    <x v="0"/>
    <x v="0"/>
    <x v="1"/>
  </r>
  <r>
    <x v="39"/>
    <x v="1"/>
    <x v="6"/>
    <x v="10"/>
    <x v="0"/>
    <x v="0"/>
    <x v="1"/>
  </r>
  <r>
    <x v="39"/>
    <x v="1"/>
    <x v="6"/>
    <x v="13"/>
    <x v="0"/>
    <x v="3"/>
    <x v="1"/>
  </r>
  <r>
    <x v="39"/>
    <x v="1"/>
    <x v="6"/>
    <x v="11"/>
    <x v="0"/>
    <x v="1"/>
    <x v="1"/>
  </r>
  <r>
    <x v="39"/>
    <x v="1"/>
    <x v="6"/>
    <x v="12"/>
    <x v="4"/>
    <x v="2"/>
    <x v="1"/>
  </r>
  <r>
    <x v="39"/>
    <x v="1"/>
    <x v="6"/>
    <x v="14"/>
    <x v="0"/>
    <x v="4"/>
    <x v="1"/>
  </r>
  <r>
    <x v="35"/>
    <x v="0"/>
    <x v="0"/>
    <x v="9"/>
    <x v="5"/>
    <x v="0"/>
    <x v="1"/>
  </r>
  <r>
    <x v="35"/>
    <x v="0"/>
    <x v="0"/>
    <x v="2"/>
    <x v="0"/>
    <x v="0"/>
    <x v="1"/>
  </r>
  <r>
    <x v="35"/>
    <x v="0"/>
    <x v="0"/>
    <x v="1"/>
    <x v="0"/>
    <x v="0"/>
    <x v="1"/>
  </r>
  <r>
    <x v="35"/>
    <x v="0"/>
    <x v="0"/>
    <x v="0"/>
    <x v="0"/>
    <x v="0"/>
    <x v="1"/>
  </r>
  <r>
    <x v="35"/>
    <x v="0"/>
    <x v="0"/>
    <x v="7"/>
    <x v="0"/>
    <x v="0"/>
    <x v="1"/>
  </r>
  <r>
    <x v="35"/>
    <x v="0"/>
    <x v="0"/>
    <x v="5"/>
    <x v="0"/>
    <x v="0"/>
    <x v="1"/>
  </r>
  <r>
    <x v="35"/>
    <x v="0"/>
    <x v="0"/>
    <x v="6"/>
    <x v="0"/>
    <x v="0"/>
    <x v="1"/>
  </r>
  <r>
    <x v="35"/>
    <x v="0"/>
    <x v="0"/>
    <x v="8"/>
    <x v="0"/>
    <x v="0"/>
    <x v="1"/>
  </r>
  <r>
    <x v="35"/>
    <x v="0"/>
    <x v="0"/>
    <x v="4"/>
    <x v="0"/>
    <x v="0"/>
    <x v="1"/>
  </r>
  <r>
    <x v="35"/>
    <x v="0"/>
    <x v="0"/>
    <x v="3"/>
    <x v="0"/>
    <x v="0"/>
    <x v="1"/>
  </r>
  <r>
    <x v="35"/>
    <x v="0"/>
    <x v="0"/>
    <x v="15"/>
    <x v="4"/>
    <x v="0"/>
    <x v="1"/>
  </r>
  <r>
    <x v="35"/>
    <x v="0"/>
    <x v="0"/>
    <x v="17"/>
    <x v="0"/>
    <x v="0"/>
    <x v="1"/>
  </r>
  <r>
    <x v="35"/>
    <x v="0"/>
    <x v="0"/>
    <x v="16"/>
    <x v="1"/>
    <x v="0"/>
    <x v="1"/>
  </r>
  <r>
    <x v="35"/>
    <x v="0"/>
    <x v="0"/>
    <x v="10"/>
    <x v="0"/>
    <x v="0"/>
    <x v="1"/>
  </r>
  <r>
    <x v="35"/>
    <x v="0"/>
    <x v="0"/>
    <x v="13"/>
    <x v="4"/>
    <x v="3"/>
    <x v="1"/>
  </r>
  <r>
    <x v="35"/>
    <x v="0"/>
    <x v="0"/>
    <x v="11"/>
    <x v="0"/>
    <x v="1"/>
    <x v="1"/>
  </r>
  <r>
    <x v="35"/>
    <x v="0"/>
    <x v="0"/>
    <x v="12"/>
    <x v="2"/>
    <x v="2"/>
    <x v="1"/>
  </r>
  <r>
    <x v="35"/>
    <x v="0"/>
    <x v="0"/>
    <x v="14"/>
    <x v="0"/>
    <x v="4"/>
    <x v="1"/>
  </r>
  <r>
    <x v="36"/>
    <x v="0"/>
    <x v="0"/>
    <x v="9"/>
    <x v="11"/>
    <x v="0"/>
    <x v="1"/>
  </r>
  <r>
    <x v="36"/>
    <x v="0"/>
    <x v="0"/>
    <x v="2"/>
    <x v="9"/>
    <x v="0"/>
    <x v="1"/>
  </r>
  <r>
    <x v="36"/>
    <x v="0"/>
    <x v="0"/>
    <x v="1"/>
    <x v="17"/>
    <x v="0"/>
    <x v="1"/>
  </r>
  <r>
    <x v="36"/>
    <x v="0"/>
    <x v="0"/>
    <x v="0"/>
    <x v="1"/>
    <x v="0"/>
    <x v="1"/>
  </r>
  <r>
    <x v="36"/>
    <x v="0"/>
    <x v="0"/>
    <x v="7"/>
    <x v="1"/>
    <x v="0"/>
    <x v="1"/>
  </r>
  <r>
    <x v="36"/>
    <x v="0"/>
    <x v="0"/>
    <x v="5"/>
    <x v="2"/>
    <x v="0"/>
    <x v="1"/>
  </r>
  <r>
    <x v="36"/>
    <x v="0"/>
    <x v="0"/>
    <x v="6"/>
    <x v="1"/>
    <x v="0"/>
    <x v="1"/>
  </r>
  <r>
    <x v="36"/>
    <x v="0"/>
    <x v="0"/>
    <x v="8"/>
    <x v="2"/>
    <x v="0"/>
    <x v="1"/>
  </r>
  <r>
    <x v="36"/>
    <x v="0"/>
    <x v="0"/>
    <x v="4"/>
    <x v="2"/>
    <x v="0"/>
    <x v="1"/>
  </r>
  <r>
    <x v="36"/>
    <x v="0"/>
    <x v="0"/>
    <x v="3"/>
    <x v="1"/>
    <x v="0"/>
    <x v="1"/>
  </r>
  <r>
    <x v="36"/>
    <x v="0"/>
    <x v="0"/>
    <x v="15"/>
    <x v="16"/>
    <x v="0"/>
    <x v="1"/>
  </r>
  <r>
    <x v="36"/>
    <x v="0"/>
    <x v="0"/>
    <x v="17"/>
    <x v="1"/>
    <x v="0"/>
    <x v="1"/>
  </r>
  <r>
    <x v="36"/>
    <x v="0"/>
    <x v="0"/>
    <x v="16"/>
    <x v="15"/>
    <x v="0"/>
    <x v="1"/>
  </r>
  <r>
    <x v="36"/>
    <x v="0"/>
    <x v="0"/>
    <x v="10"/>
    <x v="0"/>
    <x v="0"/>
    <x v="1"/>
  </r>
  <r>
    <x v="36"/>
    <x v="0"/>
    <x v="0"/>
    <x v="13"/>
    <x v="14"/>
    <x v="3"/>
    <x v="1"/>
  </r>
  <r>
    <x v="36"/>
    <x v="0"/>
    <x v="0"/>
    <x v="11"/>
    <x v="3"/>
    <x v="1"/>
    <x v="1"/>
  </r>
  <r>
    <x v="36"/>
    <x v="0"/>
    <x v="0"/>
    <x v="12"/>
    <x v="12"/>
    <x v="2"/>
    <x v="1"/>
  </r>
  <r>
    <x v="36"/>
    <x v="0"/>
    <x v="0"/>
    <x v="14"/>
    <x v="0"/>
    <x v="4"/>
    <x v="1"/>
  </r>
  <r>
    <x v="5"/>
    <x v="1"/>
    <x v="3"/>
    <x v="9"/>
    <x v="5"/>
    <x v="0"/>
    <x v="5"/>
  </r>
  <r>
    <x v="5"/>
    <x v="1"/>
    <x v="3"/>
    <x v="2"/>
    <x v="1"/>
    <x v="0"/>
    <x v="5"/>
  </r>
  <r>
    <x v="5"/>
    <x v="1"/>
    <x v="3"/>
    <x v="1"/>
    <x v="2"/>
    <x v="0"/>
    <x v="5"/>
  </r>
  <r>
    <x v="5"/>
    <x v="1"/>
    <x v="3"/>
    <x v="0"/>
    <x v="0"/>
    <x v="0"/>
    <x v="5"/>
  </r>
  <r>
    <x v="5"/>
    <x v="1"/>
    <x v="3"/>
    <x v="7"/>
    <x v="0"/>
    <x v="0"/>
    <x v="5"/>
  </r>
  <r>
    <x v="5"/>
    <x v="1"/>
    <x v="3"/>
    <x v="5"/>
    <x v="0"/>
    <x v="0"/>
    <x v="5"/>
  </r>
  <r>
    <x v="5"/>
    <x v="1"/>
    <x v="3"/>
    <x v="6"/>
    <x v="0"/>
    <x v="0"/>
    <x v="5"/>
  </r>
  <r>
    <x v="5"/>
    <x v="1"/>
    <x v="3"/>
    <x v="8"/>
    <x v="0"/>
    <x v="0"/>
    <x v="5"/>
  </r>
  <r>
    <x v="5"/>
    <x v="1"/>
    <x v="3"/>
    <x v="4"/>
    <x v="0"/>
    <x v="0"/>
    <x v="5"/>
  </r>
  <r>
    <x v="5"/>
    <x v="1"/>
    <x v="3"/>
    <x v="3"/>
    <x v="0"/>
    <x v="0"/>
    <x v="5"/>
  </r>
  <r>
    <x v="5"/>
    <x v="1"/>
    <x v="3"/>
    <x v="15"/>
    <x v="7"/>
    <x v="0"/>
    <x v="5"/>
  </r>
  <r>
    <x v="5"/>
    <x v="1"/>
    <x v="3"/>
    <x v="17"/>
    <x v="0"/>
    <x v="0"/>
    <x v="5"/>
  </r>
  <r>
    <x v="5"/>
    <x v="1"/>
    <x v="3"/>
    <x v="16"/>
    <x v="2"/>
    <x v="0"/>
    <x v="5"/>
  </r>
  <r>
    <x v="5"/>
    <x v="1"/>
    <x v="3"/>
    <x v="10"/>
    <x v="0"/>
    <x v="0"/>
    <x v="5"/>
  </r>
  <r>
    <x v="5"/>
    <x v="1"/>
    <x v="3"/>
    <x v="13"/>
    <x v="1"/>
    <x v="3"/>
    <x v="5"/>
  </r>
  <r>
    <x v="5"/>
    <x v="1"/>
    <x v="3"/>
    <x v="11"/>
    <x v="0"/>
    <x v="1"/>
    <x v="5"/>
  </r>
  <r>
    <x v="5"/>
    <x v="1"/>
    <x v="3"/>
    <x v="12"/>
    <x v="0"/>
    <x v="2"/>
    <x v="5"/>
  </r>
  <r>
    <x v="5"/>
    <x v="1"/>
    <x v="3"/>
    <x v="14"/>
    <x v="1"/>
    <x v="4"/>
    <x v="5"/>
  </r>
  <r>
    <x v="20"/>
    <x v="1"/>
    <x v="6"/>
    <x v="9"/>
    <x v="4"/>
    <x v="0"/>
    <x v="5"/>
  </r>
  <r>
    <x v="20"/>
    <x v="1"/>
    <x v="6"/>
    <x v="2"/>
    <x v="1"/>
    <x v="0"/>
    <x v="5"/>
  </r>
  <r>
    <x v="20"/>
    <x v="1"/>
    <x v="6"/>
    <x v="1"/>
    <x v="2"/>
    <x v="0"/>
    <x v="5"/>
  </r>
  <r>
    <x v="20"/>
    <x v="1"/>
    <x v="6"/>
    <x v="0"/>
    <x v="0"/>
    <x v="0"/>
    <x v="5"/>
  </r>
  <r>
    <x v="20"/>
    <x v="1"/>
    <x v="6"/>
    <x v="7"/>
    <x v="0"/>
    <x v="0"/>
    <x v="5"/>
  </r>
  <r>
    <x v="20"/>
    <x v="1"/>
    <x v="6"/>
    <x v="5"/>
    <x v="0"/>
    <x v="0"/>
    <x v="5"/>
  </r>
  <r>
    <x v="20"/>
    <x v="1"/>
    <x v="6"/>
    <x v="6"/>
    <x v="0"/>
    <x v="0"/>
    <x v="5"/>
  </r>
  <r>
    <x v="20"/>
    <x v="1"/>
    <x v="6"/>
    <x v="8"/>
    <x v="0"/>
    <x v="0"/>
    <x v="5"/>
  </r>
  <r>
    <x v="20"/>
    <x v="1"/>
    <x v="6"/>
    <x v="4"/>
    <x v="0"/>
    <x v="0"/>
    <x v="5"/>
  </r>
  <r>
    <x v="20"/>
    <x v="1"/>
    <x v="6"/>
    <x v="3"/>
    <x v="0"/>
    <x v="0"/>
    <x v="5"/>
  </r>
  <r>
    <x v="20"/>
    <x v="1"/>
    <x v="6"/>
    <x v="15"/>
    <x v="7"/>
    <x v="0"/>
    <x v="5"/>
  </r>
  <r>
    <x v="20"/>
    <x v="1"/>
    <x v="6"/>
    <x v="17"/>
    <x v="0"/>
    <x v="0"/>
    <x v="5"/>
  </r>
  <r>
    <x v="20"/>
    <x v="1"/>
    <x v="6"/>
    <x v="16"/>
    <x v="2"/>
    <x v="0"/>
    <x v="5"/>
  </r>
  <r>
    <x v="20"/>
    <x v="1"/>
    <x v="6"/>
    <x v="10"/>
    <x v="0"/>
    <x v="0"/>
    <x v="5"/>
  </r>
  <r>
    <x v="20"/>
    <x v="1"/>
    <x v="6"/>
    <x v="13"/>
    <x v="1"/>
    <x v="3"/>
    <x v="5"/>
  </r>
  <r>
    <x v="20"/>
    <x v="1"/>
    <x v="6"/>
    <x v="11"/>
    <x v="0"/>
    <x v="1"/>
    <x v="5"/>
  </r>
  <r>
    <x v="20"/>
    <x v="1"/>
    <x v="6"/>
    <x v="12"/>
    <x v="2"/>
    <x v="2"/>
    <x v="5"/>
  </r>
  <r>
    <x v="20"/>
    <x v="1"/>
    <x v="6"/>
    <x v="14"/>
    <x v="0"/>
    <x v="4"/>
    <x v="5"/>
  </r>
  <r>
    <x v="37"/>
    <x v="0"/>
    <x v="0"/>
    <x v="9"/>
    <x v="0"/>
    <x v="0"/>
    <x v="5"/>
  </r>
  <r>
    <x v="37"/>
    <x v="0"/>
    <x v="0"/>
    <x v="2"/>
    <x v="0"/>
    <x v="0"/>
    <x v="5"/>
  </r>
  <r>
    <x v="37"/>
    <x v="0"/>
    <x v="0"/>
    <x v="1"/>
    <x v="0"/>
    <x v="0"/>
    <x v="5"/>
  </r>
  <r>
    <x v="37"/>
    <x v="0"/>
    <x v="0"/>
    <x v="0"/>
    <x v="0"/>
    <x v="0"/>
    <x v="5"/>
  </r>
  <r>
    <x v="37"/>
    <x v="0"/>
    <x v="0"/>
    <x v="7"/>
    <x v="0"/>
    <x v="0"/>
    <x v="5"/>
  </r>
  <r>
    <x v="37"/>
    <x v="0"/>
    <x v="0"/>
    <x v="5"/>
    <x v="0"/>
    <x v="0"/>
    <x v="5"/>
  </r>
  <r>
    <x v="37"/>
    <x v="0"/>
    <x v="0"/>
    <x v="6"/>
    <x v="0"/>
    <x v="0"/>
    <x v="5"/>
  </r>
  <r>
    <x v="37"/>
    <x v="0"/>
    <x v="0"/>
    <x v="8"/>
    <x v="0"/>
    <x v="0"/>
    <x v="5"/>
  </r>
  <r>
    <x v="37"/>
    <x v="0"/>
    <x v="0"/>
    <x v="4"/>
    <x v="0"/>
    <x v="0"/>
    <x v="5"/>
  </r>
  <r>
    <x v="37"/>
    <x v="0"/>
    <x v="0"/>
    <x v="3"/>
    <x v="0"/>
    <x v="0"/>
    <x v="5"/>
  </r>
  <r>
    <x v="37"/>
    <x v="0"/>
    <x v="0"/>
    <x v="15"/>
    <x v="1"/>
    <x v="0"/>
    <x v="5"/>
  </r>
  <r>
    <x v="37"/>
    <x v="0"/>
    <x v="0"/>
    <x v="17"/>
    <x v="0"/>
    <x v="0"/>
    <x v="5"/>
  </r>
  <r>
    <x v="37"/>
    <x v="0"/>
    <x v="0"/>
    <x v="16"/>
    <x v="0"/>
    <x v="0"/>
    <x v="5"/>
  </r>
  <r>
    <x v="37"/>
    <x v="0"/>
    <x v="0"/>
    <x v="10"/>
    <x v="0"/>
    <x v="0"/>
    <x v="5"/>
  </r>
  <r>
    <x v="37"/>
    <x v="0"/>
    <x v="0"/>
    <x v="13"/>
    <x v="2"/>
    <x v="3"/>
    <x v="5"/>
  </r>
  <r>
    <x v="37"/>
    <x v="0"/>
    <x v="0"/>
    <x v="11"/>
    <x v="0"/>
    <x v="1"/>
    <x v="5"/>
  </r>
  <r>
    <x v="37"/>
    <x v="0"/>
    <x v="0"/>
    <x v="12"/>
    <x v="0"/>
    <x v="2"/>
    <x v="5"/>
  </r>
  <r>
    <x v="37"/>
    <x v="0"/>
    <x v="0"/>
    <x v="14"/>
    <x v="0"/>
    <x v="4"/>
    <x v="5"/>
  </r>
  <r>
    <x v="6"/>
    <x v="1"/>
    <x v="3"/>
    <x v="9"/>
    <x v="4"/>
    <x v="0"/>
    <x v="4"/>
  </r>
  <r>
    <x v="6"/>
    <x v="1"/>
    <x v="3"/>
    <x v="2"/>
    <x v="1"/>
    <x v="0"/>
    <x v="4"/>
  </r>
  <r>
    <x v="6"/>
    <x v="1"/>
    <x v="3"/>
    <x v="1"/>
    <x v="3"/>
    <x v="0"/>
    <x v="4"/>
  </r>
  <r>
    <x v="6"/>
    <x v="1"/>
    <x v="3"/>
    <x v="0"/>
    <x v="0"/>
    <x v="0"/>
    <x v="4"/>
  </r>
  <r>
    <x v="6"/>
    <x v="1"/>
    <x v="3"/>
    <x v="7"/>
    <x v="0"/>
    <x v="0"/>
    <x v="4"/>
  </r>
  <r>
    <x v="6"/>
    <x v="1"/>
    <x v="3"/>
    <x v="5"/>
    <x v="0"/>
    <x v="0"/>
    <x v="4"/>
  </r>
  <r>
    <x v="6"/>
    <x v="1"/>
    <x v="3"/>
    <x v="6"/>
    <x v="0"/>
    <x v="0"/>
    <x v="4"/>
  </r>
  <r>
    <x v="6"/>
    <x v="1"/>
    <x v="3"/>
    <x v="8"/>
    <x v="0"/>
    <x v="0"/>
    <x v="4"/>
  </r>
  <r>
    <x v="6"/>
    <x v="1"/>
    <x v="3"/>
    <x v="4"/>
    <x v="0"/>
    <x v="0"/>
    <x v="4"/>
  </r>
  <r>
    <x v="6"/>
    <x v="1"/>
    <x v="3"/>
    <x v="3"/>
    <x v="0"/>
    <x v="0"/>
    <x v="4"/>
  </r>
  <r>
    <x v="6"/>
    <x v="1"/>
    <x v="3"/>
    <x v="15"/>
    <x v="7"/>
    <x v="0"/>
    <x v="4"/>
  </r>
  <r>
    <x v="6"/>
    <x v="1"/>
    <x v="3"/>
    <x v="17"/>
    <x v="0"/>
    <x v="0"/>
    <x v="4"/>
  </r>
  <r>
    <x v="6"/>
    <x v="1"/>
    <x v="3"/>
    <x v="16"/>
    <x v="1"/>
    <x v="0"/>
    <x v="4"/>
  </r>
  <r>
    <x v="6"/>
    <x v="1"/>
    <x v="3"/>
    <x v="10"/>
    <x v="0"/>
    <x v="0"/>
    <x v="4"/>
  </r>
  <r>
    <x v="6"/>
    <x v="1"/>
    <x v="3"/>
    <x v="13"/>
    <x v="0"/>
    <x v="3"/>
    <x v="4"/>
  </r>
  <r>
    <x v="6"/>
    <x v="1"/>
    <x v="3"/>
    <x v="11"/>
    <x v="0"/>
    <x v="1"/>
    <x v="4"/>
  </r>
  <r>
    <x v="6"/>
    <x v="1"/>
    <x v="3"/>
    <x v="12"/>
    <x v="2"/>
    <x v="2"/>
    <x v="4"/>
  </r>
  <r>
    <x v="6"/>
    <x v="1"/>
    <x v="3"/>
    <x v="14"/>
    <x v="0"/>
    <x v="4"/>
    <x v="4"/>
  </r>
  <r>
    <x v="7"/>
    <x v="1"/>
    <x v="6"/>
    <x v="9"/>
    <x v="6"/>
    <x v="0"/>
    <x v="4"/>
  </r>
  <r>
    <x v="7"/>
    <x v="1"/>
    <x v="6"/>
    <x v="2"/>
    <x v="1"/>
    <x v="0"/>
    <x v="4"/>
  </r>
  <r>
    <x v="7"/>
    <x v="1"/>
    <x v="6"/>
    <x v="1"/>
    <x v="1"/>
    <x v="0"/>
    <x v="4"/>
  </r>
  <r>
    <x v="7"/>
    <x v="1"/>
    <x v="6"/>
    <x v="0"/>
    <x v="0"/>
    <x v="0"/>
    <x v="4"/>
  </r>
  <r>
    <x v="7"/>
    <x v="1"/>
    <x v="6"/>
    <x v="7"/>
    <x v="0"/>
    <x v="0"/>
    <x v="4"/>
  </r>
  <r>
    <x v="7"/>
    <x v="1"/>
    <x v="6"/>
    <x v="5"/>
    <x v="0"/>
    <x v="0"/>
    <x v="4"/>
  </r>
  <r>
    <x v="7"/>
    <x v="1"/>
    <x v="6"/>
    <x v="6"/>
    <x v="0"/>
    <x v="0"/>
    <x v="4"/>
  </r>
  <r>
    <x v="7"/>
    <x v="1"/>
    <x v="6"/>
    <x v="8"/>
    <x v="0"/>
    <x v="0"/>
    <x v="4"/>
  </r>
  <r>
    <x v="7"/>
    <x v="1"/>
    <x v="6"/>
    <x v="4"/>
    <x v="0"/>
    <x v="0"/>
    <x v="4"/>
  </r>
  <r>
    <x v="7"/>
    <x v="1"/>
    <x v="6"/>
    <x v="3"/>
    <x v="0"/>
    <x v="0"/>
    <x v="4"/>
  </r>
  <r>
    <x v="7"/>
    <x v="1"/>
    <x v="6"/>
    <x v="15"/>
    <x v="7"/>
    <x v="0"/>
    <x v="4"/>
  </r>
  <r>
    <x v="7"/>
    <x v="1"/>
    <x v="6"/>
    <x v="17"/>
    <x v="0"/>
    <x v="0"/>
    <x v="4"/>
  </r>
  <r>
    <x v="7"/>
    <x v="1"/>
    <x v="6"/>
    <x v="16"/>
    <x v="2"/>
    <x v="0"/>
    <x v="4"/>
  </r>
  <r>
    <x v="7"/>
    <x v="1"/>
    <x v="6"/>
    <x v="10"/>
    <x v="0"/>
    <x v="0"/>
    <x v="4"/>
  </r>
  <r>
    <x v="7"/>
    <x v="1"/>
    <x v="6"/>
    <x v="13"/>
    <x v="0"/>
    <x v="3"/>
    <x v="4"/>
  </r>
  <r>
    <x v="7"/>
    <x v="1"/>
    <x v="6"/>
    <x v="11"/>
    <x v="1"/>
    <x v="1"/>
    <x v="4"/>
  </r>
  <r>
    <x v="7"/>
    <x v="1"/>
    <x v="6"/>
    <x v="12"/>
    <x v="2"/>
    <x v="2"/>
    <x v="4"/>
  </r>
  <r>
    <x v="7"/>
    <x v="1"/>
    <x v="6"/>
    <x v="14"/>
    <x v="0"/>
    <x v="4"/>
    <x v="4"/>
  </r>
  <r>
    <x v="22"/>
    <x v="1"/>
    <x v="6"/>
    <x v="9"/>
    <x v="5"/>
    <x v="0"/>
    <x v="4"/>
  </r>
  <r>
    <x v="22"/>
    <x v="1"/>
    <x v="6"/>
    <x v="2"/>
    <x v="1"/>
    <x v="0"/>
    <x v="4"/>
  </r>
  <r>
    <x v="22"/>
    <x v="1"/>
    <x v="6"/>
    <x v="1"/>
    <x v="1"/>
    <x v="0"/>
    <x v="4"/>
  </r>
  <r>
    <x v="22"/>
    <x v="1"/>
    <x v="6"/>
    <x v="0"/>
    <x v="0"/>
    <x v="0"/>
    <x v="4"/>
  </r>
  <r>
    <x v="22"/>
    <x v="1"/>
    <x v="6"/>
    <x v="7"/>
    <x v="0"/>
    <x v="0"/>
    <x v="4"/>
  </r>
  <r>
    <x v="22"/>
    <x v="1"/>
    <x v="6"/>
    <x v="5"/>
    <x v="0"/>
    <x v="0"/>
    <x v="4"/>
  </r>
  <r>
    <x v="22"/>
    <x v="1"/>
    <x v="6"/>
    <x v="6"/>
    <x v="0"/>
    <x v="0"/>
    <x v="4"/>
  </r>
  <r>
    <x v="22"/>
    <x v="1"/>
    <x v="6"/>
    <x v="8"/>
    <x v="0"/>
    <x v="0"/>
    <x v="4"/>
  </r>
  <r>
    <x v="22"/>
    <x v="1"/>
    <x v="6"/>
    <x v="4"/>
    <x v="0"/>
    <x v="0"/>
    <x v="4"/>
  </r>
  <r>
    <x v="22"/>
    <x v="1"/>
    <x v="6"/>
    <x v="3"/>
    <x v="0"/>
    <x v="0"/>
    <x v="4"/>
  </r>
  <r>
    <x v="22"/>
    <x v="1"/>
    <x v="6"/>
    <x v="15"/>
    <x v="4"/>
    <x v="0"/>
    <x v="4"/>
  </r>
  <r>
    <x v="22"/>
    <x v="1"/>
    <x v="6"/>
    <x v="17"/>
    <x v="0"/>
    <x v="0"/>
    <x v="4"/>
  </r>
  <r>
    <x v="22"/>
    <x v="1"/>
    <x v="6"/>
    <x v="16"/>
    <x v="1"/>
    <x v="0"/>
    <x v="4"/>
  </r>
  <r>
    <x v="22"/>
    <x v="1"/>
    <x v="6"/>
    <x v="10"/>
    <x v="0"/>
    <x v="0"/>
    <x v="4"/>
  </r>
  <r>
    <x v="22"/>
    <x v="1"/>
    <x v="6"/>
    <x v="13"/>
    <x v="1"/>
    <x v="3"/>
    <x v="4"/>
  </r>
  <r>
    <x v="22"/>
    <x v="1"/>
    <x v="6"/>
    <x v="11"/>
    <x v="0"/>
    <x v="1"/>
    <x v="4"/>
  </r>
  <r>
    <x v="22"/>
    <x v="1"/>
    <x v="6"/>
    <x v="12"/>
    <x v="4"/>
    <x v="2"/>
    <x v="4"/>
  </r>
  <r>
    <x v="22"/>
    <x v="1"/>
    <x v="6"/>
    <x v="14"/>
    <x v="0"/>
    <x v="4"/>
    <x v="4"/>
  </r>
  <r>
    <x v="38"/>
    <x v="0"/>
    <x v="0"/>
    <x v="9"/>
    <x v="0"/>
    <x v="0"/>
    <x v="4"/>
  </r>
  <r>
    <x v="38"/>
    <x v="0"/>
    <x v="0"/>
    <x v="2"/>
    <x v="0"/>
    <x v="0"/>
    <x v="4"/>
  </r>
  <r>
    <x v="38"/>
    <x v="0"/>
    <x v="0"/>
    <x v="1"/>
    <x v="0"/>
    <x v="0"/>
    <x v="4"/>
  </r>
  <r>
    <x v="38"/>
    <x v="0"/>
    <x v="0"/>
    <x v="0"/>
    <x v="0"/>
    <x v="0"/>
    <x v="4"/>
  </r>
  <r>
    <x v="38"/>
    <x v="0"/>
    <x v="0"/>
    <x v="7"/>
    <x v="0"/>
    <x v="0"/>
    <x v="4"/>
  </r>
  <r>
    <x v="38"/>
    <x v="0"/>
    <x v="0"/>
    <x v="5"/>
    <x v="0"/>
    <x v="0"/>
    <x v="4"/>
  </r>
  <r>
    <x v="38"/>
    <x v="0"/>
    <x v="0"/>
    <x v="6"/>
    <x v="0"/>
    <x v="0"/>
    <x v="4"/>
  </r>
  <r>
    <x v="38"/>
    <x v="0"/>
    <x v="0"/>
    <x v="8"/>
    <x v="0"/>
    <x v="0"/>
    <x v="4"/>
  </r>
  <r>
    <x v="38"/>
    <x v="0"/>
    <x v="0"/>
    <x v="4"/>
    <x v="0"/>
    <x v="0"/>
    <x v="4"/>
  </r>
  <r>
    <x v="38"/>
    <x v="0"/>
    <x v="0"/>
    <x v="3"/>
    <x v="0"/>
    <x v="0"/>
    <x v="4"/>
  </r>
  <r>
    <x v="38"/>
    <x v="0"/>
    <x v="0"/>
    <x v="15"/>
    <x v="2"/>
    <x v="0"/>
    <x v="4"/>
  </r>
  <r>
    <x v="38"/>
    <x v="0"/>
    <x v="0"/>
    <x v="17"/>
    <x v="0"/>
    <x v="0"/>
    <x v="4"/>
  </r>
  <r>
    <x v="38"/>
    <x v="0"/>
    <x v="0"/>
    <x v="16"/>
    <x v="2"/>
    <x v="0"/>
    <x v="4"/>
  </r>
  <r>
    <x v="38"/>
    <x v="0"/>
    <x v="0"/>
    <x v="10"/>
    <x v="0"/>
    <x v="0"/>
    <x v="4"/>
  </r>
  <r>
    <x v="38"/>
    <x v="0"/>
    <x v="0"/>
    <x v="13"/>
    <x v="1"/>
    <x v="3"/>
    <x v="4"/>
  </r>
  <r>
    <x v="38"/>
    <x v="0"/>
    <x v="0"/>
    <x v="11"/>
    <x v="1"/>
    <x v="1"/>
    <x v="4"/>
  </r>
  <r>
    <x v="38"/>
    <x v="0"/>
    <x v="0"/>
    <x v="12"/>
    <x v="0"/>
    <x v="2"/>
    <x v="4"/>
  </r>
  <r>
    <x v="38"/>
    <x v="0"/>
    <x v="0"/>
    <x v="14"/>
    <x v="0"/>
    <x v="4"/>
    <x v="4"/>
  </r>
  <r>
    <x v="8"/>
    <x v="1"/>
    <x v="3"/>
    <x v="9"/>
    <x v="7"/>
    <x v="0"/>
    <x v="8"/>
  </r>
  <r>
    <x v="8"/>
    <x v="1"/>
    <x v="3"/>
    <x v="2"/>
    <x v="1"/>
    <x v="0"/>
    <x v="8"/>
  </r>
  <r>
    <x v="8"/>
    <x v="1"/>
    <x v="3"/>
    <x v="1"/>
    <x v="2"/>
    <x v="0"/>
    <x v="8"/>
  </r>
  <r>
    <x v="8"/>
    <x v="1"/>
    <x v="3"/>
    <x v="0"/>
    <x v="0"/>
    <x v="0"/>
    <x v="8"/>
  </r>
  <r>
    <x v="8"/>
    <x v="1"/>
    <x v="3"/>
    <x v="7"/>
    <x v="0"/>
    <x v="0"/>
    <x v="8"/>
  </r>
  <r>
    <x v="8"/>
    <x v="1"/>
    <x v="3"/>
    <x v="5"/>
    <x v="0"/>
    <x v="0"/>
    <x v="8"/>
  </r>
  <r>
    <x v="8"/>
    <x v="1"/>
    <x v="3"/>
    <x v="6"/>
    <x v="0"/>
    <x v="0"/>
    <x v="8"/>
  </r>
  <r>
    <x v="8"/>
    <x v="1"/>
    <x v="3"/>
    <x v="8"/>
    <x v="0"/>
    <x v="0"/>
    <x v="8"/>
  </r>
  <r>
    <x v="8"/>
    <x v="1"/>
    <x v="3"/>
    <x v="4"/>
    <x v="0"/>
    <x v="0"/>
    <x v="8"/>
  </r>
  <r>
    <x v="8"/>
    <x v="1"/>
    <x v="3"/>
    <x v="3"/>
    <x v="0"/>
    <x v="0"/>
    <x v="8"/>
  </r>
  <r>
    <x v="8"/>
    <x v="1"/>
    <x v="3"/>
    <x v="15"/>
    <x v="8"/>
    <x v="0"/>
    <x v="8"/>
  </r>
  <r>
    <x v="8"/>
    <x v="1"/>
    <x v="3"/>
    <x v="17"/>
    <x v="0"/>
    <x v="0"/>
    <x v="8"/>
  </r>
  <r>
    <x v="8"/>
    <x v="1"/>
    <x v="3"/>
    <x v="16"/>
    <x v="1"/>
    <x v="0"/>
    <x v="8"/>
  </r>
  <r>
    <x v="8"/>
    <x v="1"/>
    <x v="3"/>
    <x v="10"/>
    <x v="0"/>
    <x v="0"/>
    <x v="8"/>
  </r>
  <r>
    <x v="8"/>
    <x v="1"/>
    <x v="3"/>
    <x v="13"/>
    <x v="0"/>
    <x v="3"/>
    <x v="8"/>
  </r>
  <r>
    <x v="8"/>
    <x v="1"/>
    <x v="3"/>
    <x v="11"/>
    <x v="0"/>
    <x v="1"/>
    <x v="8"/>
  </r>
  <r>
    <x v="8"/>
    <x v="1"/>
    <x v="3"/>
    <x v="12"/>
    <x v="1"/>
    <x v="2"/>
    <x v="8"/>
  </r>
  <r>
    <x v="8"/>
    <x v="1"/>
    <x v="3"/>
    <x v="14"/>
    <x v="0"/>
    <x v="4"/>
    <x v="8"/>
  </r>
  <r>
    <x v="9"/>
    <x v="1"/>
    <x v="3"/>
    <x v="9"/>
    <x v="3"/>
    <x v="0"/>
    <x v="8"/>
  </r>
  <r>
    <x v="9"/>
    <x v="1"/>
    <x v="3"/>
    <x v="2"/>
    <x v="2"/>
    <x v="0"/>
    <x v="8"/>
  </r>
  <r>
    <x v="9"/>
    <x v="1"/>
    <x v="3"/>
    <x v="1"/>
    <x v="2"/>
    <x v="0"/>
    <x v="8"/>
  </r>
  <r>
    <x v="9"/>
    <x v="1"/>
    <x v="3"/>
    <x v="0"/>
    <x v="0"/>
    <x v="0"/>
    <x v="8"/>
  </r>
  <r>
    <x v="9"/>
    <x v="1"/>
    <x v="3"/>
    <x v="7"/>
    <x v="0"/>
    <x v="0"/>
    <x v="8"/>
  </r>
  <r>
    <x v="9"/>
    <x v="1"/>
    <x v="3"/>
    <x v="5"/>
    <x v="0"/>
    <x v="0"/>
    <x v="8"/>
  </r>
  <r>
    <x v="9"/>
    <x v="1"/>
    <x v="3"/>
    <x v="6"/>
    <x v="0"/>
    <x v="0"/>
    <x v="8"/>
  </r>
  <r>
    <x v="9"/>
    <x v="1"/>
    <x v="3"/>
    <x v="8"/>
    <x v="0"/>
    <x v="0"/>
    <x v="8"/>
  </r>
  <r>
    <x v="9"/>
    <x v="1"/>
    <x v="3"/>
    <x v="4"/>
    <x v="0"/>
    <x v="0"/>
    <x v="8"/>
  </r>
  <r>
    <x v="9"/>
    <x v="1"/>
    <x v="3"/>
    <x v="3"/>
    <x v="0"/>
    <x v="0"/>
    <x v="8"/>
  </r>
  <r>
    <x v="9"/>
    <x v="1"/>
    <x v="3"/>
    <x v="15"/>
    <x v="7"/>
    <x v="0"/>
    <x v="8"/>
  </r>
  <r>
    <x v="9"/>
    <x v="1"/>
    <x v="3"/>
    <x v="17"/>
    <x v="0"/>
    <x v="0"/>
    <x v="8"/>
  </r>
  <r>
    <x v="9"/>
    <x v="1"/>
    <x v="3"/>
    <x v="16"/>
    <x v="2"/>
    <x v="0"/>
    <x v="8"/>
  </r>
  <r>
    <x v="9"/>
    <x v="1"/>
    <x v="3"/>
    <x v="10"/>
    <x v="0"/>
    <x v="0"/>
    <x v="8"/>
  </r>
  <r>
    <x v="9"/>
    <x v="1"/>
    <x v="3"/>
    <x v="13"/>
    <x v="2"/>
    <x v="3"/>
    <x v="8"/>
  </r>
  <r>
    <x v="9"/>
    <x v="1"/>
    <x v="3"/>
    <x v="11"/>
    <x v="1"/>
    <x v="1"/>
    <x v="8"/>
  </r>
  <r>
    <x v="9"/>
    <x v="1"/>
    <x v="3"/>
    <x v="12"/>
    <x v="3"/>
    <x v="2"/>
    <x v="8"/>
  </r>
  <r>
    <x v="9"/>
    <x v="1"/>
    <x v="3"/>
    <x v="14"/>
    <x v="1"/>
    <x v="4"/>
    <x v="8"/>
  </r>
  <r>
    <x v="23"/>
    <x v="1"/>
    <x v="6"/>
    <x v="9"/>
    <x v="3"/>
    <x v="0"/>
    <x v="8"/>
  </r>
  <r>
    <x v="23"/>
    <x v="1"/>
    <x v="6"/>
    <x v="2"/>
    <x v="1"/>
    <x v="0"/>
    <x v="8"/>
  </r>
  <r>
    <x v="23"/>
    <x v="1"/>
    <x v="6"/>
    <x v="1"/>
    <x v="2"/>
    <x v="0"/>
    <x v="8"/>
  </r>
  <r>
    <x v="23"/>
    <x v="1"/>
    <x v="6"/>
    <x v="0"/>
    <x v="0"/>
    <x v="0"/>
    <x v="8"/>
  </r>
  <r>
    <x v="23"/>
    <x v="1"/>
    <x v="6"/>
    <x v="7"/>
    <x v="0"/>
    <x v="0"/>
    <x v="8"/>
  </r>
  <r>
    <x v="23"/>
    <x v="1"/>
    <x v="6"/>
    <x v="5"/>
    <x v="0"/>
    <x v="0"/>
    <x v="8"/>
  </r>
  <r>
    <x v="23"/>
    <x v="1"/>
    <x v="6"/>
    <x v="6"/>
    <x v="0"/>
    <x v="0"/>
    <x v="8"/>
  </r>
  <r>
    <x v="23"/>
    <x v="1"/>
    <x v="6"/>
    <x v="8"/>
    <x v="0"/>
    <x v="0"/>
    <x v="8"/>
  </r>
  <r>
    <x v="23"/>
    <x v="1"/>
    <x v="6"/>
    <x v="4"/>
    <x v="0"/>
    <x v="0"/>
    <x v="8"/>
  </r>
  <r>
    <x v="23"/>
    <x v="1"/>
    <x v="6"/>
    <x v="3"/>
    <x v="0"/>
    <x v="0"/>
    <x v="8"/>
  </r>
  <r>
    <x v="23"/>
    <x v="1"/>
    <x v="6"/>
    <x v="15"/>
    <x v="7"/>
    <x v="0"/>
    <x v="8"/>
  </r>
  <r>
    <x v="23"/>
    <x v="1"/>
    <x v="6"/>
    <x v="17"/>
    <x v="0"/>
    <x v="0"/>
    <x v="8"/>
  </r>
  <r>
    <x v="23"/>
    <x v="1"/>
    <x v="6"/>
    <x v="16"/>
    <x v="2"/>
    <x v="0"/>
    <x v="8"/>
  </r>
  <r>
    <x v="23"/>
    <x v="1"/>
    <x v="6"/>
    <x v="10"/>
    <x v="0"/>
    <x v="0"/>
    <x v="8"/>
  </r>
  <r>
    <x v="23"/>
    <x v="1"/>
    <x v="6"/>
    <x v="13"/>
    <x v="2"/>
    <x v="3"/>
    <x v="8"/>
  </r>
  <r>
    <x v="23"/>
    <x v="1"/>
    <x v="6"/>
    <x v="11"/>
    <x v="0"/>
    <x v="1"/>
    <x v="8"/>
  </r>
  <r>
    <x v="23"/>
    <x v="1"/>
    <x v="6"/>
    <x v="12"/>
    <x v="2"/>
    <x v="2"/>
    <x v="8"/>
  </r>
  <r>
    <x v="23"/>
    <x v="1"/>
    <x v="6"/>
    <x v="14"/>
    <x v="0"/>
    <x v="4"/>
    <x v="8"/>
  </r>
  <r>
    <x v="38"/>
    <x v="0"/>
    <x v="0"/>
    <x v="9"/>
    <x v="0"/>
    <x v="0"/>
    <x v="8"/>
  </r>
  <r>
    <x v="38"/>
    <x v="0"/>
    <x v="0"/>
    <x v="2"/>
    <x v="1"/>
    <x v="0"/>
    <x v="8"/>
  </r>
  <r>
    <x v="38"/>
    <x v="0"/>
    <x v="0"/>
    <x v="1"/>
    <x v="0"/>
    <x v="0"/>
    <x v="8"/>
  </r>
  <r>
    <x v="38"/>
    <x v="0"/>
    <x v="0"/>
    <x v="0"/>
    <x v="0"/>
    <x v="0"/>
    <x v="8"/>
  </r>
  <r>
    <x v="38"/>
    <x v="0"/>
    <x v="0"/>
    <x v="7"/>
    <x v="0"/>
    <x v="0"/>
    <x v="8"/>
  </r>
  <r>
    <x v="38"/>
    <x v="0"/>
    <x v="0"/>
    <x v="5"/>
    <x v="0"/>
    <x v="0"/>
    <x v="8"/>
  </r>
  <r>
    <x v="38"/>
    <x v="0"/>
    <x v="0"/>
    <x v="6"/>
    <x v="0"/>
    <x v="0"/>
    <x v="8"/>
  </r>
  <r>
    <x v="38"/>
    <x v="0"/>
    <x v="0"/>
    <x v="8"/>
    <x v="0"/>
    <x v="0"/>
    <x v="8"/>
  </r>
  <r>
    <x v="38"/>
    <x v="0"/>
    <x v="0"/>
    <x v="4"/>
    <x v="0"/>
    <x v="0"/>
    <x v="8"/>
  </r>
  <r>
    <x v="38"/>
    <x v="0"/>
    <x v="0"/>
    <x v="3"/>
    <x v="0"/>
    <x v="0"/>
    <x v="8"/>
  </r>
  <r>
    <x v="38"/>
    <x v="0"/>
    <x v="0"/>
    <x v="15"/>
    <x v="1"/>
    <x v="0"/>
    <x v="8"/>
  </r>
  <r>
    <x v="38"/>
    <x v="0"/>
    <x v="0"/>
    <x v="17"/>
    <x v="0"/>
    <x v="0"/>
    <x v="8"/>
  </r>
  <r>
    <x v="38"/>
    <x v="0"/>
    <x v="0"/>
    <x v="16"/>
    <x v="0"/>
    <x v="0"/>
    <x v="8"/>
  </r>
  <r>
    <x v="38"/>
    <x v="0"/>
    <x v="0"/>
    <x v="10"/>
    <x v="0"/>
    <x v="0"/>
    <x v="8"/>
  </r>
  <r>
    <x v="38"/>
    <x v="0"/>
    <x v="0"/>
    <x v="13"/>
    <x v="1"/>
    <x v="3"/>
    <x v="8"/>
  </r>
  <r>
    <x v="38"/>
    <x v="0"/>
    <x v="0"/>
    <x v="11"/>
    <x v="0"/>
    <x v="1"/>
    <x v="8"/>
  </r>
  <r>
    <x v="38"/>
    <x v="0"/>
    <x v="0"/>
    <x v="12"/>
    <x v="0"/>
    <x v="2"/>
    <x v="8"/>
  </r>
  <r>
    <x v="38"/>
    <x v="0"/>
    <x v="0"/>
    <x v="14"/>
    <x v="0"/>
    <x v="4"/>
    <x v="8"/>
  </r>
  <r>
    <x v="13"/>
    <x v="1"/>
    <x v="2"/>
    <x v="9"/>
    <x v="4"/>
    <x v="0"/>
    <x v="0"/>
  </r>
  <r>
    <x v="13"/>
    <x v="1"/>
    <x v="2"/>
    <x v="2"/>
    <x v="1"/>
    <x v="0"/>
    <x v="0"/>
  </r>
  <r>
    <x v="13"/>
    <x v="1"/>
    <x v="2"/>
    <x v="1"/>
    <x v="2"/>
    <x v="0"/>
    <x v="0"/>
  </r>
  <r>
    <x v="13"/>
    <x v="1"/>
    <x v="2"/>
    <x v="0"/>
    <x v="0"/>
    <x v="0"/>
    <x v="0"/>
  </r>
  <r>
    <x v="13"/>
    <x v="1"/>
    <x v="2"/>
    <x v="7"/>
    <x v="0"/>
    <x v="0"/>
    <x v="0"/>
  </r>
  <r>
    <x v="13"/>
    <x v="1"/>
    <x v="2"/>
    <x v="5"/>
    <x v="0"/>
    <x v="0"/>
    <x v="0"/>
  </r>
  <r>
    <x v="13"/>
    <x v="1"/>
    <x v="2"/>
    <x v="6"/>
    <x v="0"/>
    <x v="0"/>
    <x v="0"/>
  </r>
  <r>
    <x v="13"/>
    <x v="1"/>
    <x v="2"/>
    <x v="8"/>
    <x v="0"/>
    <x v="0"/>
    <x v="0"/>
  </r>
  <r>
    <x v="13"/>
    <x v="1"/>
    <x v="2"/>
    <x v="4"/>
    <x v="0"/>
    <x v="0"/>
    <x v="0"/>
  </r>
  <r>
    <x v="13"/>
    <x v="1"/>
    <x v="2"/>
    <x v="3"/>
    <x v="0"/>
    <x v="0"/>
    <x v="0"/>
  </r>
  <r>
    <x v="13"/>
    <x v="1"/>
    <x v="2"/>
    <x v="15"/>
    <x v="7"/>
    <x v="0"/>
    <x v="0"/>
  </r>
  <r>
    <x v="13"/>
    <x v="1"/>
    <x v="2"/>
    <x v="17"/>
    <x v="0"/>
    <x v="0"/>
    <x v="0"/>
  </r>
  <r>
    <x v="13"/>
    <x v="1"/>
    <x v="2"/>
    <x v="16"/>
    <x v="1"/>
    <x v="0"/>
    <x v="0"/>
  </r>
  <r>
    <x v="13"/>
    <x v="1"/>
    <x v="2"/>
    <x v="10"/>
    <x v="0"/>
    <x v="0"/>
    <x v="0"/>
  </r>
  <r>
    <x v="13"/>
    <x v="1"/>
    <x v="2"/>
    <x v="13"/>
    <x v="1"/>
    <x v="3"/>
    <x v="0"/>
  </r>
  <r>
    <x v="13"/>
    <x v="1"/>
    <x v="2"/>
    <x v="11"/>
    <x v="0"/>
    <x v="1"/>
    <x v="0"/>
  </r>
  <r>
    <x v="13"/>
    <x v="1"/>
    <x v="2"/>
    <x v="12"/>
    <x v="0"/>
    <x v="2"/>
    <x v="0"/>
  </r>
  <r>
    <x v="13"/>
    <x v="1"/>
    <x v="2"/>
    <x v="14"/>
    <x v="0"/>
    <x v="4"/>
    <x v="0"/>
  </r>
  <r>
    <x v="38"/>
    <x v="0"/>
    <x v="0"/>
    <x v="9"/>
    <x v="1"/>
    <x v="0"/>
    <x v="0"/>
  </r>
  <r>
    <x v="38"/>
    <x v="0"/>
    <x v="0"/>
    <x v="2"/>
    <x v="0"/>
    <x v="0"/>
    <x v="0"/>
  </r>
  <r>
    <x v="38"/>
    <x v="0"/>
    <x v="0"/>
    <x v="1"/>
    <x v="0"/>
    <x v="0"/>
    <x v="0"/>
  </r>
  <r>
    <x v="38"/>
    <x v="0"/>
    <x v="0"/>
    <x v="0"/>
    <x v="0"/>
    <x v="0"/>
    <x v="0"/>
  </r>
  <r>
    <x v="38"/>
    <x v="0"/>
    <x v="0"/>
    <x v="7"/>
    <x v="0"/>
    <x v="0"/>
    <x v="0"/>
  </r>
  <r>
    <x v="38"/>
    <x v="0"/>
    <x v="0"/>
    <x v="5"/>
    <x v="0"/>
    <x v="0"/>
    <x v="0"/>
  </r>
  <r>
    <x v="38"/>
    <x v="0"/>
    <x v="0"/>
    <x v="6"/>
    <x v="0"/>
    <x v="0"/>
    <x v="0"/>
  </r>
  <r>
    <x v="38"/>
    <x v="0"/>
    <x v="0"/>
    <x v="8"/>
    <x v="0"/>
    <x v="0"/>
    <x v="0"/>
  </r>
  <r>
    <x v="38"/>
    <x v="0"/>
    <x v="0"/>
    <x v="4"/>
    <x v="0"/>
    <x v="0"/>
    <x v="0"/>
  </r>
  <r>
    <x v="38"/>
    <x v="0"/>
    <x v="0"/>
    <x v="3"/>
    <x v="0"/>
    <x v="0"/>
    <x v="0"/>
  </r>
  <r>
    <x v="38"/>
    <x v="0"/>
    <x v="0"/>
    <x v="15"/>
    <x v="1"/>
    <x v="0"/>
    <x v="0"/>
  </r>
  <r>
    <x v="38"/>
    <x v="0"/>
    <x v="0"/>
    <x v="17"/>
    <x v="0"/>
    <x v="0"/>
    <x v="0"/>
  </r>
  <r>
    <x v="38"/>
    <x v="0"/>
    <x v="0"/>
    <x v="16"/>
    <x v="1"/>
    <x v="0"/>
    <x v="0"/>
  </r>
  <r>
    <x v="38"/>
    <x v="0"/>
    <x v="0"/>
    <x v="10"/>
    <x v="0"/>
    <x v="0"/>
    <x v="0"/>
  </r>
  <r>
    <x v="38"/>
    <x v="0"/>
    <x v="0"/>
    <x v="13"/>
    <x v="0"/>
    <x v="3"/>
    <x v="0"/>
  </r>
  <r>
    <x v="38"/>
    <x v="0"/>
    <x v="0"/>
    <x v="11"/>
    <x v="0"/>
    <x v="1"/>
    <x v="0"/>
  </r>
  <r>
    <x v="38"/>
    <x v="0"/>
    <x v="0"/>
    <x v="12"/>
    <x v="0"/>
    <x v="2"/>
    <x v="0"/>
  </r>
  <r>
    <x v="38"/>
    <x v="0"/>
    <x v="0"/>
    <x v="14"/>
    <x v="0"/>
    <x v="4"/>
    <x v="0"/>
  </r>
  <r>
    <x v="14"/>
    <x v="1"/>
    <x v="2"/>
    <x v="9"/>
    <x v="4"/>
    <x v="0"/>
    <x v="7"/>
  </r>
  <r>
    <x v="14"/>
    <x v="1"/>
    <x v="2"/>
    <x v="2"/>
    <x v="1"/>
    <x v="0"/>
    <x v="7"/>
  </r>
  <r>
    <x v="14"/>
    <x v="1"/>
    <x v="2"/>
    <x v="1"/>
    <x v="2"/>
    <x v="0"/>
    <x v="7"/>
  </r>
  <r>
    <x v="14"/>
    <x v="1"/>
    <x v="2"/>
    <x v="0"/>
    <x v="0"/>
    <x v="0"/>
    <x v="7"/>
  </r>
  <r>
    <x v="14"/>
    <x v="1"/>
    <x v="2"/>
    <x v="7"/>
    <x v="0"/>
    <x v="0"/>
    <x v="7"/>
  </r>
  <r>
    <x v="14"/>
    <x v="1"/>
    <x v="2"/>
    <x v="5"/>
    <x v="0"/>
    <x v="0"/>
    <x v="7"/>
  </r>
  <r>
    <x v="14"/>
    <x v="1"/>
    <x v="2"/>
    <x v="6"/>
    <x v="0"/>
    <x v="0"/>
    <x v="7"/>
  </r>
  <r>
    <x v="14"/>
    <x v="1"/>
    <x v="2"/>
    <x v="8"/>
    <x v="0"/>
    <x v="0"/>
    <x v="7"/>
  </r>
  <r>
    <x v="14"/>
    <x v="1"/>
    <x v="2"/>
    <x v="4"/>
    <x v="0"/>
    <x v="0"/>
    <x v="7"/>
  </r>
  <r>
    <x v="14"/>
    <x v="1"/>
    <x v="2"/>
    <x v="3"/>
    <x v="0"/>
    <x v="0"/>
    <x v="7"/>
  </r>
  <r>
    <x v="14"/>
    <x v="1"/>
    <x v="2"/>
    <x v="15"/>
    <x v="6"/>
    <x v="0"/>
    <x v="7"/>
  </r>
  <r>
    <x v="14"/>
    <x v="1"/>
    <x v="2"/>
    <x v="17"/>
    <x v="0"/>
    <x v="0"/>
    <x v="7"/>
  </r>
  <r>
    <x v="14"/>
    <x v="1"/>
    <x v="2"/>
    <x v="16"/>
    <x v="1"/>
    <x v="0"/>
    <x v="7"/>
  </r>
  <r>
    <x v="14"/>
    <x v="1"/>
    <x v="2"/>
    <x v="10"/>
    <x v="0"/>
    <x v="0"/>
    <x v="7"/>
  </r>
  <r>
    <x v="14"/>
    <x v="1"/>
    <x v="2"/>
    <x v="13"/>
    <x v="0"/>
    <x v="3"/>
    <x v="7"/>
  </r>
  <r>
    <x v="14"/>
    <x v="1"/>
    <x v="2"/>
    <x v="11"/>
    <x v="0"/>
    <x v="1"/>
    <x v="7"/>
  </r>
  <r>
    <x v="14"/>
    <x v="1"/>
    <x v="2"/>
    <x v="12"/>
    <x v="2"/>
    <x v="2"/>
    <x v="7"/>
  </r>
  <r>
    <x v="14"/>
    <x v="1"/>
    <x v="2"/>
    <x v="14"/>
    <x v="1"/>
    <x v="4"/>
    <x v="7"/>
  </r>
  <r>
    <x v="38"/>
    <x v="0"/>
    <x v="0"/>
    <x v="9"/>
    <x v="0"/>
    <x v="0"/>
    <x v="7"/>
  </r>
  <r>
    <x v="38"/>
    <x v="0"/>
    <x v="0"/>
    <x v="2"/>
    <x v="0"/>
    <x v="0"/>
    <x v="7"/>
  </r>
  <r>
    <x v="38"/>
    <x v="0"/>
    <x v="0"/>
    <x v="1"/>
    <x v="0"/>
    <x v="0"/>
    <x v="7"/>
  </r>
  <r>
    <x v="38"/>
    <x v="0"/>
    <x v="0"/>
    <x v="0"/>
    <x v="0"/>
    <x v="0"/>
    <x v="7"/>
  </r>
  <r>
    <x v="38"/>
    <x v="0"/>
    <x v="0"/>
    <x v="7"/>
    <x v="0"/>
    <x v="0"/>
    <x v="7"/>
  </r>
  <r>
    <x v="38"/>
    <x v="0"/>
    <x v="0"/>
    <x v="5"/>
    <x v="0"/>
    <x v="0"/>
    <x v="7"/>
  </r>
  <r>
    <x v="38"/>
    <x v="0"/>
    <x v="0"/>
    <x v="6"/>
    <x v="0"/>
    <x v="0"/>
    <x v="7"/>
  </r>
  <r>
    <x v="38"/>
    <x v="0"/>
    <x v="0"/>
    <x v="8"/>
    <x v="0"/>
    <x v="0"/>
    <x v="7"/>
  </r>
  <r>
    <x v="38"/>
    <x v="0"/>
    <x v="0"/>
    <x v="4"/>
    <x v="0"/>
    <x v="0"/>
    <x v="7"/>
  </r>
  <r>
    <x v="38"/>
    <x v="0"/>
    <x v="0"/>
    <x v="3"/>
    <x v="0"/>
    <x v="0"/>
    <x v="7"/>
  </r>
  <r>
    <x v="38"/>
    <x v="0"/>
    <x v="0"/>
    <x v="15"/>
    <x v="1"/>
    <x v="0"/>
    <x v="7"/>
  </r>
  <r>
    <x v="38"/>
    <x v="0"/>
    <x v="0"/>
    <x v="17"/>
    <x v="0"/>
    <x v="0"/>
    <x v="7"/>
  </r>
  <r>
    <x v="38"/>
    <x v="0"/>
    <x v="0"/>
    <x v="16"/>
    <x v="0"/>
    <x v="0"/>
    <x v="7"/>
  </r>
  <r>
    <x v="38"/>
    <x v="0"/>
    <x v="0"/>
    <x v="10"/>
    <x v="0"/>
    <x v="0"/>
    <x v="7"/>
  </r>
  <r>
    <x v="38"/>
    <x v="0"/>
    <x v="0"/>
    <x v="13"/>
    <x v="0"/>
    <x v="3"/>
    <x v="7"/>
  </r>
  <r>
    <x v="38"/>
    <x v="0"/>
    <x v="0"/>
    <x v="11"/>
    <x v="0"/>
    <x v="1"/>
    <x v="7"/>
  </r>
  <r>
    <x v="38"/>
    <x v="0"/>
    <x v="0"/>
    <x v="12"/>
    <x v="0"/>
    <x v="2"/>
    <x v="7"/>
  </r>
  <r>
    <x v="38"/>
    <x v="0"/>
    <x v="0"/>
    <x v="14"/>
    <x v="0"/>
    <x v="4"/>
    <x v="7"/>
  </r>
  <r>
    <x v="15"/>
    <x v="1"/>
    <x v="2"/>
    <x v="9"/>
    <x v="3"/>
    <x v="0"/>
    <x v="9"/>
  </r>
  <r>
    <x v="15"/>
    <x v="1"/>
    <x v="2"/>
    <x v="2"/>
    <x v="1"/>
    <x v="0"/>
    <x v="9"/>
  </r>
  <r>
    <x v="15"/>
    <x v="1"/>
    <x v="2"/>
    <x v="1"/>
    <x v="2"/>
    <x v="0"/>
    <x v="9"/>
  </r>
  <r>
    <x v="15"/>
    <x v="1"/>
    <x v="2"/>
    <x v="0"/>
    <x v="0"/>
    <x v="0"/>
    <x v="9"/>
  </r>
  <r>
    <x v="15"/>
    <x v="1"/>
    <x v="2"/>
    <x v="7"/>
    <x v="0"/>
    <x v="0"/>
    <x v="9"/>
  </r>
  <r>
    <x v="15"/>
    <x v="1"/>
    <x v="2"/>
    <x v="5"/>
    <x v="0"/>
    <x v="0"/>
    <x v="9"/>
  </r>
  <r>
    <x v="15"/>
    <x v="1"/>
    <x v="2"/>
    <x v="6"/>
    <x v="0"/>
    <x v="0"/>
    <x v="9"/>
  </r>
  <r>
    <x v="15"/>
    <x v="1"/>
    <x v="2"/>
    <x v="8"/>
    <x v="0"/>
    <x v="0"/>
    <x v="9"/>
  </r>
  <r>
    <x v="15"/>
    <x v="1"/>
    <x v="2"/>
    <x v="4"/>
    <x v="0"/>
    <x v="0"/>
    <x v="9"/>
  </r>
  <r>
    <x v="15"/>
    <x v="1"/>
    <x v="2"/>
    <x v="3"/>
    <x v="0"/>
    <x v="0"/>
    <x v="9"/>
  </r>
  <r>
    <x v="15"/>
    <x v="1"/>
    <x v="2"/>
    <x v="15"/>
    <x v="8"/>
    <x v="0"/>
    <x v="9"/>
  </r>
  <r>
    <x v="15"/>
    <x v="1"/>
    <x v="2"/>
    <x v="17"/>
    <x v="0"/>
    <x v="0"/>
    <x v="9"/>
  </r>
  <r>
    <x v="15"/>
    <x v="1"/>
    <x v="2"/>
    <x v="16"/>
    <x v="2"/>
    <x v="0"/>
    <x v="9"/>
  </r>
  <r>
    <x v="15"/>
    <x v="1"/>
    <x v="2"/>
    <x v="10"/>
    <x v="0"/>
    <x v="0"/>
    <x v="9"/>
  </r>
  <r>
    <x v="15"/>
    <x v="1"/>
    <x v="2"/>
    <x v="13"/>
    <x v="0"/>
    <x v="3"/>
    <x v="9"/>
  </r>
  <r>
    <x v="15"/>
    <x v="1"/>
    <x v="2"/>
    <x v="11"/>
    <x v="0"/>
    <x v="1"/>
    <x v="9"/>
  </r>
  <r>
    <x v="15"/>
    <x v="1"/>
    <x v="2"/>
    <x v="12"/>
    <x v="1"/>
    <x v="2"/>
    <x v="9"/>
  </r>
  <r>
    <x v="15"/>
    <x v="1"/>
    <x v="2"/>
    <x v="14"/>
    <x v="1"/>
    <x v="4"/>
    <x v="9"/>
  </r>
  <r>
    <x v="38"/>
    <x v="0"/>
    <x v="0"/>
    <x v="9"/>
    <x v="0"/>
    <x v="0"/>
    <x v="9"/>
  </r>
  <r>
    <x v="38"/>
    <x v="0"/>
    <x v="0"/>
    <x v="2"/>
    <x v="0"/>
    <x v="0"/>
    <x v="9"/>
  </r>
  <r>
    <x v="38"/>
    <x v="0"/>
    <x v="0"/>
    <x v="1"/>
    <x v="0"/>
    <x v="0"/>
    <x v="9"/>
  </r>
  <r>
    <x v="38"/>
    <x v="0"/>
    <x v="0"/>
    <x v="0"/>
    <x v="0"/>
    <x v="0"/>
    <x v="9"/>
  </r>
  <r>
    <x v="38"/>
    <x v="0"/>
    <x v="0"/>
    <x v="7"/>
    <x v="0"/>
    <x v="0"/>
    <x v="9"/>
  </r>
  <r>
    <x v="38"/>
    <x v="0"/>
    <x v="0"/>
    <x v="5"/>
    <x v="0"/>
    <x v="0"/>
    <x v="9"/>
  </r>
  <r>
    <x v="38"/>
    <x v="0"/>
    <x v="0"/>
    <x v="6"/>
    <x v="0"/>
    <x v="0"/>
    <x v="9"/>
  </r>
  <r>
    <x v="38"/>
    <x v="0"/>
    <x v="0"/>
    <x v="8"/>
    <x v="0"/>
    <x v="0"/>
    <x v="9"/>
  </r>
  <r>
    <x v="38"/>
    <x v="0"/>
    <x v="0"/>
    <x v="4"/>
    <x v="0"/>
    <x v="0"/>
    <x v="9"/>
  </r>
  <r>
    <x v="38"/>
    <x v="0"/>
    <x v="0"/>
    <x v="3"/>
    <x v="0"/>
    <x v="0"/>
    <x v="9"/>
  </r>
  <r>
    <x v="38"/>
    <x v="0"/>
    <x v="0"/>
    <x v="15"/>
    <x v="0"/>
    <x v="0"/>
    <x v="9"/>
  </r>
  <r>
    <x v="38"/>
    <x v="0"/>
    <x v="0"/>
    <x v="17"/>
    <x v="0"/>
    <x v="0"/>
    <x v="9"/>
  </r>
  <r>
    <x v="38"/>
    <x v="0"/>
    <x v="0"/>
    <x v="16"/>
    <x v="0"/>
    <x v="0"/>
    <x v="9"/>
  </r>
  <r>
    <x v="38"/>
    <x v="0"/>
    <x v="0"/>
    <x v="10"/>
    <x v="0"/>
    <x v="0"/>
    <x v="9"/>
  </r>
  <r>
    <x v="38"/>
    <x v="0"/>
    <x v="0"/>
    <x v="13"/>
    <x v="0"/>
    <x v="3"/>
    <x v="9"/>
  </r>
  <r>
    <x v="38"/>
    <x v="0"/>
    <x v="0"/>
    <x v="11"/>
    <x v="0"/>
    <x v="1"/>
    <x v="9"/>
  </r>
  <r>
    <x v="38"/>
    <x v="0"/>
    <x v="0"/>
    <x v="12"/>
    <x v="0"/>
    <x v="2"/>
    <x v="9"/>
  </r>
  <r>
    <x v="38"/>
    <x v="0"/>
    <x v="0"/>
    <x v="14"/>
    <x v="0"/>
    <x v="4"/>
    <x v="9"/>
  </r>
  <r>
    <x v="16"/>
    <x v="1"/>
    <x v="2"/>
    <x v="9"/>
    <x v="3"/>
    <x v="0"/>
    <x v="2"/>
  </r>
  <r>
    <x v="16"/>
    <x v="1"/>
    <x v="2"/>
    <x v="2"/>
    <x v="0"/>
    <x v="0"/>
    <x v="2"/>
  </r>
  <r>
    <x v="16"/>
    <x v="1"/>
    <x v="2"/>
    <x v="1"/>
    <x v="2"/>
    <x v="0"/>
    <x v="2"/>
  </r>
  <r>
    <x v="16"/>
    <x v="1"/>
    <x v="2"/>
    <x v="0"/>
    <x v="0"/>
    <x v="0"/>
    <x v="2"/>
  </r>
  <r>
    <x v="16"/>
    <x v="1"/>
    <x v="2"/>
    <x v="7"/>
    <x v="0"/>
    <x v="0"/>
    <x v="2"/>
  </r>
  <r>
    <x v="16"/>
    <x v="1"/>
    <x v="2"/>
    <x v="5"/>
    <x v="0"/>
    <x v="0"/>
    <x v="2"/>
  </r>
  <r>
    <x v="16"/>
    <x v="1"/>
    <x v="2"/>
    <x v="6"/>
    <x v="0"/>
    <x v="0"/>
    <x v="2"/>
  </r>
  <r>
    <x v="16"/>
    <x v="1"/>
    <x v="2"/>
    <x v="8"/>
    <x v="0"/>
    <x v="0"/>
    <x v="2"/>
  </r>
  <r>
    <x v="16"/>
    <x v="1"/>
    <x v="2"/>
    <x v="4"/>
    <x v="0"/>
    <x v="0"/>
    <x v="2"/>
  </r>
  <r>
    <x v="16"/>
    <x v="1"/>
    <x v="2"/>
    <x v="3"/>
    <x v="0"/>
    <x v="0"/>
    <x v="2"/>
  </r>
  <r>
    <x v="16"/>
    <x v="1"/>
    <x v="2"/>
    <x v="15"/>
    <x v="7"/>
    <x v="0"/>
    <x v="2"/>
  </r>
  <r>
    <x v="16"/>
    <x v="1"/>
    <x v="2"/>
    <x v="17"/>
    <x v="0"/>
    <x v="0"/>
    <x v="2"/>
  </r>
  <r>
    <x v="16"/>
    <x v="1"/>
    <x v="2"/>
    <x v="16"/>
    <x v="0"/>
    <x v="0"/>
    <x v="2"/>
  </r>
  <r>
    <x v="16"/>
    <x v="1"/>
    <x v="2"/>
    <x v="10"/>
    <x v="0"/>
    <x v="0"/>
    <x v="2"/>
  </r>
  <r>
    <x v="16"/>
    <x v="1"/>
    <x v="2"/>
    <x v="13"/>
    <x v="3"/>
    <x v="3"/>
    <x v="2"/>
  </r>
  <r>
    <x v="16"/>
    <x v="1"/>
    <x v="2"/>
    <x v="11"/>
    <x v="0"/>
    <x v="1"/>
    <x v="2"/>
  </r>
  <r>
    <x v="16"/>
    <x v="1"/>
    <x v="2"/>
    <x v="12"/>
    <x v="1"/>
    <x v="2"/>
    <x v="2"/>
  </r>
  <r>
    <x v="16"/>
    <x v="1"/>
    <x v="2"/>
    <x v="14"/>
    <x v="0"/>
    <x v="4"/>
    <x v="2"/>
  </r>
  <r>
    <x v="37"/>
    <x v="0"/>
    <x v="0"/>
    <x v="9"/>
    <x v="1"/>
    <x v="0"/>
    <x v="2"/>
  </r>
  <r>
    <x v="37"/>
    <x v="0"/>
    <x v="0"/>
    <x v="2"/>
    <x v="0"/>
    <x v="0"/>
    <x v="2"/>
  </r>
  <r>
    <x v="37"/>
    <x v="0"/>
    <x v="0"/>
    <x v="1"/>
    <x v="0"/>
    <x v="0"/>
    <x v="2"/>
  </r>
  <r>
    <x v="37"/>
    <x v="0"/>
    <x v="0"/>
    <x v="0"/>
    <x v="0"/>
    <x v="0"/>
    <x v="2"/>
  </r>
  <r>
    <x v="37"/>
    <x v="0"/>
    <x v="0"/>
    <x v="7"/>
    <x v="0"/>
    <x v="0"/>
    <x v="2"/>
  </r>
  <r>
    <x v="37"/>
    <x v="0"/>
    <x v="0"/>
    <x v="5"/>
    <x v="0"/>
    <x v="0"/>
    <x v="2"/>
  </r>
  <r>
    <x v="37"/>
    <x v="0"/>
    <x v="0"/>
    <x v="6"/>
    <x v="0"/>
    <x v="0"/>
    <x v="2"/>
  </r>
  <r>
    <x v="37"/>
    <x v="0"/>
    <x v="0"/>
    <x v="8"/>
    <x v="0"/>
    <x v="0"/>
    <x v="2"/>
  </r>
  <r>
    <x v="37"/>
    <x v="0"/>
    <x v="0"/>
    <x v="4"/>
    <x v="0"/>
    <x v="0"/>
    <x v="2"/>
  </r>
  <r>
    <x v="37"/>
    <x v="0"/>
    <x v="0"/>
    <x v="3"/>
    <x v="0"/>
    <x v="0"/>
    <x v="2"/>
  </r>
  <r>
    <x v="37"/>
    <x v="0"/>
    <x v="0"/>
    <x v="15"/>
    <x v="1"/>
    <x v="0"/>
    <x v="2"/>
  </r>
  <r>
    <x v="37"/>
    <x v="0"/>
    <x v="0"/>
    <x v="17"/>
    <x v="0"/>
    <x v="0"/>
    <x v="2"/>
  </r>
  <r>
    <x v="37"/>
    <x v="0"/>
    <x v="0"/>
    <x v="16"/>
    <x v="0"/>
    <x v="0"/>
    <x v="2"/>
  </r>
  <r>
    <x v="37"/>
    <x v="0"/>
    <x v="0"/>
    <x v="10"/>
    <x v="0"/>
    <x v="0"/>
    <x v="2"/>
  </r>
  <r>
    <x v="37"/>
    <x v="0"/>
    <x v="0"/>
    <x v="13"/>
    <x v="0"/>
    <x v="3"/>
    <x v="2"/>
  </r>
  <r>
    <x v="37"/>
    <x v="0"/>
    <x v="0"/>
    <x v="11"/>
    <x v="0"/>
    <x v="1"/>
    <x v="2"/>
  </r>
  <r>
    <x v="37"/>
    <x v="0"/>
    <x v="0"/>
    <x v="12"/>
    <x v="0"/>
    <x v="2"/>
    <x v="2"/>
  </r>
  <r>
    <x v="37"/>
    <x v="0"/>
    <x v="0"/>
    <x v="14"/>
    <x v="0"/>
    <x v="4"/>
    <x v="2"/>
  </r>
  <r>
    <x v="18"/>
    <x v="1"/>
    <x v="2"/>
    <x v="9"/>
    <x v="6"/>
    <x v="0"/>
    <x v="3"/>
  </r>
  <r>
    <x v="18"/>
    <x v="1"/>
    <x v="2"/>
    <x v="2"/>
    <x v="1"/>
    <x v="0"/>
    <x v="3"/>
  </r>
  <r>
    <x v="18"/>
    <x v="1"/>
    <x v="2"/>
    <x v="1"/>
    <x v="2"/>
    <x v="0"/>
    <x v="3"/>
  </r>
  <r>
    <x v="18"/>
    <x v="1"/>
    <x v="2"/>
    <x v="0"/>
    <x v="0"/>
    <x v="0"/>
    <x v="3"/>
  </r>
  <r>
    <x v="18"/>
    <x v="1"/>
    <x v="2"/>
    <x v="7"/>
    <x v="0"/>
    <x v="0"/>
    <x v="3"/>
  </r>
  <r>
    <x v="18"/>
    <x v="1"/>
    <x v="2"/>
    <x v="5"/>
    <x v="0"/>
    <x v="0"/>
    <x v="3"/>
  </r>
  <r>
    <x v="18"/>
    <x v="1"/>
    <x v="2"/>
    <x v="6"/>
    <x v="0"/>
    <x v="0"/>
    <x v="3"/>
  </r>
  <r>
    <x v="18"/>
    <x v="1"/>
    <x v="2"/>
    <x v="8"/>
    <x v="0"/>
    <x v="0"/>
    <x v="3"/>
  </r>
  <r>
    <x v="18"/>
    <x v="1"/>
    <x v="2"/>
    <x v="4"/>
    <x v="0"/>
    <x v="0"/>
    <x v="3"/>
  </r>
  <r>
    <x v="18"/>
    <x v="1"/>
    <x v="2"/>
    <x v="3"/>
    <x v="0"/>
    <x v="0"/>
    <x v="3"/>
  </r>
  <r>
    <x v="18"/>
    <x v="1"/>
    <x v="2"/>
    <x v="15"/>
    <x v="7"/>
    <x v="0"/>
    <x v="3"/>
  </r>
  <r>
    <x v="18"/>
    <x v="1"/>
    <x v="2"/>
    <x v="17"/>
    <x v="0"/>
    <x v="0"/>
    <x v="3"/>
  </r>
  <r>
    <x v="18"/>
    <x v="1"/>
    <x v="2"/>
    <x v="16"/>
    <x v="2"/>
    <x v="0"/>
    <x v="3"/>
  </r>
  <r>
    <x v="18"/>
    <x v="1"/>
    <x v="2"/>
    <x v="10"/>
    <x v="0"/>
    <x v="0"/>
    <x v="3"/>
  </r>
  <r>
    <x v="18"/>
    <x v="1"/>
    <x v="2"/>
    <x v="13"/>
    <x v="0"/>
    <x v="3"/>
    <x v="3"/>
  </r>
  <r>
    <x v="18"/>
    <x v="1"/>
    <x v="2"/>
    <x v="11"/>
    <x v="0"/>
    <x v="1"/>
    <x v="3"/>
  </r>
  <r>
    <x v="18"/>
    <x v="1"/>
    <x v="2"/>
    <x v="12"/>
    <x v="0"/>
    <x v="2"/>
    <x v="3"/>
  </r>
  <r>
    <x v="18"/>
    <x v="1"/>
    <x v="2"/>
    <x v="14"/>
    <x v="0"/>
    <x v="4"/>
    <x v="3"/>
  </r>
  <r>
    <x v="38"/>
    <x v="0"/>
    <x v="0"/>
    <x v="9"/>
    <x v="0"/>
    <x v="0"/>
    <x v="3"/>
  </r>
  <r>
    <x v="38"/>
    <x v="0"/>
    <x v="0"/>
    <x v="2"/>
    <x v="0"/>
    <x v="0"/>
    <x v="3"/>
  </r>
  <r>
    <x v="38"/>
    <x v="0"/>
    <x v="0"/>
    <x v="1"/>
    <x v="0"/>
    <x v="0"/>
    <x v="3"/>
  </r>
  <r>
    <x v="38"/>
    <x v="0"/>
    <x v="0"/>
    <x v="0"/>
    <x v="0"/>
    <x v="0"/>
    <x v="3"/>
  </r>
  <r>
    <x v="38"/>
    <x v="0"/>
    <x v="0"/>
    <x v="7"/>
    <x v="0"/>
    <x v="0"/>
    <x v="3"/>
  </r>
  <r>
    <x v="38"/>
    <x v="0"/>
    <x v="0"/>
    <x v="5"/>
    <x v="0"/>
    <x v="0"/>
    <x v="3"/>
  </r>
  <r>
    <x v="38"/>
    <x v="0"/>
    <x v="0"/>
    <x v="6"/>
    <x v="0"/>
    <x v="0"/>
    <x v="3"/>
  </r>
  <r>
    <x v="38"/>
    <x v="0"/>
    <x v="0"/>
    <x v="8"/>
    <x v="0"/>
    <x v="0"/>
    <x v="3"/>
  </r>
  <r>
    <x v="38"/>
    <x v="0"/>
    <x v="0"/>
    <x v="4"/>
    <x v="0"/>
    <x v="0"/>
    <x v="3"/>
  </r>
  <r>
    <x v="38"/>
    <x v="0"/>
    <x v="0"/>
    <x v="3"/>
    <x v="0"/>
    <x v="0"/>
    <x v="3"/>
  </r>
  <r>
    <x v="38"/>
    <x v="0"/>
    <x v="0"/>
    <x v="15"/>
    <x v="1"/>
    <x v="0"/>
    <x v="3"/>
  </r>
  <r>
    <x v="38"/>
    <x v="0"/>
    <x v="0"/>
    <x v="17"/>
    <x v="0"/>
    <x v="0"/>
    <x v="3"/>
  </r>
  <r>
    <x v="38"/>
    <x v="0"/>
    <x v="0"/>
    <x v="16"/>
    <x v="0"/>
    <x v="0"/>
    <x v="3"/>
  </r>
  <r>
    <x v="38"/>
    <x v="0"/>
    <x v="0"/>
    <x v="10"/>
    <x v="0"/>
    <x v="0"/>
    <x v="3"/>
  </r>
  <r>
    <x v="38"/>
    <x v="0"/>
    <x v="0"/>
    <x v="13"/>
    <x v="0"/>
    <x v="3"/>
    <x v="3"/>
  </r>
  <r>
    <x v="38"/>
    <x v="0"/>
    <x v="0"/>
    <x v="11"/>
    <x v="1"/>
    <x v="1"/>
    <x v="3"/>
  </r>
  <r>
    <x v="38"/>
    <x v="0"/>
    <x v="0"/>
    <x v="12"/>
    <x v="0"/>
    <x v="2"/>
    <x v="3"/>
  </r>
  <r>
    <x v="38"/>
    <x v="0"/>
    <x v="0"/>
    <x v="14"/>
    <x v="0"/>
    <x v="4"/>
    <x v="3"/>
  </r>
  <r>
    <x v="26"/>
    <x v="1"/>
    <x v="2"/>
    <x v="9"/>
    <x v="4"/>
    <x v="0"/>
    <x v="6"/>
  </r>
  <r>
    <x v="26"/>
    <x v="1"/>
    <x v="2"/>
    <x v="2"/>
    <x v="2"/>
    <x v="0"/>
    <x v="6"/>
  </r>
  <r>
    <x v="26"/>
    <x v="1"/>
    <x v="2"/>
    <x v="1"/>
    <x v="2"/>
    <x v="0"/>
    <x v="6"/>
  </r>
  <r>
    <x v="26"/>
    <x v="1"/>
    <x v="2"/>
    <x v="0"/>
    <x v="0"/>
    <x v="0"/>
    <x v="6"/>
  </r>
  <r>
    <x v="26"/>
    <x v="1"/>
    <x v="2"/>
    <x v="7"/>
    <x v="0"/>
    <x v="0"/>
    <x v="6"/>
  </r>
  <r>
    <x v="26"/>
    <x v="1"/>
    <x v="2"/>
    <x v="5"/>
    <x v="0"/>
    <x v="0"/>
    <x v="6"/>
  </r>
  <r>
    <x v="26"/>
    <x v="1"/>
    <x v="2"/>
    <x v="6"/>
    <x v="0"/>
    <x v="0"/>
    <x v="6"/>
  </r>
  <r>
    <x v="26"/>
    <x v="1"/>
    <x v="2"/>
    <x v="8"/>
    <x v="0"/>
    <x v="0"/>
    <x v="6"/>
  </r>
  <r>
    <x v="26"/>
    <x v="1"/>
    <x v="2"/>
    <x v="4"/>
    <x v="0"/>
    <x v="0"/>
    <x v="6"/>
  </r>
  <r>
    <x v="26"/>
    <x v="1"/>
    <x v="2"/>
    <x v="3"/>
    <x v="0"/>
    <x v="0"/>
    <x v="6"/>
  </r>
  <r>
    <x v="26"/>
    <x v="1"/>
    <x v="2"/>
    <x v="15"/>
    <x v="6"/>
    <x v="0"/>
    <x v="6"/>
  </r>
  <r>
    <x v="26"/>
    <x v="1"/>
    <x v="2"/>
    <x v="17"/>
    <x v="0"/>
    <x v="0"/>
    <x v="6"/>
  </r>
  <r>
    <x v="26"/>
    <x v="1"/>
    <x v="2"/>
    <x v="16"/>
    <x v="2"/>
    <x v="0"/>
    <x v="6"/>
  </r>
  <r>
    <x v="26"/>
    <x v="1"/>
    <x v="2"/>
    <x v="10"/>
    <x v="0"/>
    <x v="0"/>
    <x v="6"/>
  </r>
  <r>
    <x v="26"/>
    <x v="1"/>
    <x v="2"/>
    <x v="13"/>
    <x v="1"/>
    <x v="3"/>
    <x v="6"/>
  </r>
  <r>
    <x v="26"/>
    <x v="1"/>
    <x v="2"/>
    <x v="11"/>
    <x v="0"/>
    <x v="1"/>
    <x v="6"/>
  </r>
  <r>
    <x v="26"/>
    <x v="1"/>
    <x v="2"/>
    <x v="12"/>
    <x v="1"/>
    <x v="2"/>
    <x v="6"/>
  </r>
  <r>
    <x v="26"/>
    <x v="1"/>
    <x v="2"/>
    <x v="14"/>
    <x v="0"/>
    <x v="4"/>
    <x v="6"/>
  </r>
  <r>
    <x v="27"/>
    <x v="1"/>
    <x v="2"/>
    <x v="9"/>
    <x v="4"/>
    <x v="0"/>
    <x v="6"/>
  </r>
  <r>
    <x v="27"/>
    <x v="1"/>
    <x v="2"/>
    <x v="2"/>
    <x v="0"/>
    <x v="0"/>
    <x v="6"/>
  </r>
  <r>
    <x v="27"/>
    <x v="1"/>
    <x v="2"/>
    <x v="1"/>
    <x v="1"/>
    <x v="0"/>
    <x v="6"/>
  </r>
  <r>
    <x v="27"/>
    <x v="1"/>
    <x v="2"/>
    <x v="0"/>
    <x v="0"/>
    <x v="0"/>
    <x v="6"/>
  </r>
  <r>
    <x v="27"/>
    <x v="1"/>
    <x v="2"/>
    <x v="7"/>
    <x v="0"/>
    <x v="0"/>
    <x v="6"/>
  </r>
  <r>
    <x v="27"/>
    <x v="1"/>
    <x v="2"/>
    <x v="5"/>
    <x v="0"/>
    <x v="0"/>
    <x v="6"/>
  </r>
  <r>
    <x v="27"/>
    <x v="1"/>
    <x v="2"/>
    <x v="6"/>
    <x v="0"/>
    <x v="0"/>
    <x v="6"/>
  </r>
  <r>
    <x v="27"/>
    <x v="1"/>
    <x v="2"/>
    <x v="8"/>
    <x v="0"/>
    <x v="0"/>
    <x v="6"/>
  </r>
  <r>
    <x v="27"/>
    <x v="1"/>
    <x v="2"/>
    <x v="4"/>
    <x v="0"/>
    <x v="0"/>
    <x v="6"/>
  </r>
  <r>
    <x v="27"/>
    <x v="1"/>
    <x v="2"/>
    <x v="3"/>
    <x v="0"/>
    <x v="0"/>
    <x v="6"/>
  </r>
  <r>
    <x v="27"/>
    <x v="1"/>
    <x v="2"/>
    <x v="15"/>
    <x v="9"/>
    <x v="0"/>
    <x v="6"/>
  </r>
  <r>
    <x v="27"/>
    <x v="1"/>
    <x v="2"/>
    <x v="17"/>
    <x v="0"/>
    <x v="0"/>
    <x v="6"/>
  </r>
  <r>
    <x v="27"/>
    <x v="1"/>
    <x v="2"/>
    <x v="16"/>
    <x v="2"/>
    <x v="0"/>
    <x v="6"/>
  </r>
  <r>
    <x v="27"/>
    <x v="1"/>
    <x v="2"/>
    <x v="10"/>
    <x v="0"/>
    <x v="0"/>
    <x v="6"/>
  </r>
  <r>
    <x v="27"/>
    <x v="1"/>
    <x v="2"/>
    <x v="13"/>
    <x v="0"/>
    <x v="3"/>
    <x v="6"/>
  </r>
  <r>
    <x v="27"/>
    <x v="1"/>
    <x v="2"/>
    <x v="11"/>
    <x v="0"/>
    <x v="1"/>
    <x v="6"/>
  </r>
  <r>
    <x v="27"/>
    <x v="1"/>
    <x v="2"/>
    <x v="12"/>
    <x v="1"/>
    <x v="2"/>
    <x v="6"/>
  </r>
  <r>
    <x v="27"/>
    <x v="1"/>
    <x v="2"/>
    <x v="14"/>
    <x v="0"/>
    <x v="4"/>
    <x v="6"/>
  </r>
  <r>
    <x v="37"/>
    <x v="0"/>
    <x v="0"/>
    <x v="9"/>
    <x v="0"/>
    <x v="0"/>
    <x v="6"/>
  </r>
  <r>
    <x v="37"/>
    <x v="0"/>
    <x v="0"/>
    <x v="2"/>
    <x v="0"/>
    <x v="0"/>
    <x v="6"/>
  </r>
  <r>
    <x v="37"/>
    <x v="0"/>
    <x v="0"/>
    <x v="1"/>
    <x v="0"/>
    <x v="0"/>
    <x v="6"/>
  </r>
  <r>
    <x v="37"/>
    <x v="0"/>
    <x v="0"/>
    <x v="0"/>
    <x v="0"/>
    <x v="0"/>
    <x v="6"/>
  </r>
  <r>
    <x v="37"/>
    <x v="0"/>
    <x v="0"/>
    <x v="7"/>
    <x v="0"/>
    <x v="0"/>
    <x v="6"/>
  </r>
  <r>
    <x v="37"/>
    <x v="0"/>
    <x v="0"/>
    <x v="5"/>
    <x v="0"/>
    <x v="0"/>
    <x v="6"/>
  </r>
  <r>
    <x v="37"/>
    <x v="0"/>
    <x v="0"/>
    <x v="6"/>
    <x v="0"/>
    <x v="0"/>
    <x v="6"/>
  </r>
  <r>
    <x v="37"/>
    <x v="0"/>
    <x v="0"/>
    <x v="8"/>
    <x v="0"/>
    <x v="0"/>
    <x v="6"/>
  </r>
  <r>
    <x v="37"/>
    <x v="0"/>
    <x v="0"/>
    <x v="4"/>
    <x v="0"/>
    <x v="0"/>
    <x v="6"/>
  </r>
  <r>
    <x v="37"/>
    <x v="0"/>
    <x v="0"/>
    <x v="3"/>
    <x v="0"/>
    <x v="0"/>
    <x v="6"/>
  </r>
  <r>
    <x v="37"/>
    <x v="0"/>
    <x v="0"/>
    <x v="15"/>
    <x v="2"/>
    <x v="0"/>
    <x v="6"/>
  </r>
  <r>
    <x v="37"/>
    <x v="0"/>
    <x v="0"/>
    <x v="17"/>
    <x v="0"/>
    <x v="0"/>
    <x v="6"/>
  </r>
  <r>
    <x v="37"/>
    <x v="0"/>
    <x v="0"/>
    <x v="16"/>
    <x v="1"/>
    <x v="0"/>
    <x v="6"/>
  </r>
  <r>
    <x v="37"/>
    <x v="0"/>
    <x v="0"/>
    <x v="10"/>
    <x v="0"/>
    <x v="0"/>
    <x v="6"/>
  </r>
  <r>
    <x v="37"/>
    <x v="0"/>
    <x v="0"/>
    <x v="13"/>
    <x v="0"/>
    <x v="3"/>
    <x v="6"/>
  </r>
  <r>
    <x v="37"/>
    <x v="0"/>
    <x v="0"/>
    <x v="11"/>
    <x v="0"/>
    <x v="1"/>
    <x v="6"/>
  </r>
  <r>
    <x v="37"/>
    <x v="0"/>
    <x v="0"/>
    <x v="12"/>
    <x v="0"/>
    <x v="2"/>
    <x v="6"/>
  </r>
  <r>
    <x v="37"/>
    <x v="0"/>
    <x v="0"/>
    <x v="14"/>
    <x v="0"/>
    <x v="4"/>
    <x v="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Tabela dinâmica " cacheId="1" applyNumberFormats="0" applyBorderFormats="0" applyFontFormats="0" applyPatternFormats="0" applyAlignmentFormats="0" applyWidthHeightFormats="0" dataCaption="Values" itemPrintTitles="1" indent="0" compact="0" compactData="0">
  <location ref="A1:D129" firstHeaderRow="1" firstDataRow="2" firstDataCol="2"/>
  <pivotFields count="7">
    <pivotField compact="0" outline="0" showAll="0"/>
    <pivotField axis="axisCol" compact="0" outline="0" showAll="0">
      <items count="3">
        <item h="1" x="0"/>
        <item x="1"/>
        <item t="default"/>
      </items>
    </pivotField>
    <pivotField axis="axisRow" compact="0" outline="0" showAll="0">
      <items count="8">
        <item x="0"/>
        <item x="1"/>
        <item x="2"/>
        <item x="3"/>
        <item x="4"/>
        <item x="5"/>
        <item x="6"/>
        <item t="default"/>
      </items>
    </pivotField>
    <pivotField axis="axisRow" compact="0" outline="0" showAll="0">
      <items count="19">
        <item x="0"/>
        <item x="1"/>
        <item x="2"/>
        <item x="3"/>
        <item x="4"/>
        <item x="5"/>
        <item x="6"/>
        <item x="7"/>
        <item x="8"/>
        <item x="9"/>
        <item x="10"/>
        <item x="11"/>
        <item x="12"/>
        <item x="13"/>
        <item x="14"/>
        <item x="17"/>
        <item x="16"/>
        <item x="15"/>
        <item t="default"/>
      </items>
    </pivotField>
    <pivotField dataField="1" compact="0" outline="0" showAll="0"/>
    <pivotField compact="0" outline="0" showAll="0"/>
    <pivotField compact="0" outline="0" showAll="0"/>
  </pivotFields>
  <rowFields count="2">
    <field x="3"/>
    <field x="2"/>
  </rowFields>
  <rowItems count="127">
    <i>
      <x/>
    </i>
    <i>
      <x v="1"/>
    </i>
    <i>
      <x v="2"/>
    </i>
    <i>
      <x v="3"/>
    </i>
    <i>
      <x v="4"/>
    </i>
    <i>
      <x v="5"/>
    </i>
    <i>
      <x v="6"/>
    </i>
    <i>
      <x v="7"/>
    </i>
    <i>
      <x v="8"/>
    </i>
    <i>
      <x v="9"/>
    </i>
    <i>
      <x v="10"/>
    </i>
    <i>
      <x v="11"/>
    </i>
    <i>
      <x v="12"/>
    </i>
    <i>
      <x v="13"/>
    </i>
    <i>
      <x v="14"/>
    </i>
    <i>
      <x v="15"/>
    </i>
    <i>
      <x v="16"/>
    </i>
    <i>
      <x v="17"/>
    </i>
    <i>
      <x v="18"/>
    </i>
    <i>
      <x v="1048832"/>
    </i>
    <i>
      <x v="1048832"/>
    </i>
    <i>
      <x v="1048832"/>
    </i>
    <i>
      <x v="1048832"/>
    </i>
    <i>
      <x v="1048832"/>
    </i>
    <i>
      <x v="1048832"/>
    </i>
    <i>
      <x v="1048832"/>
    </i>
    <i>
      <x v="1048832"/>
    </i>
    <i>
      <x v="1048832"/>
    </i>
    <i>
      <x v="1048832"/>
    </i>
    <i>
      <x v="1048832"/>
    </i>
    <i>
      <x v="1048832"/>
    </i>
    <i>
      <x v="1048832"/>
    </i>
    <i>
      <x v="1048832"/>
    </i>
    <i>
      <x v="1048832"/>
    </i>
    <i>
      <x v="1048832"/>
    </i>
    <i>
      <x v="1048832"/>
    </i>
    <i>
      <x v="1048832"/>
    </i>
    <i>
      <x v="1048832"/>
    </i>
    <i>
      <x v="1048832"/>
    </i>
    <i>
      <x v="1048832"/>
    </i>
    <i>
      <x v="1048832"/>
    </i>
    <i>
      <x v="1048832"/>
    </i>
    <i>
      <x v="1048832"/>
    </i>
    <i>
      <x v="1048832"/>
    </i>
    <i>
      <x v="1048832"/>
    </i>
    <i>
      <x v="1048832"/>
    </i>
    <i>
      <x v="1048832"/>
    </i>
    <i>
      <x v="1048832"/>
    </i>
    <i>
      <x v="1048832"/>
    </i>
    <i>
      <x v="1048832"/>
    </i>
    <i>
      <x v="1048832"/>
    </i>
    <i>
      <x v="1048832"/>
    </i>
    <i>
      <x v="1048832"/>
    </i>
    <i>
      <x v="1048832"/>
    </i>
    <i>
      <x v="1048832"/>
    </i>
    <i>
      <x v="1048832"/>
    </i>
    <i>
      <x v="1048832"/>
    </i>
    <i>
      <x v="1048832"/>
    </i>
    <i>
      <x v="1048832"/>
    </i>
    <i>
      <x v="1048832"/>
    </i>
    <i>
      <x v="1048832"/>
    </i>
    <i>
      <x v="1048832"/>
    </i>
    <i>
      <x v="1048832"/>
    </i>
    <i>
      <x v="1048832"/>
    </i>
    <i>
      <x v="1048832"/>
    </i>
    <i>
      <x v="1048832"/>
    </i>
    <i>
      <x v="1048832"/>
    </i>
    <i>
      <x v="1048832"/>
    </i>
    <i>
      <x v="1048832"/>
    </i>
    <i>
      <x v="1048832"/>
    </i>
    <i>
      <x v="1048832"/>
    </i>
    <i>
      <x v="1048832"/>
    </i>
    <i>
      <x v="1048832"/>
    </i>
    <i>
      <x v="1048832"/>
    </i>
    <i>
      <x v="1048832"/>
    </i>
    <i>
      <x v="1048832"/>
    </i>
    <i>
      <x v="1048832"/>
    </i>
    <i>
      <x v="1048832"/>
    </i>
    <i>
      <x v="1048832"/>
    </i>
    <i>
      <x v="1048832"/>
    </i>
    <i>
      <x v="1048832"/>
    </i>
    <i>
      <x v="1048832"/>
    </i>
    <i>
      <x v="1048832"/>
    </i>
    <i>
      <x v="1048832"/>
    </i>
    <i>
      <x v="1048832"/>
    </i>
    <i>
      <x v="1048832"/>
    </i>
    <i>
      <x v="1048832"/>
    </i>
    <i>
      <x v="1048832"/>
    </i>
    <i>
      <x v="1048832"/>
    </i>
    <i>
      <x v="1048832"/>
    </i>
    <i>
      <x v="1048832"/>
    </i>
    <i>
      <x v="1048832"/>
    </i>
    <i>
      <x v="1048832"/>
    </i>
    <i>
      <x v="1048832"/>
    </i>
    <i>
      <x v="1048832"/>
    </i>
    <i>
      <x v="1048832"/>
    </i>
    <i>
      <x v="1048832"/>
    </i>
    <i>
      <x v="1048832"/>
    </i>
    <i>
      <x v="1048832"/>
    </i>
    <i>
      <x v="1048832"/>
    </i>
    <i>
      <x v="1048832"/>
    </i>
    <i>
      <x v="1048832"/>
    </i>
    <i>
      <x v="1048832"/>
    </i>
    <i>
      <x v="1048832"/>
    </i>
    <i>
      <x v="1048832"/>
    </i>
    <i>
      <x v="1048832"/>
    </i>
    <i>
      <x v="1048832"/>
    </i>
    <i>
      <x v="1048832"/>
    </i>
    <i>
      <x v="1048832"/>
    </i>
    <i>
      <x v="1048832"/>
    </i>
    <i>
      <x v="1048832"/>
    </i>
    <i>
      <x v="1048832"/>
    </i>
    <i>
      <x v="1048832"/>
    </i>
    <i>
      <x v="1048832"/>
    </i>
    <i>
      <x v="1048832"/>
    </i>
    <i>
      <x v="1048832"/>
    </i>
    <i>
      <x v="1048832"/>
    </i>
    <i>
      <x v="1048832"/>
    </i>
    <i>
      <x v="1048832"/>
    </i>
    <i>
      <x v="1048832"/>
    </i>
    <i>
      <x v="1048832"/>
    </i>
    <i>
      <x v="1048832"/>
    </i>
    <i>
      <x v="1048832"/>
    </i>
    <i>
      <x v="1048832"/>
    </i>
    <i>
      <x v="1048832"/>
    </i>
    <i>
      <x v="1048832"/>
    </i>
    <i t="grand">
      <x v="1048832"/>
    </i>
  </rowItems>
  <colFields count="1">
    <field x="1"/>
  </colFields>
  <colItems count="2">
    <i>
      <x/>
    </i>
    <i t="grand">
      <x v="1"/>
    </i>
  </colItems>
  <dataFields count="1">
    <dataField name="SUM of QUANTIDADE" fld="4" baseField="0" baseItem="0"/>
  </data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Tema do Office">
  <a:themeElements>
    <a:clrScheme name="Escritório">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majorFont>
      <a:minorFont>
        <a:latin typeface="Calibri"/>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a:gradFill>
        <a:gradFill>
          <a:gsLst>
            <a:gs pos="0">
              <a:schemeClr val="phClr">
                <a:shade val="51000"/>
              </a:schemeClr>
            </a:gs>
            <a:gs pos="80000">
              <a:schemeClr val="phClr">
                <a:shade val="93000"/>
              </a:schemeClr>
            </a:gs>
            <a:gs pos="100000">
              <a:schemeClr val="phClr">
                <a:shade val="94000"/>
              </a:schemeClr>
            </a:gs>
          </a:gsLst>
          <a:lin ang="16200000" scaled="0"/>
          <a:tileRect/>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a:gradFill>
        <a:gradFill>
          <a:gsLst>
            <a:gs pos="0">
              <a:schemeClr val="phClr">
                <a:tint val="80000"/>
              </a:schemeClr>
            </a:gs>
            <a:gs pos="100000">
              <a:schemeClr val="phClr">
                <a:shade val="30000"/>
              </a:schemeClr>
            </a:gs>
          </a:gsLst>
          <a:path path="circle">
            <a:fillToRect l="50000" t="50000" r="50000" b="50000"/>
          </a:path>
          <a:tileRect/>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0.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0.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4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3.xml"/></Relationships>
</file>

<file path=xl/worksheets/_rels/sheet4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7.xml.rels><?xml version="1.0" encoding="UTF-8" standalone="yes"?>
<Relationships xmlns="http://schemas.openxmlformats.org/package/2006/relationships"><Relationship Id="rId26" Type="http://schemas.openxmlformats.org/officeDocument/2006/relationships/hyperlink" Target="https://sei.trf5.jus.br/sei/controlador.php?acao=procedimento_trabalhar&amp;id_procedimento=2833705" TargetMode="External"/><Relationship Id="rId21" Type="http://schemas.openxmlformats.org/officeDocument/2006/relationships/hyperlink" Target="https://sei.trf5.jus.br/sei/controlador.php?acao=procedimento_trabalhar&amp;id_procedimento=2833705)" TargetMode="External"/><Relationship Id="rId42" Type="http://schemas.openxmlformats.org/officeDocument/2006/relationships/hyperlink" Target="https://sei.trf5.jus.br/sei/controlador.php?acao=procedimento_trabalhar&amp;id_procedimento=2807073" TargetMode="External"/><Relationship Id="rId47" Type="http://schemas.openxmlformats.org/officeDocument/2006/relationships/hyperlink" Target="https://sei.trf5.jus.br/sei/controlador.php?acao=procedimento_trabalhar&amp;id_procedimento=3373804" TargetMode="External"/><Relationship Id="rId63" Type="http://schemas.openxmlformats.org/officeDocument/2006/relationships/hyperlink" Target="https://sei.trf5.jus.br/sei/controlador.php?acao=procedimento_trabalhar&amp;id_procedimento=3489994" TargetMode="External"/><Relationship Id="rId68" Type="http://schemas.openxmlformats.org/officeDocument/2006/relationships/hyperlink" Target="https://sei.trf5.jus.br/sei/controlador.php?acao=procedimento_trabalhar&amp;id_procedimento=4123295" TargetMode="External"/><Relationship Id="rId16" Type="http://schemas.openxmlformats.org/officeDocument/2006/relationships/hyperlink" Target="https://sei.trf5.jus.br/sei/controlador.php?acao=procedimento_trabalhar&amp;id_procedimento=2833705)" TargetMode="External"/><Relationship Id="rId11" Type="http://schemas.openxmlformats.org/officeDocument/2006/relationships/hyperlink" Target="https://sei.trf5.jus.br/sei/controlador.php?acao=procedimento_trabalhar&amp;id_procedimento=2833705)" TargetMode="External"/><Relationship Id="rId24" Type="http://schemas.openxmlformats.org/officeDocument/2006/relationships/hyperlink" Target="https://sei.trf5.jus.br/sei/controlador.php?acao=procedimento_trabalhar&amp;id_procedimento=2833705" TargetMode="External"/><Relationship Id="rId32" Type="http://schemas.openxmlformats.org/officeDocument/2006/relationships/hyperlink" Target="https://sei.trf5.jus.br/sei/controlador.php?acao=procedimento_trabalhar&amp;id_procedimento=2969702" TargetMode="External"/><Relationship Id="rId37" Type="http://schemas.openxmlformats.org/officeDocument/2006/relationships/hyperlink" Target="https://sei.trf5.jus.br/sei/controlador.php?acao=procedimento_trabalhar&amp;id_procedimento=3068529" TargetMode="External"/><Relationship Id="rId40" Type="http://schemas.openxmlformats.org/officeDocument/2006/relationships/hyperlink" Target="https://sei.trf5.jus.br/sei/controlador.php?acao=procedimento_trabalhar&amp;id_procedimento=2942115" TargetMode="External"/><Relationship Id="rId45" Type="http://schemas.openxmlformats.org/officeDocument/2006/relationships/hyperlink" Target="https://sei.trf5.jus.br/sei/controlador.php?acao=procedimento_trabalhar&amp;id_procedimento=3473282" TargetMode="External"/><Relationship Id="rId53" Type="http://schemas.openxmlformats.org/officeDocument/2006/relationships/hyperlink" Target="https://sei.trf5.jus.br/sei/controlador.php?acao=procedimento_trabalhar&amp;id_procedimento=3554914" TargetMode="External"/><Relationship Id="rId58" Type="http://schemas.openxmlformats.org/officeDocument/2006/relationships/hyperlink" Target="https://sei.trf5.jus.br/sei/controlador.php?acao=procedimento_trabalhar&amp;id_procedimento=3770795" TargetMode="External"/><Relationship Id="rId66" Type="http://schemas.openxmlformats.org/officeDocument/2006/relationships/hyperlink" Target="https://sei.trf5.jus.br/sei/controlador.php?acao=procedimento_trabalhar&amp;id_procedimento=4133919" TargetMode="External"/><Relationship Id="rId74" Type="http://schemas.openxmlformats.org/officeDocument/2006/relationships/hyperlink" Target="https://sei.trf5.jus.br/sei/controlador.php?acao=procedimento_trabalhar&amp;id_procedimento=4170094" TargetMode="External"/><Relationship Id="rId5" Type="http://schemas.openxmlformats.org/officeDocument/2006/relationships/hyperlink" Target="https://sei.trf5.jus.br/sei/controlador.php?acao=procedimento_trabalhar&amp;id_procedimento=3547939" TargetMode="External"/><Relationship Id="rId61" Type="http://schemas.openxmlformats.org/officeDocument/2006/relationships/hyperlink" Target="https://sei.trf5.jus.br/sei/controlador.php?acao=procedimento_trabalhar&amp;acao_origem=acompanhamento_listar&amp;acao_retorno=acompanhamento_listar&amp;id_procedimento=3840408&amp;infra_sistema=100000100&amp;infra_unidade_atual=110001473&amp;infra_hash=31e6dc4c033b2e5a64896f679" TargetMode="External"/><Relationship Id="rId19" Type="http://schemas.openxmlformats.org/officeDocument/2006/relationships/hyperlink" Target="https://sei.trf5.jus.br/sei/controlador.php?acao=procedimento_trabalhar&amp;id_procedimento=2833705)" TargetMode="External"/><Relationship Id="rId14" Type="http://schemas.openxmlformats.org/officeDocument/2006/relationships/hyperlink" Target="https://sei.trf5.jus.br/sei/controlador.php?acao=procedimento_trabalhar&amp;id_procedimento=2833705)" TargetMode="External"/><Relationship Id="rId22" Type="http://schemas.openxmlformats.org/officeDocument/2006/relationships/hyperlink" Target="https://sei.trf5.jus.br/sei/controlador.php?acao=procedimento_trabalhar&amp;id_procedimento=2833705" TargetMode="External"/><Relationship Id="rId27" Type="http://schemas.openxmlformats.org/officeDocument/2006/relationships/hyperlink" Target="https://sei.trf5.jus.br/sei/controlador.php?acao=procedimento_trabalhar&amp;id_procedimento=2833705)" TargetMode="External"/><Relationship Id="rId30" Type="http://schemas.openxmlformats.org/officeDocument/2006/relationships/hyperlink" Target="https://sei.trf5.jus.br/sei/controlador.php?acao=procedimento_trabalhar&amp;id_procedimento=2833705" TargetMode="External"/><Relationship Id="rId35" Type="http://schemas.openxmlformats.org/officeDocument/2006/relationships/hyperlink" Target="https://sei.trf5.jus.br/sei/controlador.php?acao=procedimento_trabalhar&amp;id_procedimento=2643394" TargetMode="External"/><Relationship Id="rId43" Type="http://schemas.openxmlformats.org/officeDocument/2006/relationships/hyperlink" Target="https://sei.trf5.jus.br/sei/controlador.php?acao=procedimento_trabalhar&amp;id_procedimento=3547939" TargetMode="External"/><Relationship Id="rId48" Type="http://schemas.openxmlformats.org/officeDocument/2006/relationships/hyperlink" Target="https://sei.trf5.jus.br/sei/controlador.php?acao=procedimento_trabalhar&amp;id_procedimento=3529368" TargetMode="External"/><Relationship Id="rId56" Type="http://schemas.openxmlformats.org/officeDocument/2006/relationships/hyperlink" Target="https://sei.trf5.jus.br/sei/controlador.php?acao=procedimento_trabalhar&amp;id_procedimento=3483886" TargetMode="External"/><Relationship Id="rId64" Type="http://schemas.openxmlformats.org/officeDocument/2006/relationships/hyperlink" Target="https://sei.trf5.jus.br/sei/controlador.php?acao=procedimento_trabalhar&amp;id_procedimento=3850737" TargetMode="External"/><Relationship Id="rId69" Type="http://schemas.openxmlformats.org/officeDocument/2006/relationships/hyperlink" Target="https://sei.trf5.jus.br/sei/controlador.php?acao=procedimento_trabalhar&amp;id_procedimento=4111533" TargetMode="External"/><Relationship Id="rId77" Type="http://schemas.openxmlformats.org/officeDocument/2006/relationships/drawing" Target="../drawings/drawing1.xml"/><Relationship Id="rId8" Type="http://schemas.openxmlformats.org/officeDocument/2006/relationships/hyperlink" Target="https://sei.trf5.jus.br/sei/controlador.php?acao=procedimento_trabalhar&amp;id_procedimento=2942115" TargetMode="External"/><Relationship Id="rId51" Type="http://schemas.openxmlformats.org/officeDocument/2006/relationships/hyperlink" Target="https://sei.trf5.jus.br/sei/controlador.php?acao=procedimento_trabalhar&amp;id_procedimento=3547939" TargetMode="External"/><Relationship Id="rId72" Type="http://schemas.openxmlformats.org/officeDocument/2006/relationships/hyperlink" Target="https://sei.trf5.jus.br/sei/controlador.php?acao=procedimento_trabalhar&amp;id_procedimento=3874372" TargetMode="External"/><Relationship Id="rId3" Type="http://schemas.openxmlformats.org/officeDocument/2006/relationships/hyperlink" Target="https://sei.trf5.jus.br/sei/controlador.php?acao=procedimento_trabalhar&amp;id_procedimento=2833705)" TargetMode="External"/><Relationship Id="rId12" Type="http://schemas.openxmlformats.org/officeDocument/2006/relationships/hyperlink" Target="https://sei.trf5.jus.br/sei/controlador.php?acao=procedimento_trabalhar&amp;id_procedimento=2833705)" TargetMode="External"/><Relationship Id="rId17" Type="http://schemas.openxmlformats.org/officeDocument/2006/relationships/hyperlink" Target="https://sei.trf5.jus.br/sei/controlador.php?acao=procedimento_trabalhar&amp;id_procedimento=2689980" TargetMode="External"/><Relationship Id="rId25" Type="http://schemas.openxmlformats.org/officeDocument/2006/relationships/hyperlink" Target="https://sei.trf5.jus.br/sei/controlador.php?acao=procedimento_trabalhar&amp;id_procedimento=2833705)" TargetMode="External"/><Relationship Id="rId33" Type="http://schemas.openxmlformats.org/officeDocument/2006/relationships/hyperlink" Target="https://sei.trf5.jus.br/sei/controlador.php?acao=procedimento_trabalhar&amp;id_procedimento=2731766" TargetMode="External"/><Relationship Id="rId38" Type="http://schemas.openxmlformats.org/officeDocument/2006/relationships/hyperlink" Target="https://sei.trf5.jus.br/sei/controlador.php?acao=procedimento_trabalhar&amp;id_procedimento=3148721" TargetMode="External"/><Relationship Id="rId46" Type="http://schemas.openxmlformats.org/officeDocument/2006/relationships/hyperlink" Target="https://sei.trf5.jus.br/sei/controlador.php?acao=procedimento_trabalhar&amp;id_procedimento=3498719" TargetMode="External"/><Relationship Id="rId59" Type="http://schemas.openxmlformats.org/officeDocument/2006/relationships/hyperlink" Target="https://sei.trf5.jus.br/sei/controlador.php?acao=procedimento_trabalhar&amp;id_procedimento=3686296" TargetMode="External"/><Relationship Id="rId67" Type="http://schemas.openxmlformats.org/officeDocument/2006/relationships/hyperlink" Target="https://sei.trf5.jus.br/sei/controlador.php?acao=procedimento_trabalhar&amp;id_procedimento=4127269" TargetMode="External"/><Relationship Id="rId20" Type="http://schemas.openxmlformats.org/officeDocument/2006/relationships/hyperlink" Target="https://sei.trf5.jus.br/sei/controlador.php?acao=procedimento_trabalhar&amp;id_procedimento=2833705" TargetMode="External"/><Relationship Id="rId41" Type="http://schemas.openxmlformats.org/officeDocument/2006/relationships/hyperlink" Target="https://sei.trf5.jus.br/sei/controlador.php?acao=procedimento_trabalhar&amp;id_procedimento=3036197" TargetMode="External"/><Relationship Id="rId54" Type="http://schemas.openxmlformats.org/officeDocument/2006/relationships/hyperlink" Target="https://sei.trf5.jus.br/sei/controlador.php?acao=procedimento_trabalhar&amp;id_procedimento=3547939" TargetMode="External"/><Relationship Id="rId62" Type="http://schemas.openxmlformats.org/officeDocument/2006/relationships/hyperlink" Target="https://sei.trf5.jus.br/sei/controlador.php?acao=procedimento_trabalhar&amp;id_procedimento=3975988" TargetMode="External"/><Relationship Id="rId70" Type="http://schemas.openxmlformats.org/officeDocument/2006/relationships/hyperlink" Target="https://sei.trf5.jus.br/sei/controlador.php?acao=procedimento_trabalhar&amp;id_procedimento=4210010" TargetMode="External"/><Relationship Id="rId75" Type="http://schemas.openxmlformats.org/officeDocument/2006/relationships/hyperlink" Target="https://sei.trf5.jus.br/sei/controlador.php?acao=procedimento_trabalhar&amp;id_procedimento=4178454" TargetMode="External"/><Relationship Id="rId1" Type="http://schemas.openxmlformats.org/officeDocument/2006/relationships/hyperlink" Target="https://sei.trf5.jus.br/sei/controlador.php?acao=procedimento_trabalhar&amp;id_procedimento=2689980" TargetMode="External"/><Relationship Id="rId6" Type="http://schemas.openxmlformats.org/officeDocument/2006/relationships/hyperlink" Target="https://sei.trf5.jus.br/sei/controlador.php?acao=procedimento_trabalhar&amp;id_procedimento=3547939" TargetMode="External"/><Relationship Id="rId15" Type="http://schemas.openxmlformats.org/officeDocument/2006/relationships/hyperlink" Target="https://sei.trf5.jus.br/sei/controlador.php?acao=procedimento_trabalhar&amp;id_procedimento=2833705" TargetMode="External"/><Relationship Id="rId23" Type="http://schemas.openxmlformats.org/officeDocument/2006/relationships/hyperlink" Target="https://sei.trf5.jus.br/sei/controlador.php?acao=procedimento_trabalhar&amp;id_procedimento=2833705)" TargetMode="External"/><Relationship Id="rId28" Type="http://schemas.openxmlformats.org/officeDocument/2006/relationships/hyperlink" Target="https://sei.trf5.jus.br/sei/controlador.php?acao=procedimento_trabalhar&amp;id_procedimento=2833705" TargetMode="External"/><Relationship Id="rId36" Type="http://schemas.openxmlformats.org/officeDocument/2006/relationships/hyperlink" Target="https://sei.trf5.jus.br/sei/controlador.php?acao=procedimento_trabalhar&amp;id_procedimento=3547939" TargetMode="External"/><Relationship Id="rId49" Type="http://schemas.openxmlformats.org/officeDocument/2006/relationships/hyperlink" Target="https://sei.trf5.jus.br/sei/controlador.php?acao=procedimento_trabalhar&amp;id_procedimento=3547939" TargetMode="External"/><Relationship Id="rId57" Type="http://schemas.openxmlformats.org/officeDocument/2006/relationships/hyperlink" Target="https://sei.trf5.jus.br/sei/controlador.php?acao=procedimento_trabalhar&amp;acao_origem=acompanhamento_listar&amp;acao_retorno=acompanhamento_listar&amp;id_procedimento=3840408&amp;infra_sistema=100000100&amp;infra_unidade_atual=110001473&amp;infra_hash=31e6dc4c033b2e5a64896f679" TargetMode="External"/><Relationship Id="rId10" Type="http://schemas.openxmlformats.org/officeDocument/2006/relationships/hyperlink" Target="https://sei.trf5.jus.br/sei/controlador.php?acao=procedimento_trabalhar&amp;id_procedimento=3567002" TargetMode="External"/><Relationship Id="rId31" Type="http://schemas.openxmlformats.org/officeDocument/2006/relationships/hyperlink" Target="https://sei.trf5.jus.br/sei/controlador.php?acao=procedimento_trabalhar&amp;id_procedimento=2833705)" TargetMode="External"/><Relationship Id="rId44" Type="http://schemas.openxmlformats.org/officeDocument/2006/relationships/hyperlink" Target="https://sei.trf5.jus.br/sei/controlador.php?acao=procedimento_trabalhar&amp;acao_origem=acompanhamento_listar&amp;acao_retorno=acompanhamento_listar&amp;id_procedimento=3294467&amp;infra_sistema=100000100&amp;infra_unidade_atual=110001473&amp;infra_hash=1dbd35f74faa78912efcd0823" TargetMode="External"/><Relationship Id="rId52" Type="http://schemas.openxmlformats.org/officeDocument/2006/relationships/hyperlink" Target="https://sei.trf5.jus.br/sei/controlador.php?acao=procedimento_trabalhar&amp;id_procedimento=3567002" TargetMode="External"/><Relationship Id="rId60" Type="http://schemas.openxmlformats.org/officeDocument/2006/relationships/hyperlink" Target="https://sei.trf5.jus.br/sei/controlador.php?acao=procedimento_trabalhar&amp;id_procedimento=3082080" TargetMode="External"/><Relationship Id="rId65" Type="http://schemas.openxmlformats.org/officeDocument/2006/relationships/hyperlink" Target="https://sei.trf5.jus.br/sei/controlador.php?acao=procedimento_trabalhar&amp;id_procedimento=4121008" TargetMode="External"/><Relationship Id="rId73" Type="http://schemas.openxmlformats.org/officeDocument/2006/relationships/hyperlink" Target="https://sei.trf5.jus.br/sei/controlador.php?acao=procedimento_trabalhar&amp;id_procedimento=3733415" TargetMode="External"/><Relationship Id="rId4" Type="http://schemas.openxmlformats.org/officeDocument/2006/relationships/hyperlink" Target="https://sei.trf5.jus.br/sei/controlador.php?acao=procedimento_trabalhar&amp;id_procedimento=3547939" TargetMode="External"/><Relationship Id="rId9" Type="http://schemas.openxmlformats.org/officeDocument/2006/relationships/hyperlink" Target="https://sei.trf5.jus.br/sei/controlador.php?acao=procedimento_trabalhar&amp;id_procedimento=3373804" TargetMode="External"/><Relationship Id="rId13" Type="http://schemas.openxmlformats.org/officeDocument/2006/relationships/hyperlink" Target="https://sei.trf5.jus.br/sei/controlador.php?acao=procedimento_trabalhar&amp;id_procedimento=2833705)" TargetMode="External"/><Relationship Id="rId18" Type="http://schemas.openxmlformats.org/officeDocument/2006/relationships/hyperlink" Target="https://sei.trf5.jus.br/sei/controlador.php?acao=procedimento_trabalhar&amp;id_procedimento=2833705" TargetMode="External"/><Relationship Id="rId39" Type="http://schemas.openxmlformats.org/officeDocument/2006/relationships/hyperlink" Target="https://sei.trf5.jus.br/sei/controlador.php?acao=procedimento_trabalhar&amp;id_procedimento=3135450" TargetMode="External"/><Relationship Id="rId34" Type="http://schemas.openxmlformats.org/officeDocument/2006/relationships/hyperlink" Target="https://sei.trf5.jus.br/sei/controlador.php?acao=procedimento_trabalhar&amp;id_procedimento=2893942" TargetMode="External"/><Relationship Id="rId50" Type="http://schemas.openxmlformats.org/officeDocument/2006/relationships/hyperlink" Target="https://sei.trf5.jus.br/sei/controlador.php?acao=procedimento_trabalhar&amp;id_procedimento=3336767" TargetMode="External"/><Relationship Id="rId55" Type="http://schemas.openxmlformats.org/officeDocument/2006/relationships/hyperlink" Target="https://sei.trf5.jus.br/sei/controlador.php?acao=procedimento_trabalhar&amp;id_procedimento=3717942" TargetMode="External"/><Relationship Id="rId76" Type="http://schemas.openxmlformats.org/officeDocument/2006/relationships/hyperlink" Target="https://sei.trf5.jus.br/sei/controlador.php?acao=procedimento_trabalhar&amp;acao_origem=protocolo_pesquisar&amp;id_procedimento=5103308&amp;id_documento=5217326&amp;infra_sistema=100000100&amp;infra_unidade_atual=110001473&amp;infra_hash=f0df46206f9a862232391fab031789d2e256b7f62" TargetMode="External"/><Relationship Id="rId7" Type="http://schemas.openxmlformats.org/officeDocument/2006/relationships/hyperlink" Target="https://sei.trf5.jus.br/sei/controlador.php?acao=procedimento_trabalhar&amp;id_procedimento=3547939" TargetMode="External"/><Relationship Id="rId71" Type="http://schemas.openxmlformats.org/officeDocument/2006/relationships/hyperlink" Target="https://sei.trf5.jus.br/sei/controlador.php?acao=procedimento_trabalhar&amp;id_procedimento=4244710" TargetMode="External"/><Relationship Id="rId2" Type="http://schemas.openxmlformats.org/officeDocument/2006/relationships/hyperlink" Target="https://sei.trf5.jus.br/sei/controlador.php?acao=procedimento_trabalhar&amp;id_procedimento=2689980" TargetMode="External"/><Relationship Id="rId29" Type="http://schemas.openxmlformats.org/officeDocument/2006/relationships/hyperlink" Target="https://sei.trf5.jus.br/sei/controlador.php?acao=procedimento_trabalhar&amp;id_procedimento=2833705)"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M971"/>
  <sheetViews>
    <sheetView showGridLines="0" topLeftCell="AX10" zoomScale="110" zoomScaleNormal="110" workbookViewId="0">
      <selection activeCell="BD32" activeCellId="1" sqref="B9 BD32"/>
    </sheetView>
  </sheetViews>
  <sheetFormatPr defaultColWidth="12.6328125" defaultRowHeight="14.25" customHeight="1" x14ac:dyDescent="0.25"/>
  <cols>
    <col min="1" max="1" width="64.90625" customWidth="1"/>
    <col min="2" max="2" width="5.6328125" customWidth="1"/>
    <col min="3" max="3" width="6" customWidth="1"/>
    <col min="4" max="4" width="6.453125" customWidth="1"/>
    <col min="5" max="5" width="5.90625" customWidth="1"/>
    <col min="6" max="6" width="6.26953125" customWidth="1"/>
    <col min="7" max="7" width="5.7265625" customWidth="1"/>
    <col min="8" max="8" width="5.453125" customWidth="1"/>
    <col min="9" max="9" width="5.7265625" customWidth="1"/>
    <col min="10" max="10" width="6.26953125" customWidth="1"/>
    <col min="11" max="11" width="6" customWidth="1"/>
    <col min="12" max="12" width="5.453125" customWidth="1"/>
    <col min="13" max="13" width="5.6328125" customWidth="1"/>
    <col min="14" max="14" width="6" customWidth="1"/>
    <col min="15" max="15" width="6.26953125" customWidth="1"/>
    <col min="16" max="16" width="6" customWidth="1"/>
    <col min="17" max="17" width="6.36328125" customWidth="1"/>
    <col min="18" max="18" width="6.26953125" customWidth="1"/>
    <col min="19" max="20" width="6.453125" customWidth="1"/>
    <col min="21" max="21" width="6.08984375" customWidth="1"/>
    <col min="22" max="22" width="17.7265625" customWidth="1"/>
    <col min="23" max="23" width="8.6328125" customWidth="1"/>
    <col min="24" max="24" width="12.90625" customWidth="1"/>
    <col min="25" max="25" width="9" customWidth="1"/>
    <col min="26" max="26" width="6.7265625" customWidth="1"/>
    <col min="27" max="27" width="6.36328125" customWidth="1"/>
    <col min="28" max="28" width="11.90625" customWidth="1"/>
    <col min="29" max="29" width="17.26953125" customWidth="1"/>
    <col min="30" max="30" width="6.7265625" customWidth="1"/>
    <col min="31" max="31" width="7" customWidth="1"/>
    <col min="32" max="32" width="6.453125" customWidth="1"/>
    <col min="33" max="33" width="12.7265625" customWidth="1"/>
    <col min="34" max="34" width="11.7265625" customWidth="1"/>
    <col min="35" max="35" width="6.26953125" customWidth="1"/>
    <col min="36" max="36" width="6.08984375" customWidth="1"/>
    <col min="37" max="37" width="6.36328125" customWidth="1"/>
    <col min="38" max="38" width="12.7265625" customWidth="1"/>
    <col min="39" max="39" width="10.26953125" customWidth="1"/>
    <col min="40" max="40" width="6.26953125" customWidth="1"/>
    <col min="41" max="41" width="13.453125" customWidth="1"/>
    <col min="42" max="42" width="14.08984375" customWidth="1"/>
    <col min="43" max="43" width="7.26953125" customWidth="1"/>
    <col min="45" max="45" width="13.90625" customWidth="1"/>
    <col min="46" max="46" width="7.26953125" customWidth="1"/>
    <col min="47" max="47" width="11.90625" customWidth="1"/>
    <col min="48" max="48" width="11" customWidth="1"/>
    <col min="49" max="49" width="6.453125" customWidth="1"/>
    <col min="52" max="52" width="6.7265625" customWidth="1"/>
    <col min="54" max="54" width="14.36328125" customWidth="1"/>
    <col min="55" max="55" width="7.90625" customWidth="1"/>
    <col min="56" max="56" width="22.6328125" customWidth="1"/>
    <col min="57" max="57" width="12.26953125" hidden="1" customWidth="1"/>
    <col min="58" max="58" width="11.453125" hidden="1" customWidth="1"/>
    <col min="59" max="59" width="16.36328125" customWidth="1"/>
    <col min="60" max="60" width="14.26953125" customWidth="1"/>
    <col min="61" max="61" width="25.90625" customWidth="1"/>
    <col min="62" max="62" width="13.26953125" customWidth="1"/>
    <col min="63" max="65" width="7.6328125" customWidth="1"/>
  </cols>
  <sheetData>
    <row r="1" spans="1:65" ht="14" x14ac:dyDescent="0.3">
      <c r="A1" s="15"/>
      <c r="B1" s="16"/>
      <c r="H1" s="17"/>
      <c r="S1" s="17"/>
      <c r="W1" s="18"/>
      <c r="X1" s="18"/>
      <c r="Z1" s="17"/>
      <c r="AJ1" s="17"/>
      <c r="AK1" s="17"/>
      <c r="AN1" s="17"/>
      <c r="AQ1" s="17"/>
      <c r="AW1" s="19"/>
      <c r="BG1" s="20"/>
      <c r="BH1" s="21"/>
      <c r="BI1" s="22"/>
    </row>
    <row r="2" spans="1:65" ht="15.05" x14ac:dyDescent="0.3">
      <c r="A2" s="14" t="s">
        <v>0</v>
      </c>
      <c r="B2" s="14"/>
      <c r="C2" s="14"/>
      <c r="D2" s="14"/>
      <c r="E2" s="14"/>
      <c r="F2" s="14"/>
      <c r="G2" s="14"/>
      <c r="H2" s="14"/>
      <c r="I2" s="14"/>
      <c r="J2" s="14"/>
      <c r="K2" s="14"/>
      <c r="L2" s="14"/>
      <c r="M2" s="14"/>
      <c r="N2" s="14"/>
      <c r="O2" s="14"/>
      <c r="P2" s="14"/>
      <c r="Q2" s="14"/>
      <c r="R2" s="14"/>
      <c r="S2" s="14"/>
      <c r="T2" s="14"/>
      <c r="U2" s="14"/>
      <c r="V2" s="14"/>
      <c r="W2" s="14"/>
      <c r="X2" s="14"/>
      <c r="Y2" s="14"/>
      <c r="Z2" s="14"/>
      <c r="AA2" s="14"/>
      <c r="AB2" s="14"/>
      <c r="AC2" s="14"/>
      <c r="AD2" s="14"/>
      <c r="AE2" s="14"/>
      <c r="AF2" s="14"/>
      <c r="AG2" s="14"/>
      <c r="AH2" s="14"/>
      <c r="AI2" s="14"/>
      <c r="AJ2" s="14"/>
      <c r="AK2" s="14"/>
      <c r="AL2" s="14"/>
      <c r="AM2" s="14"/>
      <c r="AN2" s="23"/>
      <c r="AO2" s="24"/>
      <c r="AP2" s="24"/>
      <c r="AQ2" s="23"/>
      <c r="AR2" s="24"/>
      <c r="AS2" s="24"/>
      <c r="AT2" s="24"/>
      <c r="AU2" s="24"/>
      <c r="AV2" s="24"/>
      <c r="AW2" s="25"/>
      <c r="AX2" s="24"/>
      <c r="AY2" s="24"/>
      <c r="AZ2" s="24"/>
      <c r="BA2" s="24"/>
      <c r="BB2" s="24"/>
      <c r="BC2" s="24"/>
      <c r="BD2" s="24"/>
      <c r="BE2" s="24"/>
      <c r="BF2" s="24"/>
      <c r="BH2" s="26"/>
      <c r="BI2" s="26"/>
    </row>
    <row r="3" spans="1:65" ht="14" x14ac:dyDescent="0.3">
      <c r="A3" s="16"/>
      <c r="H3" s="17"/>
      <c r="S3" s="17"/>
      <c r="W3" s="18"/>
      <c r="X3" s="18"/>
      <c r="Z3" s="17"/>
      <c r="AJ3" s="17"/>
      <c r="AK3" s="17"/>
      <c r="AN3" s="17"/>
      <c r="AQ3" s="17"/>
      <c r="AW3" s="19"/>
      <c r="BH3" s="27"/>
      <c r="BI3" s="26"/>
    </row>
    <row r="4" spans="1:65" ht="15.75" customHeight="1" x14ac:dyDescent="0.3">
      <c r="A4" s="28"/>
      <c r="B4" s="13" t="s">
        <v>1</v>
      </c>
      <c r="C4" s="13"/>
      <c r="D4" s="13"/>
      <c r="E4" s="13"/>
      <c r="F4" s="13"/>
      <c r="G4" s="13"/>
      <c r="H4" s="13"/>
      <c r="I4" s="13"/>
      <c r="J4" s="13"/>
      <c r="K4" s="13"/>
      <c r="L4" s="13"/>
      <c r="M4" s="13"/>
      <c r="N4" s="13"/>
      <c r="O4" s="13"/>
      <c r="P4" s="13"/>
      <c r="Q4" s="13"/>
      <c r="R4" s="13"/>
      <c r="S4" s="13"/>
      <c r="T4" s="13"/>
      <c r="U4" s="13"/>
      <c r="V4" s="13"/>
      <c r="W4" s="13"/>
      <c r="X4" s="13"/>
      <c r="Y4" s="13"/>
      <c r="Z4" s="12" t="s">
        <v>2</v>
      </c>
      <c r="AA4" s="12"/>
      <c r="AB4" s="12"/>
      <c r="AC4" s="12"/>
      <c r="AD4" s="11" t="s">
        <v>3</v>
      </c>
      <c r="AE4" s="11"/>
      <c r="AF4" s="11"/>
      <c r="AG4" s="11"/>
      <c r="AH4" s="11"/>
      <c r="AI4" s="10" t="s">
        <v>4</v>
      </c>
      <c r="AJ4" s="10"/>
      <c r="AK4" s="10"/>
      <c r="AL4" s="10"/>
      <c r="AM4" s="10"/>
      <c r="AN4" s="9" t="s">
        <v>5</v>
      </c>
      <c r="AO4" s="9"/>
      <c r="AP4" s="9"/>
      <c r="AQ4" s="8" t="s">
        <v>6</v>
      </c>
      <c r="AR4" s="8"/>
      <c r="AS4" s="8"/>
      <c r="AT4" s="7" t="s">
        <v>7</v>
      </c>
      <c r="AU4" s="7"/>
      <c r="AV4" s="7"/>
      <c r="AW4" s="6" t="s">
        <v>8</v>
      </c>
      <c r="AX4" s="6"/>
      <c r="AY4" s="6"/>
      <c r="AZ4" s="5" t="s">
        <v>9</v>
      </c>
      <c r="BA4" s="5"/>
      <c r="BB4" s="5"/>
      <c r="BC4" s="4" t="s">
        <v>10</v>
      </c>
      <c r="BD4" s="4"/>
      <c r="BE4" s="4"/>
      <c r="BF4" s="4"/>
      <c r="BG4" s="3" t="s">
        <v>11</v>
      </c>
      <c r="BH4" s="2" t="s">
        <v>12</v>
      </c>
      <c r="BI4" s="1" t="s">
        <v>13</v>
      </c>
      <c r="BJ4" s="585" t="s">
        <v>14</v>
      </c>
    </row>
    <row r="5" spans="1:65" ht="15.05" x14ac:dyDescent="0.3">
      <c r="A5" s="29" t="s">
        <v>15</v>
      </c>
      <c r="B5" s="586"/>
      <c r="C5" s="586"/>
      <c r="D5" s="586"/>
      <c r="E5" s="586"/>
      <c r="F5" s="586"/>
      <c r="G5" s="586"/>
      <c r="H5" s="30"/>
      <c r="I5" s="30"/>
      <c r="J5" s="30"/>
      <c r="K5" s="30"/>
      <c r="L5" s="30"/>
      <c r="M5" s="30"/>
      <c r="N5" s="30"/>
      <c r="O5" s="30"/>
      <c r="P5" s="30"/>
      <c r="Q5" s="30"/>
      <c r="R5" s="30"/>
      <c r="S5" s="31"/>
      <c r="T5" s="30"/>
      <c r="U5" s="30"/>
      <c r="V5" s="30"/>
      <c r="W5" s="30"/>
      <c r="X5" s="30"/>
      <c r="Y5" s="32"/>
      <c r="Z5" s="33"/>
      <c r="AA5" s="33"/>
      <c r="AB5" s="34"/>
      <c r="AC5" s="35"/>
      <c r="AD5" s="36"/>
      <c r="AE5" s="37"/>
      <c r="AF5" s="38"/>
      <c r="AG5" s="38"/>
      <c r="AH5" s="38"/>
      <c r="AI5" s="39"/>
      <c r="AJ5" s="39"/>
      <c r="AK5" s="40"/>
      <c r="AL5" s="40"/>
      <c r="AM5" s="40"/>
      <c r="AN5" s="41"/>
      <c r="AO5" s="41"/>
      <c r="AP5" s="42"/>
      <c r="AQ5" s="43"/>
      <c r="AR5" s="44"/>
      <c r="AS5" s="45"/>
      <c r="AT5" s="46"/>
      <c r="AU5" s="30"/>
      <c r="AV5" s="47"/>
      <c r="AW5" s="48"/>
      <c r="AX5" s="49"/>
      <c r="AY5" s="50"/>
      <c r="AZ5" s="51"/>
      <c r="BA5" s="52"/>
      <c r="BB5" s="52"/>
      <c r="BC5" s="53"/>
      <c r="BD5" s="54"/>
      <c r="BE5" s="54"/>
      <c r="BF5" s="54"/>
      <c r="BG5" s="3"/>
      <c r="BH5" s="2"/>
      <c r="BI5" s="2"/>
      <c r="BJ5" s="585"/>
    </row>
    <row r="6" spans="1:65" ht="14.25" customHeight="1" x14ac:dyDescent="0.25">
      <c r="A6" s="587" t="s">
        <v>16</v>
      </c>
      <c r="B6" s="588" t="s">
        <v>17</v>
      </c>
      <c r="C6" s="588" t="s">
        <v>18</v>
      </c>
      <c r="D6" s="588" t="s">
        <v>19</v>
      </c>
      <c r="E6" s="588" t="s">
        <v>20</v>
      </c>
      <c r="F6" s="588" t="s">
        <v>21</v>
      </c>
      <c r="G6" s="588" t="s">
        <v>22</v>
      </c>
      <c r="H6" s="588" t="s">
        <v>23</v>
      </c>
      <c r="I6" s="588" t="s">
        <v>24</v>
      </c>
      <c r="J6" s="588" t="s">
        <v>25</v>
      </c>
      <c r="K6" s="588" t="s">
        <v>26</v>
      </c>
      <c r="L6" s="588" t="s">
        <v>27</v>
      </c>
      <c r="M6" s="588" t="s">
        <v>28</v>
      </c>
      <c r="N6" s="588" t="s">
        <v>29</v>
      </c>
      <c r="O6" s="588" t="s">
        <v>30</v>
      </c>
      <c r="P6" s="588" t="s">
        <v>31</v>
      </c>
      <c r="Q6" s="588" t="s">
        <v>32</v>
      </c>
      <c r="R6" s="588" t="s">
        <v>33</v>
      </c>
      <c r="S6" s="588" t="s">
        <v>34</v>
      </c>
      <c r="T6" s="588" t="s">
        <v>35</v>
      </c>
      <c r="U6" s="588" t="s">
        <v>36</v>
      </c>
      <c r="V6" s="589" t="s">
        <v>37</v>
      </c>
      <c r="W6" s="588" t="s">
        <v>38</v>
      </c>
      <c r="X6" s="590" t="s">
        <v>39</v>
      </c>
      <c r="Y6" s="591" t="s">
        <v>40</v>
      </c>
      <c r="Z6" s="592" t="s">
        <v>41</v>
      </c>
      <c r="AA6" s="593" t="s">
        <v>42</v>
      </c>
      <c r="AB6" s="593" t="s">
        <v>43</v>
      </c>
      <c r="AC6" s="593" t="s">
        <v>44</v>
      </c>
      <c r="AD6" s="594" t="s">
        <v>45</v>
      </c>
      <c r="AE6" s="594" t="s">
        <v>46</v>
      </c>
      <c r="AF6" s="594" t="s">
        <v>47</v>
      </c>
      <c r="AG6" s="594" t="s">
        <v>48</v>
      </c>
      <c r="AH6" s="594" t="s">
        <v>49</v>
      </c>
      <c r="AI6" s="595" t="s">
        <v>50</v>
      </c>
      <c r="AJ6" s="595" t="s">
        <v>51</v>
      </c>
      <c r="AK6" s="595" t="s">
        <v>52</v>
      </c>
      <c r="AL6" s="595" t="s">
        <v>48</v>
      </c>
      <c r="AM6" s="595" t="s">
        <v>49</v>
      </c>
      <c r="AN6" s="596" t="s">
        <v>53</v>
      </c>
      <c r="AO6" s="596" t="s">
        <v>48</v>
      </c>
      <c r="AP6" s="596" t="s">
        <v>49</v>
      </c>
      <c r="AQ6" s="597" t="s">
        <v>54</v>
      </c>
      <c r="AR6" s="597" t="s">
        <v>48</v>
      </c>
      <c r="AS6" s="597" t="s">
        <v>49</v>
      </c>
      <c r="AT6" s="598" t="s">
        <v>55</v>
      </c>
      <c r="AU6" s="598" t="s">
        <v>48</v>
      </c>
      <c r="AV6" s="598" t="s">
        <v>49</v>
      </c>
      <c r="AW6" s="599" t="s">
        <v>56</v>
      </c>
      <c r="AX6" s="599" t="s">
        <v>43</v>
      </c>
      <c r="AY6" s="599" t="s">
        <v>44</v>
      </c>
      <c r="AZ6" s="600" t="s">
        <v>57</v>
      </c>
      <c r="BA6" s="600" t="s">
        <v>48</v>
      </c>
      <c r="BB6" s="600" t="s">
        <v>49</v>
      </c>
      <c r="BC6" s="601" t="s">
        <v>58</v>
      </c>
      <c r="BD6" s="601" t="s">
        <v>59</v>
      </c>
      <c r="BE6" s="601" t="s">
        <v>43</v>
      </c>
      <c r="BF6" s="601" t="s">
        <v>44</v>
      </c>
      <c r="BG6" s="3"/>
      <c r="BH6" s="2"/>
      <c r="BI6" s="2"/>
      <c r="BJ6" s="585"/>
    </row>
    <row r="7" spans="1:65" ht="58.6" customHeight="1" x14ac:dyDescent="0.35">
      <c r="A7" s="587"/>
      <c r="B7" s="588"/>
      <c r="C7" s="588"/>
      <c r="D7" s="588"/>
      <c r="E7" s="588"/>
      <c r="F7" s="588"/>
      <c r="G7" s="588"/>
      <c r="H7" s="588"/>
      <c r="I7" s="588"/>
      <c r="J7" s="588"/>
      <c r="K7" s="588"/>
      <c r="L7" s="588"/>
      <c r="M7" s="588"/>
      <c r="N7" s="588"/>
      <c r="O7" s="588"/>
      <c r="P7" s="588"/>
      <c r="Q7" s="588"/>
      <c r="R7" s="588"/>
      <c r="S7" s="588"/>
      <c r="T7" s="588"/>
      <c r="U7" s="588"/>
      <c r="V7" s="588"/>
      <c r="W7" s="588"/>
      <c r="X7" s="588"/>
      <c r="Y7" s="591"/>
      <c r="Z7" s="592"/>
      <c r="AA7" s="593"/>
      <c r="AB7" s="593"/>
      <c r="AC7" s="593"/>
      <c r="AD7" s="593"/>
      <c r="AE7" s="593"/>
      <c r="AF7" s="593"/>
      <c r="AG7" s="593"/>
      <c r="AH7" s="593"/>
      <c r="AI7" s="593"/>
      <c r="AJ7" s="593"/>
      <c r="AK7" s="593"/>
      <c r="AL7" s="593"/>
      <c r="AM7" s="593"/>
      <c r="AN7" s="593"/>
      <c r="AO7" s="593"/>
      <c r="AP7" s="593"/>
      <c r="AQ7" s="593"/>
      <c r="AR7" s="593"/>
      <c r="AS7" s="593"/>
      <c r="AT7" s="593"/>
      <c r="AU7" s="593"/>
      <c r="AV7" s="593"/>
      <c r="AW7" s="593"/>
      <c r="AX7" s="593"/>
      <c r="AY7" s="593"/>
      <c r="AZ7" s="593"/>
      <c r="BA7" s="593"/>
      <c r="BB7" s="593"/>
      <c r="BC7" s="593"/>
      <c r="BD7" s="593"/>
      <c r="BE7" s="593"/>
      <c r="BF7" s="593"/>
      <c r="BG7" s="3"/>
      <c r="BH7" s="2"/>
      <c r="BI7" s="2"/>
      <c r="BJ7" s="585"/>
      <c r="BM7" s="55"/>
    </row>
    <row r="8" spans="1:65" ht="17.75" x14ac:dyDescent="0.35">
      <c r="A8" s="56" t="s">
        <v>60</v>
      </c>
      <c r="B8" s="57">
        <f>COUNTIFS('1ªVara'!$E$4:$E$28,'SIGLAS CARGOS'!C5,'1ªVara'!$F$4:$F$28,"EFETIVO")</f>
        <v>4</v>
      </c>
      <c r="C8" s="57">
        <f>COUNTIFS('2ªVara'!$E$4:$E$18,'SIGLAS CARGOS'!C5,'2ªVara'!$F$4:$F$18,"EFETIVO")</f>
        <v>2</v>
      </c>
      <c r="D8" s="57">
        <f>COUNTIFS('3ªVara'!$E$4:$E$48,'SIGLAS CARGOS'!C5,'3ªVara'!$F$4:$F$48,"EFETIVO")</f>
        <v>3</v>
      </c>
      <c r="E8" s="57">
        <f>COUNTIFS('4ªVara'!$E$4:$E$19,'SIGLAS CARGOS'!C5,'4ªVara'!$F$4:$F$19,"EFETIVO")</f>
        <v>5</v>
      </c>
      <c r="F8" s="57">
        <f>COUNTIFS('5ªVara'!$E$4:$E$20,'SIGLAS CARGOS'!C5,'5ªVara'!$F$4:$F$20,"EFETIVO")</f>
        <v>5</v>
      </c>
      <c r="G8" s="57">
        <f>COUNTIFS('6ªVara'!$E$4:$E$21,'SIGLAS CARGOS'!C5,'6ªVara'!$F$4:$F$21,"EFETIVO")</f>
        <v>4</v>
      </c>
      <c r="H8" s="57">
        <f>COUNTIFS('7ªVara'!$E$4:$E$18,'SIGLAS CARGOS'!C5,'7ªVara'!$F$4:$F$18,"EFETIVO")</f>
        <v>2</v>
      </c>
      <c r="I8" s="57">
        <f>COUNTIFS('8ªVara'!$E$4:$E$21,'SIGLAS CARGOS'!C5,'8ªVara'!$F$4:$F$21,"EFETIVO")</f>
        <v>2</v>
      </c>
      <c r="J8" s="57">
        <f>COUNTIFS('9ªVara'!$E$4:$E$22,'SIGLAS CARGOS'!C5,'9ªVara'!$F$4:$F$22,"EFETIVO")</f>
        <v>3</v>
      </c>
      <c r="K8" s="57">
        <f>COUNTIFS('10ªVara'!$E$4:$E$20,'SIGLAS CARGOS'!C5,'10ªVara'!$G$4:$G$20,"EFETIVO")</f>
        <v>3</v>
      </c>
      <c r="L8" s="57">
        <f>COUNTIFS('11ªVara'!$E$4:$E$21,'SIGLAS CARGOS'!C5,'11ªVara'!$F$4:$F$21,"EFETIVO")</f>
        <v>4</v>
      </c>
      <c r="M8" s="57">
        <f>COUNTIFS('12ªVara'!$E$3:$E$21,'SIGLAS CARGOS'!C5,'12ªVara'!$F$3:$F$21,"EFETIVO")</f>
        <v>4</v>
      </c>
      <c r="N8" s="57">
        <f>COUNTIFS('13ªVara'!$E$3:$E$17,'SIGLAS CARGOS'!C5,'13ªVara'!$F$3:$F$17,"EFETIVO")</f>
        <v>0</v>
      </c>
      <c r="O8" s="57">
        <f>COUNTIFS('14ªVara'!$E$3:$E$21,'SIGLAS CARGOS'!C5,'14ªVara'!$F$3:$F$21,"EFETIVO")</f>
        <v>1</v>
      </c>
      <c r="P8" s="57">
        <f>COUNTIFS('20ªVara'!$E$4:$E$20,'SIGLAS CARGOS'!C5,'20ªVara'!$F$4:$F$20,"EFETIVO")</f>
        <v>3</v>
      </c>
      <c r="Q8" s="57">
        <f>COUNTIFS('21ªVara'!$E$4:$E$26,'SIGLAS CARGOS'!C5,'21ªVara'!$F$4:$F$26,"EFETIVO")</f>
        <v>5</v>
      </c>
      <c r="R8" s="57">
        <f>COUNTIFS('26ªVara'!$E$3:$E$20,'SIGLAS CARGOS'!C5,'26ªVara'!$F$3:$F$20,"EFETIVO")</f>
        <v>5</v>
      </c>
      <c r="S8" s="58">
        <f>COUNTIFS('28ªVara'!$E$4:$E$30,'SIGLAS CARGOS'!C5,'28ªVara'!$F$4:$F$30,"EFETIVO")</f>
        <v>4</v>
      </c>
      <c r="T8" s="57">
        <f>COUNTIFS('32ªVara'!$E$4:$E$20,'SIGLAS CARGOS'!C5,'32ªVara'!$F$4:$F$20,"EFETIVO")</f>
        <v>3</v>
      </c>
      <c r="U8" s="57">
        <f>COUNTIFS('33ªVara'!$E$4:$E$20,'SIGLAS CARGOS'!C5,'33ªVara'!$F$4:$F$20,"EFETIVO")</f>
        <v>3</v>
      </c>
      <c r="V8" s="57">
        <f>COUNTIFS('Turmas Recursais'!$E$4:$E$45,'SIGLAS CARGOS'!C5,'Turmas Recursais'!$F$4:$F$45,"EFETIVO")</f>
        <v>11</v>
      </c>
      <c r="W8" s="57">
        <f>COUNTIFS('Diretoria do Foro'!$E$4:$E$36,'SIGLAS CARGOS'!C5,'Diretoria do Foro'!$I$4:$I$36,"EFETIVO")</f>
        <v>5</v>
      </c>
      <c r="X8" s="57">
        <f>COUNTIFS('Secretaria Administrativa'!$E$3:$E$256,'SIGLAS CARGOS'!C5,'Secretaria Administrativa'!$I$3:$I$256,"EFETIVO")</f>
        <v>11</v>
      </c>
      <c r="Y8" s="59">
        <f t="shared" ref="Y8:Y17" si="0">SUM(B8:X8)</f>
        <v>92</v>
      </c>
      <c r="Z8" s="57">
        <f>COUNTIFS('Subseção de Limoeiro do Norte'!$E$4:$E$45,'SIGLAS CARGOS'!C5,'Subseção de Limoeiro do Norte'!$F$4:$F$45,"EFETIVO",'Subseção de Limoeiro do Norte'!$G$4:$G$45,"15ªVARA")</f>
        <v>5</v>
      </c>
      <c r="AA8" s="57">
        <f>COUNTIFS('Subseção de Limoeiro do Norte'!$E$4:$E$45,'SIGLAS CARGOS'!C5,'Subseção de Limoeiro do Norte'!$F$4:$F$45,"EFETIVO",'Subseção de Limoeiro do Norte'!$G$4:$G$45,"29ªVARA")</f>
        <v>4</v>
      </c>
      <c r="AB8" s="57">
        <f>COUNTIFS('Subseção de Limoeiro do Norte'!$E$4:$E$45,'SIGLAS CARGOS'!C5,'Subseção de Limoeiro do Norte'!$F$4:$F$45,"EFETIVO",'Subseção de Limoeiro do Norte'!$G$4:$G$45,"SUBDIRFORO")</f>
        <v>0</v>
      </c>
      <c r="AC8" s="60">
        <f t="shared" ref="AC8:AC16" si="1">SUM(Z8:AB8)</f>
        <v>9</v>
      </c>
      <c r="AD8" s="57">
        <f>COUNTIFS('Subseção de Juazeiro do Norte'!$E$3:$E$65,'SIGLAS CARGOS'!C5,'Subseção de Juazeiro do Norte'!$F$3:$F$65,"EFETIVO",'Subseção de Juazeiro do Norte'!$G$3:$G$65,"16ªVara")</f>
        <v>4</v>
      </c>
      <c r="AE8" s="57">
        <f>COUNTIFS('Subseção de Juazeiro do Norte'!$E$3:$E$65,'SIGLAS CARGOS'!C5,'Subseção de Juazeiro do Norte'!$F$3:$F$65,"EFETIVO",'Subseção de Juazeiro do Norte'!$G$3:$G$65,"17ªVara")</f>
        <v>6</v>
      </c>
      <c r="AF8" s="57">
        <f>COUNTIFS('Subseção de Juazeiro do Norte'!$E$3:$E$65,'SIGLAS CARGOS'!C5,'Subseção de Juazeiro do Norte'!$F$3:$F$65,"EFETIVO",'Subseção de Juazeiro do Norte'!$G$3:$G$65,"30ªVara")</f>
        <v>5</v>
      </c>
      <c r="AG8" s="57">
        <f>COUNTIFS('Subseção de Juazeiro do Norte'!$E$3:$E$65,'SIGLAS CARGOS'!C5,'Subseção de Juazeiro do Norte'!$F$3:$F$65,"EFETIVO",'Subseção de Juazeiro do Norte'!$G$3:$G$65,"SUBDIRFORO")</f>
        <v>0</v>
      </c>
      <c r="AH8" s="60">
        <f t="shared" ref="AH8:AH16" si="2">SUM(AD8:AG8)</f>
        <v>15</v>
      </c>
      <c r="AI8" s="57">
        <f>COUNTIFS('Subseção de Sobral'!$E$4:$E$68,'SIGLAS CARGOS'!C5,'Subseção de Sobral'!$F$4:$F$68,"EFETIVO",'Subseção de Sobral'!$G$4:$G$68,"18ªVara")</f>
        <v>7</v>
      </c>
      <c r="AJ8" s="57">
        <f>COUNTIFS('Subseção de Sobral'!$E$4:$E$68,'SIGLAS CARGOS'!C5,'Subseção de Sobral'!$F$4:$F$68,"EFETIVO",'Subseção de Sobral'!$G$4:$G$68,"19ªVara")</f>
        <v>3</v>
      </c>
      <c r="AK8" s="57">
        <f>COUNTIFS('Subseção de Sobral'!$E$4:$E$68,'SIGLAS CARGOS'!$C5,'Subseção de Sobral'!$F$4:$F$68,"EFETIVO",'Subseção de Sobral'!$G$4:$G$68,"31ªVara")</f>
        <v>3</v>
      </c>
      <c r="AL8" s="57">
        <f>COUNTIFS('Subseção de Sobral'!$E$4:$E$68,'SIGLAS CARGOS'!$C5,'Subseção de Sobral'!$F$4:$F$68,"EFETIVO",'Subseção de Sobral'!$G$4:$G$68,"SUBDIRFORO")</f>
        <v>0</v>
      </c>
      <c r="AM8" s="60">
        <f t="shared" ref="AM8:AM16" si="3">SUM(AI8:AL8)</f>
        <v>13</v>
      </c>
      <c r="AN8" s="61">
        <f>COUNTIFS('Subseção de Crateús'!$E$4:$E$67,'SIGLAS CARGOS'!C5,'Subseção de Crateús'!$F$4:$F$67,"EFETIVO",'Subseção de Crateús'!$G$4:$G$67,"22ªVARA")</f>
        <v>4</v>
      </c>
      <c r="AO8" s="57">
        <f>COUNTIFS('Subseção de Crateús'!$E$4:$E$67,'SIGLAS CARGOS'!C5,'Subseção de Crateús'!$F$4:$F$67,"EFETIVO",'Subseção de Crateús'!$G$4:$G$67,"SUBDIRFORO")</f>
        <v>1</v>
      </c>
      <c r="AP8" s="60">
        <f>SUM(AN8:AO8)</f>
        <v>5</v>
      </c>
      <c r="AQ8" s="57">
        <f>COUNTIFS('23ªVara - Subseção de Quixadá'!$E$4:$E$64,'SIGLAS CARGOS'!C5,'23ªVara - Subseção de Quixadá'!$F$4:$F$64,"EFETIVO",'23ªVara - Subseção de Quixadá'!$G$4:$G$64,"23ªVARA")</f>
        <v>4</v>
      </c>
      <c r="AR8" s="57">
        <f>COUNTIFS('23ªVara - Subseção de Quixadá'!$E$4:$E$64,'SIGLAS CARGOS'!C5,'23ªVara - Subseção de Quixadá'!$F$4:$F$64,"EFETIVO",'23ªVara - Subseção de Quixadá'!$G$4:$G$64,"SUBDIRFORO")</f>
        <v>0</v>
      </c>
      <c r="AS8" s="60">
        <f>SUM(AQ8:AR8)</f>
        <v>4</v>
      </c>
      <c r="AT8" s="57">
        <f>COUNTIFS('24ªVara - Subseção de Tauá'!$E$4:$E$73,'SIGLAS CARGOS'!C5,'24ªVara - Subseção de Tauá'!$F$4:$F$73,"EFETIVO",'24ªVara - Subseção de Tauá'!$G$4:$G$73,"24ªVARA")</f>
        <v>3</v>
      </c>
      <c r="AU8" s="57">
        <f>COUNTIFS('24ªVara - Subseção de Tauá'!$E$4:$E$73,'SIGLAS CARGOS'!C5,'24ªVara - Subseção de Tauá'!$F$4:$F$73,"EFETIVO",'24ªVara - Subseção de Tauá'!$G$4:$G$73,"SUBDIRFORO")</f>
        <v>0</v>
      </c>
      <c r="AV8" s="60">
        <f>SUM(AT8:AU8)</f>
        <v>3</v>
      </c>
      <c r="AW8" s="57">
        <f>COUNTIFS('25ªVara - Subseção de Iguatu'!$E$4:$E$66,'SIGLAS CARGOS'!C5,'25ªVara - Subseção de Iguatu'!$F$4:$F$66,"EFETIVO",'25ªVara - Subseção de Iguatu'!$G$4:$G$66,"25ªVARA")</f>
        <v>3</v>
      </c>
      <c r="AX8" s="57">
        <f>COUNTIFS('25ªVara - Subseção de Iguatu'!$E$4:$E$66,'SIGLAS CARGOS'!C5,'25ªVara - Subseção de Iguatu'!$F$4:$F$66,"EFETIVO",'25ªVara - Subseção de Iguatu'!$G$4:$G$66,"SUBDIRFORO")</f>
        <v>1</v>
      </c>
      <c r="AY8" s="60">
        <f>SUM(AW8:AX8)</f>
        <v>4</v>
      </c>
      <c r="AZ8" s="57">
        <f>COUNTIFS('27ªVara - Subseção de Itapipoca'!$E$4:$E$67,'SIGLAS CARGOS'!C5,'27ªVara - Subseção de Itapipoca'!$F$4:$F$67,"EFETIVO",'27ªVara - Subseção de Itapipoca'!$G$4:$G$67,"27ªVARA")</f>
        <v>6</v>
      </c>
      <c r="BA8" s="57">
        <f>COUNTIFS('27ªVara - Subseção de Itapipoca'!$E$4:$E$67,'SIGLAS CARGOS'!C5,'27ªVara - Subseção de Itapipoca'!$F$4:$F$67,"EFETIVO",'27ªVara - Subseção de Itapipoca'!$G$4:$G$67,"SUBDIRFORO")</f>
        <v>0</v>
      </c>
      <c r="BB8" s="60">
        <f>SUM(AZ8:BA8)</f>
        <v>6</v>
      </c>
      <c r="BC8" s="57">
        <f>COUNTIFS('Subseção de Maracanaú'!$E$4:$E$70,'SIGLAS CARGOS'!C5,'Subseção de Maracanaú'!$F$4:$F$70,"EFETIVO",'Subseção de Maracanaú'!$G$4:$G$70,"34ªVARA")</f>
        <v>4</v>
      </c>
      <c r="BD8" s="57">
        <f>COUNTIFS('Subseção de Maracanaú'!$E$4:$E$70,'SIGLAS CARGOS'!C5,'Subseção de Maracanaú'!$F$4:$F$70,"EFETIVO",'Subseção de Maracanaú'!$G$4:$G$70,"35ªVARA")</f>
        <v>4</v>
      </c>
      <c r="BE8" s="57">
        <f>COUNTIFS('Subseção de Maracanaú'!$E$4:$E$70,'SIGLAS CARGOS'!C5,'Subseção de Maracanaú'!$F$4:$F$70,"EFETIVO",'Subseção de Maracanaú'!$G$4:$G$70,"SUBDIRFORO")</f>
        <v>0</v>
      </c>
      <c r="BF8" s="62">
        <f>SUM(BC8:BE8)</f>
        <v>8</v>
      </c>
      <c r="BG8" s="63">
        <f t="shared" ref="BG8:BG17" si="4">SUM(Y8+AC8+AH8+AM8+AP8+AS8+AV8+AY8+BB8+BF8)</f>
        <v>159</v>
      </c>
      <c r="BH8" s="64">
        <f>'Cargos vagos'!C142</f>
        <v>0</v>
      </c>
      <c r="BI8" s="65">
        <f>COUNTIF(Cedidos!$E$4:$E$46,"AJAJ")</f>
        <v>16</v>
      </c>
      <c r="BJ8" s="66">
        <f t="shared" ref="BJ8:BJ16" si="5">SUM(BG8+BH8+BI8)</f>
        <v>175</v>
      </c>
      <c r="BK8" s="26"/>
      <c r="BL8" s="67"/>
      <c r="BM8" s="68"/>
    </row>
    <row r="9" spans="1:65" ht="17.75" x14ac:dyDescent="0.35">
      <c r="A9" s="56" t="s">
        <v>61</v>
      </c>
      <c r="B9" s="57">
        <f>COUNTIFS('1ªVara'!$E$4:$E$28,'SIGLAS CARGOS'!C6,'1ªVara'!$F$4:$F$28,"EFETIVO")</f>
        <v>0</v>
      </c>
      <c r="C9" s="57">
        <f>COUNTIFS('2ªVara'!$E$4:$E$18,'SIGLAS CARGOS'!C6,'2ªVara'!$F$4:$F$18,"EFETIVO")</f>
        <v>2</v>
      </c>
      <c r="D9" s="57">
        <f>COUNTIFS('3ªVara'!$E$4:$E$48,'SIGLAS CARGOS'!C6,'3ªVara'!$F$4:$F$48,"EFETIVO")</f>
        <v>0</v>
      </c>
      <c r="E9" s="57">
        <f>COUNTIFS('4ªVara'!$E$4:$E$19,'SIGLAS CARGOS'!C6,'4ªVara'!$F$4:$F$19,"EFETIVO")</f>
        <v>0</v>
      </c>
      <c r="F9" s="57">
        <f>COUNTIFS('5ªVara'!$E$4:$E$20,'SIGLAS CARGOS'!C6,'5ªVara'!$F$4:$F$20,"EFETIVO")</f>
        <v>0</v>
      </c>
      <c r="G9" s="57">
        <f>COUNTIFS('6ªVara'!$E$4:$E$21,'SIGLAS CARGOS'!C6,'6ªVara'!$F$4:$F$21,"EFETIVO")</f>
        <v>1</v>
      </c>
      <c r="H9" s="57">
        <f>COUNTIFS('7ªVara'!$E$4:$E$18,'SIGLAS CARGOS'!C6,'7ªVara'!$F$4:$F$18,"EFETIVO")</f>
        <v>3</v>
      </c>
      <c r="I9" s="57">
        <f>COUNTIFS('8ªVara'!$E$4:$E$21,'SIGLAS CARGOS'!C6,'8ªVara'!$F$4:$F$21,"EFETIVO")</f>
        <v>2</v>
      </c>
      <c r="J9" s="57">
        <f>COUNTIFS('9ªVara'!$E$4:$E$22,'SIGLAS CARGOS'!C6,'9ªVara'!$F$4:$F$22,"EFETIVO")</f>
        <v>1</v>
      </c>
      <c r="K9" s="57">
        <f>COUNTIFS('10ªVara'!$E$4:$E$20,'SIGLAS CARGOS'!C6,'10ªVara'!$G$4:$G$20,"EFETIVO")</f>
        <v>2</v>
      </c>
      <c r="L9" s="57">
        <f>COUNTIFS('11ªVara'!$E$4:$E$21,'SIGLAS CARGOS'!C6,'11ªVara'!$F$4:$F$21,"EFETIVO")</f>
        <v>0</v>
      </c>
      <c r="M9" s="57">
        <f>COUNTIFS('12ªVara'!$E$3:$E$21,'SIGLAS CARGOS'!C6,'12ªVara'!$F$3:$F$21,"EFETIVO")</f>
        <v>0</v>
      </c>
      <c r="N9" s="57">
        <f>COUNTIFS('13ªVara'!$E$3:$E$17,'SIGLAS CARGOS'!C6,'13ªVara'!$F$3:$F$17,"EFETIVO")</f>
        <v>2</v>
      </c>
      <c r="O9" s="57">
        <f>COUNTIFS('14ªVara'!$E$3:$E$21,'SIGLAS CARGOS'!C6,'14ªVara'!$F$3:$F$21,"EFETIVO")</f>
        <v>0</v>
      </c>
      <c r="P9" s="57">
        <f>COUNTIFS('20ªVara'!$E$4:$E$20,'SIGLAS CARGOS'!C6,'20ªVara'!$F$4:$F$20,"EFETIVO")</f>
        <v>4</v>
      </c>
      <c r="Q9" s="57">
        <f>COUNTIFS('21ªVara'!$E$4:$E$26,'SIGLAS CARGOS'!C6,'21ªVara'!$F$4:$F$26,"EFETIVO")</f>
        <v>1</v>
      </c>
      <c r="R9" s="57">
        <f>COUNTIFS('26ªVara'!$E$3:$E$20,'SIGLAS CARGOS'!C6,'26ªVara'!$F$3:$F$20,"EFETIVO")</f>
        <v>0</v>
      </c>
      <c r="S9" s="58">
        <f>COUNTIFS('28ªVara'!$E$4:$E$30,'SIGLAS CARGOS'!C6,'28ªVara'!$F$4:$F$30,"EFETIVO")</f>
        <v>0</v>
      </c>
      <c r="T9" s="57">
        <f>COUNTIFS('32ªVara'!$E$4:$E$20,'SIGLAS CARGOS'!C6,'32ªVara'!$F$4:$F$20,"EFETIVO")</f>
        <v>0</v>
      </c>
      <c r="U9" s="57">
        <f>COUNTIFS('33ªVara'!$E$4:$E$20,'SIGLAS CARGOS'!C6,'33ªVara'!$F$4:$F$20,"EFETIVO")</f>
        <v>0</v>
      </c>
      <c r="V9" s="57">
        <f>COUNTIFS('Turmas Recursais'!$E$4:$E$45,'SIGLAS CARGOS'!C6,'Turmas Recursais'!$F$4:$F$45,"EFETIVO")</f>
        <v>2</v>
      </c>
      <c r="W9" s="57">
        <f>COUNTIFS('Diretoria do Foro'!$E$4:$E$36,'SIGLAS CARGOS'!C6,'Diretoria do Foro'!$I$4:$I$36,"EFETIVO")</f>
        <v>0</v>
      </c>
      <c r="X9" s="57">
        <f>COUNTIFS('Secretaria Administrativa'!$E$3:$E$256,'SIGLAS CARGOS'!C6,'Secretaria Administrativa'!$I$3:$I$256,"EFETIVO")</f>
        <v>9</v>
      </c>
      <c r="Y9" s="59">
        <f t="shared" si="0"/>
        <v>29</v>
      </c>
      <c r="Z9" s="57">
        <f>COUNTIFS('Subseção de Limoeiro do Norte'!$E$4:$E$45,'SIGLAS CARGOS'!C6,'Subseção de Limoeiro do Norte'!$F$4:$F$45,"EFETIVO",'Subseção de Limoeiro do Norte'!$G$4:$G$45,"15ªVARA")</f>
        <v>1</v>
      </c>
      <c r="AA9" s="57">
        <f>COUNTIFS('Subseção de Limoeiro do Norte'!$E$4:$E$45,'SIGLAS CARGOS'!C6,'Subseção de Limoeiro do Norte'!$F$4:$F$45,"EFETIVO",'Subseção de Limoeiro do Norte'!$G$4:$G$45,"29ªVARA")</f>
        <v>1</v>
      </c>
      <c r="AB9" s="57">
        <f>COUNTIFS('Subseção de Limoeiro do Norte'!$E$4:$E$45,'SIGLAS CARGOS'!C6,'Subseção de Limoeiro do Norte'!$F$4:$F$45,"EFETIVO",'Subseção de Limoeiro do Norte'!$G$4:$G$45,"SUBDIRFORO")</f>
        <v>0</v>
      </c>
      <c r="AC9" s="69">
        <f t="shared" si="1"/>
        <v>2</v>
      </c>
      <c r="AD9" s="57">
        <f>COUNTIFS('Subseção de Juazeiro do Norte'!$E$3:$E$65,'SIGLAS CARGOS'!C6,'Subseção de Juazeiro do Norte'!$F$3:$F$65,"EFETIVO",'Subseção de Juazeiro do Norte'!$G$3:$G$65,"16ªVara")</f>
        <v>1</v>
      </c>
      <c r="AE9" s="57">
        <f>COUNTIFS('Subseção de Juazeiro do Norte'!$E$3:$E$65,'SIGLAS CARGOS'!C6,'Subseção de Juazeiro do Norte'!$F$3:$F$65,"EFETIVO",'Subseção de Juazeiro do Norte'!$G$3:$G$65,"17ªVara")</f>
        <v>1</v>
      </c>
      <c r="AF9" s="57">
        <f>COUNTIFS('Subseção de Juazeiro do Norte'!$E$3:$E$65,'SIGLAS CARGOS'!C6,'Subseção de Juazeiro do Norte'!$F$3:$F$65,"EFETIVO",'Subseção de Juazeiro do Norte'!$G$3:$G$65,"30ªVara")</f>
        <v>1</v>
      </c>
      <c r="AG9" s="57">
        <f>COUNTIFS('Subseção de Juazeiro do Norte'!$E$3:$E$65,'SIGLAS CARGOS'!C6,'Subseção de Juazeiro do Norte'!$F$3:$F$65,"EFETIVO",'Subseção de Juazeiro do Norte'!$G$3:$G$65,"SUBDIRFORO")</f>
        <v>0</v>
      </c>
      <c r="AH9" s="60">
        <f t="shared" si="2"/>
        <v>3</v>
      </c>
      <c r="AI9" s="57">
        <f>COUNTIFS('Subseção de Sobral'!$E$4:$E$68,'SIGLAS CARGOS'!C6,'Subseção de Sobral'!$F$4:$F$68,"EFETIVO",'Subseção de Sobral'!$G$4:$G$68,"18ªVara")</f>
        <v>1</v>
      </c>
      <c r="AJ9" s="57">
        <f>COUNTIFS('Subseção de Sobral'!$E$4:$E$68,'SIGLAS CARGOS'!C6,'Subseção de Sobral'!$F$4:$F$68,"EFETIVO",'Subseção de Sobral'!$G$4:$G$68,"19ªVara")</f>
        <v>2</v>
      </c>
      <c r="AK9" s="57">
        <f>COUNTIFS('Subseção de Sobral'!$E$4:$E$68,'SIGLAS CARGOS'!C6,'Subseção de Sobral'!$F$4:$F$68,"EFETIVO",'Subseção de Sobral'!$G$4:$G$68,"31ªVara")</f>
        <v>1</v>
      </c>
      <c r="AL9" s="57">
        <f>COUNTIFS('Subseção de Sobral'!$E$4:$E$68,'SIGLAS CARGOS'!$C6,'Subseção de Sobral'!$F$4:$F$68,"EFETIVO",'Subseção de Sobral'!$G$4:$G$68,"SUBDIRFORO")</f>
        <v>1</v>
      </c>
      <c r="AM9" s="60">
        <f t="shared" si="3"/>
        <v>5</v>
      </c>
      <c r="AN9" s="61">
        <f>COUNTIFS('Subseção de Crateús'!$E$4:$E$67,'SIGLAS CARGOS'!C6,'Subseção de Crateús'!$F$4:$F$67,"EFETIVO",'Subseção de Crateús'!$G$4:$G$67,"22ªVARA")</f>
        <v>1</v>
      </c>
      <c r="AO9" s="57">
        <f>COUNTIFS('Subseção de Crateús'!$E$4:$E$67,'SIGLAS CARGOS'!C6,'Subseção de Crateús'!$F$4:$F$67,"EFETIVO",'Subseção de Crateús'!$G$4:$G$67,"SUBDIRFORO")</f>
        <v>0</v>
      </c>
      <c r="AP9" s="60">
        <f>SUM(AN9:AO9)</f>
        <v>1</v>
      </c>
      <c r="AQ9" s="57">
        <f>COUNTIFS('23ªVara - Subseção de Quixadá'!$E$4:$E$64,'SIGLAS CARGOS'!C6,'23ªVara - Subseção de Quixadá'!$F$4:$F$64,"EFETIVO",'23ªVara - Subseção de Quixadá'!$G$4:$G$64,"23ªVARA")</f>
        <v>1</v>
      </c>
      <c r="AR9" s="57">
        <f>COUNTIFS('23ªVara - Subseção de Quixadá'!$E$4:$E$64,'SIGLAS CARGOS'!C6,'23ªVara - Subseção de Quixadá'!$F$4:$F$64,"EFETIVO",'23ªVara - Subseção de Quixadá'!$G$4:$G$64,"SUBDIRFORO")</f>
        <v>0</v>
      </c>
      <c r="AS9" s="60">
        <f>SUM(AQ9:AR9)</f>
        <v>1</v>
      </c>
      <c r="AT9" s="57">
        <f>COUNTIFS('24ªVara - Subseção de Tauá'!$E$4:$E$73,'SIGLAS CARGOS'!C6,'24ªVara - Subseção de Tauá'!$F$4:$F$73,"EFETIVO",'24ªVara - Subseção de Tauá'!$G$4:$G$73,"24ªVARA")</f>
        <v>1</v>
      </c>
      <c r="AU9" s="57">
        <f>COUNTIFS('24ªVara - Subseção de Tauá'!$E$4:$E$73,'SIGLAS CARGOS'!C6,'24ªVara - Subseção de Tauá'!$F$4:$F$73,"EFETIVO",'24ªVara - Subseção de Tauá'!$G$4:$G$73,"SUBDIRFORO")</f>
        <v>0</v>
      </c>
      <c r="AV9" s="60">
        <f>SUM(AT9:AU9)</f>
        <v>1</v>
      </c>
      <c r="AW9" s="57">
        <f>COUNTIFS('25ªVara - Subseção de Iguatu'!$E$4:$E$66,'SIGLAS CARGOS'!C6,'25ªVara - Subseção de Iguatu'!$F$4:$F$66,"EFETIVO",'25ªVara - Subseção de Iguatu'!$G$4:$G$66,"25ªVARA")</f>
        <v>0</v>
      </c>
      <c r="AX9" s="57">
        <f>COUNTIFS('25ªVara - Subseção de Iguatu'!$E$4:$E$66,'SIGLAS CARGOS'!C6,'25ªVara - Subseção de Iguatu'!$F$4:$F$66,"EFETIVO",'25ªVara - Subseção de Iguatu'!$G$4:$G$66,"SUBDIRFORO")</f>
        <v>0</v>
      </c>
      <c r="AY9" s="60">
        <f>SUM(AW9:AX9)</f>
        <v>0</v>
      </c>
      <c r="AZ9" s="57">
        <f>COUNTIFS('27ªVara - Subseção de Itapipoca'!$E$4:$E$67,'SIGLAS CARGOS'!C6,'27ªVara - Subseção de Itapipoca'!$F$4:$F$67,"EFETIVO",'27ªVara - Subseção de Itapipoca'!$G$4:$G$67,"27ªVARA")</f>
        <v>1</v>
      </c>
      <c r="BA9" s="57">
        <f>COUNTIFS('27ªVara - Subseção de Itapipoca'!$E$4:$E$67,'SIGLAS CARGOS'!C6,'27ªVara - Subseção de Itapipoca'!$F$4:$F$67,"EFETIVO",'27ªVara - Subseção de Itapipoca'!$G$4:$G$67,"SUBDIRFORO")</f>
        <v>0</v>
      </c>
      <c r="BB9" s="60">
        <f>SUM(AZ9:BA9)</f>
        <v>1</v>
      </c>
      <c r="BC9" s="57">
        <f>COUNTIFS('Subseção de Maracanaú'!$E$4:$E$70,'SIGLAS CARGOS'!C6,'Subseção de Maracanaú'!$F$4:$F$70,"EFETIVO",'Subseção de Maracanaú'!$G$4:$G$70,"34ªVARA")</f>
        <v>2</v>
      </c>
      <c r="BD9" s="57">
        <f>COUNTIFS('Subseção de Maracanaú'!$E$4:$E$70,'SIGLAS CARGOS'!C6,'Subseção de Maracanaú'!$F$4:$F$70,"EFETIVO",'Subseção de Maracanaú'!$G$4:$G$70,"35ªVARA")</f>
        <v>0</v>
      </c>
      <c r="BE9" s="57">
        <f>COUNTIFS('Subseção de Maracanaú'!$E$4:$E$70,'SIGLAS CARGOS'!C6,'Subseção de Maracanaú'!$F$4:$F$70,"EFETIVO",'Subseção de Maracanaú'!$G$4:$G$70,"SUBDIRFORO")</f>
        <v>0</v>
      </c>
      <c r="BF9" s="70">
        <f>SUM(BC9:BE9)</f>
        <v>2</v>
      </c>
      <c r="BG9" s="63">
        <f t="shared" si="4"/>
        <v>45</v>
      </c>
      <c r="BH9" s="64">
        <f>'Cargos vagos'!C144</f>
        <v>0</v>
      </c>
      <c r="BI9" s="65">
        <f>COUNTIF(Cedidos!$E$4:$E$44,"AJAA")</f>
        <v>1</v>
      </c>
      <c r="BJ9" s="66">
        <f t="shared" si="5"/>
        <v>46</v>
      </c>
      <c r="BK9" s="26"/>
      <c r="BL9" s="67"/>
      <c r="BM9" s="68"/>
    </row>
    <row r="10" spans="1:65" ht="17.75" x14ac:dyDescent="0.35">
      <c r="A10" s="56" t="s">
        <v>62</v>
      </c>
      <c r="B10" s="57">
        <f>COUNTIFS('1ªVara'!$E$4:$E$28,'SIGLAS CARGOS'!C7,'1ªVara'!$F$4:$F$28,"EFETIVO")</f>
        <v>0</v>
      </c>
      <c r="C10" s="57">
        <f>COUNTIFS('2ªVara'!$E$4:$E$18,'SIGLAS CARGOS'!C7,'2ªVara'!$F$4:$F$18,"EFETIVO")</f>
        <v>0</v>
      </c>
      <c r="D10" s="57">
        <f>COUNTIFS('3ªVara'!$E$4:$E$48,'SIGLAS CARGOS'!C7,'3ªVara'!$F$4:$F$48,"EFETIVO")</f>
        <v>0</v>
      </c>
      <c r="E10" s="57">
        <f>COUNTIFS('4ªVara'!$E$4:$E$19,'SIGLAS CARGOS'!C7,'4ªVara'!$F$4:$F$19,"EFETIVO")</f>
        <v>0</v>
      </c>
      <c r="F10" s="57">
        <f>COUNTIFS('5ªVara'!$E$4:$E$20,'SIGLAS CARGOS'!C7,'5ªVara'!$F$4:$F$20,"EFETIVO")</f>
        <v>0</v>
      </c>
      <c r="G10" s="57">
        <f>COUNTIFS('6ªVara'!$E$4:$E$21,'SIGLAS CARGOS'!C7,'6ªVara'!$F$4:$F$21,"EFETIVO")</f>
        <v>0</v>
      </c>
      <c r="H10" s="57">
        <f>COUNTIFS('7ªVara'!$E$4:$E$18,'SIGLAS CARGOS'!C7,'7ªVara'!$F$4:$F$18,"EFETIVO")</f>
        <v>0</v>
      </c>
      <c r="I10" s="57">
        <f>COUNTIFS('8ªVara'!$E$4:$E$21,'SIGLAS CARGOS'!C7,'8ªVara'!$F$4:$F$21,"EFETIVO")</f>
        <v>0</v>
      </c>
      <c r="J10" s="57">
        <f>COUNTIFS('9ªVara'!$E$4:$E$22,'SIGLAS CARGOS'!C7,'9ªVara'!$F$4:$F$22,"EFETIVO")</f>
        <v>0</v>
      </c>
      <c r="K10" s="57">
        <f>COUNTIFS('10ªVara'!$E$4:$E$20,'SIGLAS CARGOS'!C7,'10ªVara'!$G$4:$G$20,"EFETIVO")</f>
        <v>0</v>
      </c>
      <c r="L10" s="57">
        <f>COUNTIFS('11ªVara'!$E$4:$E$21,'SIGLAS CARGOS'!C7,'11ªVara'!$F$4:$F$21,"EFETIVO")</f>
        <v>0</v>
      </c>
      <c r="M10" s="57">
        <f>COUNTIFS('12ªVara'!$E$3:$E$21,'SIGLAS CARGOS'!C7,'12ªVara'!$F$3:$F$21,"EFETIVO")</f>
        <v>0</v>
      </c>
      <c r="N10" s="57">
        <f>COUNTIFS('13ªVara'!$E$3:$E$17,'SIGLAS CARGOS'!C7,'13ªVara'!$F$3:$F$17,"EFETIVO")</f>
        <v>0</v>
      </c>
      <c r="O10" s="57">
        <f>COUNTIFS('14ªVara'!$E$3:$E$21,'SIGLAS CARGOS'!C7,'14ªVara'!$F$3:$F$21,"EFETIVO")</f>
        <v>2</v>
      </c>
      <c r="P10" s="57">
        <f>COUNTIFS('20ªVara'!$E$4:$E$20,'SIGLAS CARGOS'!C7,'20ªVara'!$F$4:$F$20,"EFETIVO")</f>
        <v>0</v>
      </c>
      <c r="Q10" s="57">
        <f>COUNTIFS('21ªVara'!$E$4:$E$26,'SIGLAS CARGOS'!C7,'21ªVara'!$F$4:$F$26,"EFETIVO")</f>
        <v>2</v>
      </c>
      <c r="R10" s="57">
        <v>2</v>
      </c>
      <c r="S10" s="58">
        <f>COUNTIFS('28ªVara'!$E$4:$E$30,'SIGLAS CARGOS'!C7,'28ªVara'!$F$4:$F$30,"EFETIVO")</f>
        <v>3</v>
      </c>
      <c r="T10" s="57">
        <f>COUNTIFS('32ªVara'!$E$4:$E$20,'SIGLAS CARGOS'!C7,'32ªVara'!$F$4:$F$20,"EFETIVO")</f>
        <v>0</v>
      </c>
      <c r="U10" s="57">
        <f>COUNTIFS('33ªVara'!$E$4:$E$20,'SIGLAS CARGOS'!C7,'33ªVara'!$F$4:$F$20,"EFETIVO")</f>
        <v>0</v>
      </c>
      <c r="V10" s="57">
        <f>COUNTIFS('Turmas Recursais'!$E$4:$E$45,'SIGLAS CARGOS'!C7,'Turmas Recursais'!$F$4:$F$45,"EFETIVO")</f>
        <v>0</v>
      </c>
      <c r="W10" s="57">
        <f>COUNTIFS('Diretoria do Foro'!$E$4:$E$36,'SIGLAS CARGOS'!C7,'Diretoria do Foro'!$I$4:$I$36,"EFETIVO")</f>
        <v>0</v>
      </c>
      <c r="X10" s="57">
        <f>COUNTIFS('Secretaria Administrativa'!$E$3:$E$256,'SIGLAS CARGOS'!C7,'Secretaria Administrativa'!$I$3:$I$256,"EFETIVO")</f>
        <v>60</v>
      </c>
      <c r="Y10" s="59">
        <f t="shared" si="0"/>
        <v>69</v>
      </c>
      <c r="Z10" s="57">
        <v>2</v>
      </c>
      <c r="AA10" s="57">
        <f>COUNTIFS('Subseção de Limoeiro do Norte'!$E$4:$E$45,'SIGLAS CARGOS'!C7,'Subseção de Limoeiro do Norte'!$F$4:$F$45,"EFETIVO",'Subseção de Limoeiro do Norte'!$G$4:$G$45,"29ªVARA")</f>
        <v>2</v>
      </c>
      <c r="AB10" s="57">
        <f>COUNTIFS('Subseção de Limoeiro do Norte'!$E$4:$E$45,'SIGLAS CARGOS'!C7,'Subseção de Limoeiro do Norte'!$F$4:$F$45,"EFETIVO",'Subseção de Limoeiro do Norte'!$G$4:$G$45,"SUBDIRFORO")</f>
        <v>0</v>
      </c>
      <c r="AC10" s="69">
        <f t="shared" si="1"/>
        <v>4</v>
      </c>
      <c r="AD10" s="57">
        <f>COUNTIFS('Subseção de Juazeiro do Norte'!$E$3:$E$65,'SIGLAS CARGOS'!C7,'Subseção de Juazeiro do Norte'!$F$3:$F$65,"EFETIVO",'Subseção de Juazeiro do Norte'!$G$3:$G$65,"16ªVara")</f>
        <v>3</v>
      </c>
      <c r="AE10" s="57">
        <f>COUNTIFS('Subseção de Juazeiro do Norte'!$E$3:$E$65,'SIGLAS CARGOS'!C7,'Subseção de Juazeiro do Norte'!$F$3:$F$65,"EFETIVO",'Subseção de Juazeiro do Norte'!$G$3:$G$65,"17ªVara")</f>
        <v>1</v>
      </c>
      <c r="AF10" s="57">
        <f>COUNTIFS('Subseção de Juazeiro do Norte'!$E$3:$E$65,'SIGLAS CARGOS'!C7,'Subseção de Juazeiro do Norte'!$F$3:$F$65,"EFETIVO",'Subseção de Juazeiro do Norte'!$G$3:$G$65,"30ªVara")</f>
        <v>1</v>
      </c>
      <c r="AG10" s="57">
        <f>COUNTIFS('Subseção de Juazeiro do Norte'!$E$3:$E$65,'SIGLAS CARGOS'!C7,'Subseção de Juazeiro do Norte'!$F$3:$F$65,"EFETIVO",'Subseção de Juazeiro do Norte'!$G$3:$G$65,"SUBDIRFORO")</f>
        <v>0</v>
      </c>
      <c r="AH10" s="60">
        <f t="shared" si="2"/>
        <v>5</v>
      </c>
      <c r="AI10" s="57">
        <f>COUNTIFS('Subseção de Sobral'!$E$4:$E$68,'SIGLAS CARGOS'!C7,'Subseção de Sobral'!$F$4:$F$68,"EFETIVO",'Subseção de Sobral'!$G$4:$G$68,"18ªVara")</f>
        <v>2</v>
      </c>
      <c r="AJ10" s="57">
        <f>COUNTIFS('Subseção de Sobral'!$E$4:$E$68,'SIGLAS CARGOS'!C7,'Subseção de Sobral'!$F$4:$F$68,"EFETIVO",'Subseção de Sobral'!$G$4:$G$68,"19ªVara")</f>
        <v>2</v>
      </c>
      <c r="AK10" s="57">
        <f>COUNTIFS('Subseção de Sobral'!$E$4:$E$68,'SIGLAS CARGOS'!C7,'Subseção de Sobral'!$F$4:$F$68,"EFETIVO",'Subseção de Sobral'!$G$4:$G$68,"31ªVara")</f>
        <v>2</v>
      </c>
      <c r="AL10" s="57">
        <f>COUNTIFS('Subseção de Sobral'!$E$4:$E$68,'SIGLAS CARGOS'!$C7,'Subseção de Sobral'!$F$4:$F$68,"EFETIVO",'Subseção de Sobral'!$G$4:$G$68,"SUBDIRFORO")</f>
        <v>0</v>
      </c>
      <c r="AM10" s="60">
        <f t="shared" si="3"/>
        <v>6</v>
      </c>
      <c r="AN10" s="61">
        <f>COUNTIFS('Subseção de Crateús'!$E$4:$E$67,'SIGLAS CARGOS'!C7,'Subseção de Crateús'!$F$4:$F$67,"EFETIVO",'Subseção de Crateús'!$G$4:$G$67,"22ªVARA")</f>
        <v>2</v>
      </c>
      <c r="AO10" s="57">
        <f>COUNTIFS('Subseção de Crateús'!$E$4:$E$67,'SIGLAS CARGOS'!C7,'Subseção de Crateús'!$F$4:$F$67,"EFETIVO",'Subseção de Crateús'!$G$4:$G$67,"SUBDIRFORO")</f>
        <v>0</v>
      </c>
      <c r="AP10" s="60">
        <f>SUM(AN10:AO10)</f>
        <v>2</v>
      </c>
      <c r="AQ10" s="57">
        <v>2</v>
      </c>
      <c r="AR10" s="57">
        <f>COUNTIFS('23ªVara - Subseção de Quixadá'!$E$4:$E$64,'SIGLAS CARGOS'!C7,'23ªVara - Subseção de Quixadá'!$F$4:$F$64,"EFETIVO",'23ªVara - Subseção de Quixadá'!$G$4:$G$64,"SUBDIRFORO")</f>
        <v>0</v>
      </c>
      <c r="AS10" s="60">
        <f>SUM(AQ10:AR10)</f>
        <v>2</v>
      </c>
      <c r="AT10" s="57">
        <f>COUNTIFS('24ªVara - Subseção de Tauá'!$E$4:$E$73,'SIGLAS CARGOS'!C7,'24ªVara - Subseção de Tauá'!$F$4:$F$73,"EFETIVO",'24ªVara - Subseção de Tauá'!$G$4:$G$73,"24ªVARA")</f>
        <v>2</v>
      </c>
      <c r="AU10" s="57">
        <f>COUNTIFS('24ªVara - Subseção de Tauá'!$E$4:$E$73,'SIGLAS CARGOS'!C7,'24ªVara - Subseção de Tauá'!$F$4:$F$73,"EFETIVO",'24ªVara - Subseção de Tauá'!$G$4:$G$73,"SUBDIRFORO")</f>
        <v>0</v>
      </c>
      <c r="AV10" s="60">
        <f>SUM(AT10:AU10)</f>
        <v>2</v>
      </c>
      <c r="AW10" s="57">
        <f>COUNTIFS('25ªVara - Subseção de Iguatu'!$E$4:$E$66,'SIGLAS CARGOS'!C7,'25ªVara - Subseção de Iguatu'!$F$4:$F$66,"EFETIVO",'25ªVara - Subseção de Iguatu'!$G$4:$G$66,"25ªVARA")</f>
        <v>2</v>
      </c>
      <c r="AX10" s="57">
        <f>COUNTIFS('25ªVara - Subseção de Iguatu'!$E$4:$E$66,'SIGLAS CARGOS'!C7,'25ªVara - Subseção de Iguatu'!$F$4:$F$66,"EFETIVO",'25ªVara - Subseção de Iguatu'!$G$4:$G$66,"SUBDIRFORO")</f>
        <v>0</v>
      </c>
      <c r="AY10" s="60">
        <f>SUM(AW10:AX10)</f>
        <v>2</v>
      </c>
      <c r="AZ10" s="57">
        <f>COUNTIFS('27ªVara - Subseção de Itapipoca'!$E$4:$E$67,'SIGLAS CARGOS'!C7,'27ªVara - Subseção de Itapipoca'!$F$4:$F$67,"EFETIVO",'27ªVara - Subseção de Itapipoca'!$G$4:$G$67,"27ªVARA")</f>
        <v>2</v>
      </c>
      <c r="BA10" s="57">
        <f>COUNTIFS('27ªVara - Subseção de Itapipoca'!$E$4:$E$67,'SIGLAS CARGOS'!C7,'27ªVara - Subseção de Itapipoca'!$F$4:$F$67,"EFETIVO",'27ªVara - Subseção de Itapipoca'!$G$4:$G$67,"SUBDIRFORO")</f>
        <v>0</v>
      </c>
      <c r="BB10" s="60">
        <f>SUM(AZ10:BA10)</f>
        <v>2</v>
      </c>
      <c r="BC10" s="57">
        <f>COUNTIFS('Subseção de Maracanaú'!$E$4:$E$70,'SIGLAS CARGOS'!C7,'Subseção de Maracanaú'!$F$4:$F$70,"EFETIVO",'Subseção de Maracanaú'!$G$4:$G$70,"34ªVARA")</f>
        <v>2</v>
      </c>
      <c r="BD10" s="57">
        <f>COUNTIFS('Subseção de Maracanaú'!$E$4:$E$70,'SIGLAS CARGOS'!C7,'Subseção de Maracanaú'!$F$4:$F$70,"EFETIVO",'Subseção de Maracanaú'!$G$4:$G$70,"35ªVARA")</f>
        <v>1</v>
      </c>
      <c r="BE10" s="57">
        <f>COUNTIFS('Subseção de Maracanaú'!$E$4:$E$70,'SIGLAS CARGOS'!C7,'Subseção de Maracanaú'!$F$4:$F$70,"EFETIVO",'Subseção de Maracanaú'!$G$4:$G$70,"SUBDIRFORO")</f>
        <v>0</v>
      </c>
      <c r="BF10" s="70">
        <f>SUM(BC10:BE10)</f>
        <v>3</v>
      </c>
      <c r="BG10" s="71">
        <f t="shared" si="4"/>
        <v>97</v>
      </c>
      <c r="BH10" s="64">
        <f>'Cargos vagos'!C143</f>
        <v>0</v>
      </c>
      <c r="BI10" s="65">
        <f>COUNTIF(Cedidos!$E$4:$E$44,"AJOJ")</f>
        <v>5</v>
      </c>
      <c r="BJ10" s="66">
        <f t="shared" si="5"/>
        <v>102</v>
      </c>
      <c r="BK10" s="26"/>
      <c r="BL10" s="67"/>
      <c r="BM10" s="68"/>
    </row>
    <row r="11" spans="1:65" ht="17.75" x14ac:dyDescent="0.35">
      <c r="A11" s="56" t="s">
        <v>63</v>
      </c>
      <c r="B11" s="57">
        <f>COUNTIFS('1ªVara'!$E$4:$E$28,'SIGLAS CARGOS'!C8,'1ªVara'!$F$4:$F$28,"EFETIVO")</f>
        <v>0</v>
      </c>
      <c r="C11" s="57">
        <f>COUNTIFS('2ªVara'!$E$4:$E$18,'SIGLAS CARGOS'!C8,'2ªVara'!$F$4:$F$18,"EFETIVO")</f>
        <v>0</v>
      </c>
      <c r="D11" s="57">
        <f>COUNTIFS('3ªVara'!$E$4:$E$48,'SIGLAS CARGOS'!C8,'3ªVara'!$F$4:$F$48,"EFETIVO")</f>
        <v>0</v>
      </c>
      <c r="E11" s="57">
        <f>COUNTIFS('4ªVara'!$E$4:$E$19,'SIGLAS CARGOS'!C8,'4ªVara'!$F$4:$F$19,"EFETIVO")</f>
        <v>0</v>
      </c>
      <c r="F11" s="57">
        <f>COUNTIFS('5ªVara'!$E$4:$E$20,'SIGLAS CARGOS'!C8,'5ªVara'!$F$4:$F$20,"EFETIVO")</f>
        <v>0</v>
      </c>
      <c r="G11" s="57">
        <f>COUNTIFS('6ªVara'!$E$4:$E$21,'SIGLAS CARGOS'!C8,'6ªVara'!$F$4:$F$21,"EFETIVO")</f>
        <v>0</v>
      </c>
      <c r="H11" s="57">
        <f>COUNTIFS('7ªVara'!$E$4:$E$18,'SIGLAS CARGOS'!C8,'7ªVara'!$F$4:$F$18,"EFETIVO")</f>
        <v>0</v>
      </c>
      <c r="I11" s="57">
        <f>COUNTIFS('8ªVara'!$E$4:$E$21,'SIGLAS CARGOS'!C8,'8ªVara'!$F$4:$F$21,"EFETIVO")</f>
        <v>0</v>
      </c>
      <c r="J11" s="57">
        <f>COUNTIFS('9ªVara'!$E$4:$E$22,'SIGLAS CARGOS'!C8,'9ªVara'!$F$4:$F$22,"EFETIVO")</f>
        <v>0</v>
      </c>
      <c r="K11" s="57">
        <f>COUNTIFS('10ªVara'!$E$4:$E$20,'SIGLAS CARGOS'!C8,'10ªVara'!$G$4:$G$20,"EFETIVO")</f>
        <v>0</v>
      </c>
      <c r="L11" s="57">
        <f>COUNTIFS('11ªVara'!$E$4:$E$21,'SIGLAS CARGOS'!C8,'11ªVara'!$F$4:$F$21,"EFETIVO")</f>
        <v>0</v>
      </c>
      <c r="M11" s="57">
        <f>COUNTIFS('12ªVara'!$E$3:$E$21,'SIGLAS CARGOS'!C8,'12ªVara'!$F$3:$F$21,"EFETIVO")</f>
        <v>0</v>
      </c>
      <c r="N11" s="57">
        <f>COUNTIFS('13ªVara'!$E$3:$E$17,'SIGLAS CARGOS'!C8,'13ªVara'!$F$3:$F$17,"EFETIVO")</f>
        <v>0</v>
      </c>
      <c r="O11" s="57">
        <f>COUNTIFS('14ªVara'!$E$3:$E$21,'SIGLAS CARGOS'!C8,'14ªVara'!$F$3:$F$21,"EFETIVO")</f>
        <v>0</v>
      </c>
      <c r="P11" s="57">
        <f>COUNTIFS('20ªVara'!$E$4:$E$20,'SIGLAS CARGOS'!C8,'20ªVara'!$F$4:$F$20,"EFETIVO")</f>
        <v>0</v>
      </c>
      <c r="Q11" s="57">
        <f>COUNTIFS('21ªVara'!$E$4:$E$26,'SIGLAS CARGOS'!C8,'21ªVara'!$F$4:$F$26,"EFETIVO")</f>
        <v>0</v>
      </c>
      <c r="R11" s="57">
        <f>COUNTIFS('26ªVara'!$E$3:$E$20,'SIGLAS CARGOS'!C8,'26ªVara'!$F$3:$F$20,"EFETIVO")</f>
        <v>0</v>
      </c>
      <c r="S11" s="58">
        <f>COUNTIFS('28ªVara'!$E$4:$E$30,'SIGLAS CARGOS'!C8,'28ªVara'!$F$4:$F$30,"EFETIVO")</f>
        <v>0</v>
      </c>
      <c r="T11" s="57">
        <f>COUNTIFS('32ªVara'!$E$4:$E$20,'SIGLAS CARGOS'!C8,'32ªVara'!$F$4:$F$20,"EFETIVO")</f>
        <v>0</v>
      </c>
      <c r="U11" s="57">
        <f>COUNTIFS('33ªVara'!$E$4:$E$20,'SIGLAS CARGOS'!C8,'33ªVara'!$F$4:$F$20,"EFETIVO")</f>
        <v>0</v>
      </c>
      <c r="V11" s="57">
        <f>COUNTIFS('Turmas Recursais'!$E$4:$E$45,'SIGLAS CARGOS'!C8,'Turmas Recursais'!$F$4:$F$45,"EFETIVO")</f>
        <v>0</v>
      </c>
      <c r="W11" s="57">
        <f>COUNTIFS('Diretoria do Foro'!$E$4:$E$36,'SIGLAS CARGOS'!C8,'Diretoria do Foro'!$I$4:$I$36,"EFETIVO")</f>
        <v>0</v>
      </c>
      <c r="X11" s="57">
        <f>COUNTIFS('Secretaria Administrativa'!$E$3:$E$256,'SIGLAS CARGOS'!C8,'Secretaria Administrativa'!$I$3:$I$256,"EFETIVO")</f>
        <v>1</v>
      </c>
      <c r="Y11" s="59">
        <f t="shared" si="0"/>
        <v>1</v>
      </c>
      <c r="Z11" s="57">
        <f>COUNTIFS('Subseção de Limoeiro do Norte'!$E$4:$E$45,'SIGLAS CARGOS'!C8,'Subseção de Limoeiro do Norte'!$F$4:$F$45,"EFETIVO",'Subseção de Limoeiro do Norte'!$G$4:$G$45,"15ªVARA")</f>
        <v>0</v>
      </c>
      <c r="AA11" s="57">
        <f>COUNTIFS('Subseção de Limoeiro do Norte'!$E$4:$E$45,'SIGLAS CARGOS'!C8,'Subseção de Limoeiro do Norte'!$F$4:$F$45,"EFETIVO",'Subseção de Limoeiro do Norte'!$G$4:$G$45,"29ªVARA")</f>
        <v>0</v>
      </c>
      <c r="AB11" s="57">
        <f>COUNTIFS('Subseção de Limoeiro do Norte'!$E$4:$E$45,'SIGLAS CARGOS'!C8,'Subseção de Limoeiro do Norte'!$F$4:$F$45,"EFETIVO",'Subseção de Limoeiro do Norte'!$G$4:$G$45,"SUBDIRFORO")</f>
        <v>0</v>
      </c>
      <c r="AC11" s="69">
        <f t="shared" si="1"/>
        <v>0</v>
      </c>
      <c r="AD11" s="57">
        <f>COUNTIFS('Subseção de Juazeiro do Norte'!$E$3:$E$65,'SIGLAS CARGOS'!C8,'Subseção de Juazeiro do Norte'!$F$3:$F$65,"EFETIVO",'Subseção de Juazeiro do Norte'!$G$3:$G$65,"16ªVara")</f>
        <v>0</v>
      </c>
      <c r="AE11" s="57">
        <f>COUNTIFS('Subseção de Juazeiro do Norte'!$E$3:$E$65,'SIGLAS CARGOS'!C8,'Subseção de Juazeiro do Norte'!$F$3:$F$65,"EFETIVO",'Subseção de Juazeiro do Norte'!$G$3:$G$65,"17ªVara")</f>
        <v>0</v>
      </c>
      <c r="AF11" s="57">
        <f>COUNTIFS('Subseção de Juazeiro do Norte'!$E$3:$E$65,'SIGLAS CARGOS'!C8,'Subseção de Juazeiro do Norte'!$F$3:$F$65,"EFETIVO",'Subseção de Juazeiro do Norte'!$G$3:$G$65,"30ªVara")</f>
        <v>0</v>
      </c>
      <c r="AG11" s="57">
        <f>COUNTIFS('Subseção de Juazeiro do Norte'!$E$3:$E$65,'SIGLAS CARGOS'!C8,'Subseção de Juazeiro do Norte'!$F$3:$F$65,"EFETIVO",'Subseção de Juazeiro do Norte'!$G$3:$G$65,"SUBDIRFORO")</f>
        <v>0</v>
      </c>
      <c r="AH11" s="60">
        <f t="shared" si="2"/>
        <v>0</v>
      </c>
      <c r="AI11" s="57">
        <f>COUNTIFS('Subseção de Sobral'!$E$4:$E$68,'SIGLAS CARGOS'!C8,'Subseção de Sobral'!$F$4:$F$68,"EFETIVO",'Subseção de Sobral'!$G$4:$G$68,"18ªVara")</f>
        <v>0</v>
      </c>
      <c r="AJ11" s="57">
        <f>COUNTIFS('Subseção de Sobral'!$E$4:$E$68,'SIGLAS CARGOS'!C8,'Subseção de Sobral'!$F$4:$F$68,"EFETIVO",'Subseção de Sobral'!$G$4:$G$68,"19ªVara")</f>
        <v>0</v>
      </c>
      <c r="AK11" s="57">
        <f>COUNTIFS('Subseção de Sobral'!$E$4:$E$68,'SIGLAS CARGOS'!C8,'Subseção de Sobral'!$F$4:$F$68,"EFETIVO",'Subseção de Sobral'!$G$4:$G$68,"31ªVara")</f>
        <v>0</v>
      </c>
      <c r="AL11" s="57">
        <f>COUNTIFS('Subseção de Sobral'!$E$4:$E$68,'SIGLAS CARGOS'!$C8,'Subseção de Sobral'!$F$4:$F$68,"EFETIVO",'Subseção de Sobral'!$G$4:$G$68,"SUBDIRFORO")</f>
        <v>0</v>
      </c>
      <c r="AM11" s="60">
        <f t="shared" si="3"/>
        <v>0</v>
      </c>
      <c r="AN11" s="61">
        <f>COUNTIFS('Subseção de Crateús'!$E$4:$E$67,'SIGLAS CARGOS'!C8,'Subseção de Crateús'!$F$4:$F$67,"EFETIVO",'Subseção de Crateús'!$G$4:$G$67,"22ªVARA")</f>
        <v>0</v>
      </c>
      <c r="AO11" s="57">
        <f>COUNTIFS('Subseção de Crateús'!$E$4:$E$67,'SIGLAS CARGOS'!C8,'Subseção de Crateús'!$F$4:$F$67,"EFETIVO",'Subseção de Crateús'!$G$4:$G$67,"SUBDIRFORO")</f>
        <v>0</v>
      </c>
      <c r="AP11" s="60">
        <f>SUM(AN11:AO11)</f>
        <v>0</v>
      </c>
      <c r="AQ11" s="57">
        <f>COUNTIFS('23ªVara - Subseção de Quixadá'!$E$4:$E$64,'SIGLAS CARGOS'!C8,'23ªVara - Subseção de Quixadá'!$F$4:$F$64,"EFETIVO",'23ªVara - Subseção de Quixadá'!$G$4:$G$64,"23ªVARA")</f>
        <v>0</v>
      </c>
      <c r="AR11" s="57">
        <f>COUNTIFS('23ªVara - Subseção de Quixadá'!$E$4:$E$64,'SIGLAS CARGOS'!C8,'23ªVara - Subseção de Quixadá'!$F$4:$F$64,"EFETIVO",'23ªVara - Subseção de Quixadá'!$G$4:$G$64,"SUBDIRFORO")</f>
        <v>0</v>
      </c>
      <c r="AS11" s="60">
        <f>SUM(AQ11:AR11)</f>
        <v>0</v>
      </c>
      <c r="AT11" s="57">
        <f>COUNTIFS('24ªVara - Subseção de Tauá'!$E$4:$E$73,'SIGLAS CARGOS'!C8,'24ªVara - Subseção de Tauá'!$F$4:$F$73,"EFETIVO",'24ªVara - Subseção de Tauá'!$G$4:$G$73,"24ªVARA")</f>
        <v>0</v>
      </c>
      <c r="AU11" s="57">
        <f>COUNTIFS('24ªVara - Subseção de Tauá'!$E$4:$E$73,'SIGLAS CARGOS'!C8,'24ªVara - Subseção de Tauá'!$F$4:$F$73,"EFETIVO",'24ªVara - Subseção de Tauá'!$G$4:$G$73,"SUBDIRFORO")</f>
        <v>0</v>
      </c>
      <c r="AV11" s="60">
        <f>SUM(AT11:AU11)</f>
        <v>0</v>
      </c>
      <c r="AW11" s="57">
        <f>COUNTIFS('25ªVara - Subseção de Iguatu'!$E$4:$E$66,'SIGLAS CARGOS'!C8,'25ªVara - Subseção de Iguatu'!$F$4:$F$66,"EFETIVO",'25ªVara - Subseção de Iguatu'!$G$4:$G$66,"25ªVARA")</f>
        <v>0</v>
      </c>
      <c r="AX11" s="57">
        <f>COUNTIFS('25ªVara - Subseção de Iguatu'!$E$4:$E$66,'SIGLAS CARGOS'!C8,'25ªVara - Subseção de Iguatu'!$F$4:$F$66,"EFETIVO",'25ªVara - Subseção de Iguatu'!$G$4:$G$66,"SUBDIRFORO")</f>
        <v>0</v>
      </c>
      <c r="AY11" s="60">
        <f>SUM(AW11:AX11)</f>
        <v>0</v>
      </c>
      <c r="AZ11" s="57">
        <f>COUNTIFS('27ªVara - Subseção de Itapipoca'!$E$4:$E$67,'SIGLAS CARGOS'!C8,'27ªVara - Subseção de Itapipoca'!$F$4:$F$67,"EFETIVO",'27ªVara - Subseção de Itapipoca'!$G$4:$G$67,"27ªVARA")</f>
        <v>0</v>
      </c>
      <c r="BA11" s="57">
        <f>COUNTIFS('27ªVara - Subseção de Itapipoca'!$E$4:$E$67,'SIGLAS CARGOS'!C8,'27ªVara - Subseção de Itapipoca'!$F$4:$F$67,"EFETIVO",'27ªVara - Subseção de Itapipoca'!$G$4:$G$67,"SUBDIRFORO")</f>
        <v>0</v>
      </c>
      <c r="BB11" s="60">
        <f>SUM(AZ11:BA11)</f>
        <v>0</v>
      </c>
      <c r="BC11" s="57">
        <f>COUNTIFS('Subseção de Maracanaú'!$E$4:$E$70,'SIGLAS CARGOS'!C8,'Subseção de Maracanaú'!$F$4:$F$70,"EFETIVO",'Subseção de Maracanaú'!$G$4:$G$70,"34ªVARA")</f>
        <v>0</v>
      </c>
      <c r="BD11" s="57">
        <f>COUNTIFS('Subseção de Maracanaú'!$E$4:$E$70,'SIGLAS CARGOS'!C8,'Subseção de Maracanaú'!$F$4:$F$70,"EFETIVO",'Subseção de Maracanaú'!$G$4:$G$70,"35ªVARA")</f>
        <v>0</v>
      </c>
      <c r="BE11" s="57">
        <f>COUNTIFS('Subseção de Maracanaú'!$E$4:$E$70,'SIGLAS CARGOS'!C8,'Subseção de Maracanaú'!$F$4:$F$70,"EFETIVO",'Subseção de Maracanaú'!$G$4:$G$70,"SUBDIRFORO")</f>
        <v>0</v>
      </c>
      <c r="BF11" s="70">
        <f>SUM(BC11:BE11)</f>
        <v>0</v>
      </c>
      <c r="BG11" s="72">
        <f t="shared" si="4"/>
        <v>1</v>
      </c>
      <c r="BH11" s="64"/>
      <c r="BI11" s="65"/>
      <c r="BJ11" s="66">
        <f t="shared" si="5"/>
        <v>1</v>
      </c>
      <c r="BK11" s="26"/>
      <c r="BL11" s="67"/>
      <c r="BM11" s="68"/>
    </row>
    <row r="12" spans="1:65" ht="17.75" x14ac:dyDescent="0.35">
      <c r="A12" s="56" t="s">
        <v>64</v>
      </c>
      <c r="B12" s="57">
        <f>COUNTIFS('1ªVara'!$E$4:$E$28,'SIGLAS CARGOS'!C9,'1ªVara'!$F$4:$F$28,"EFETIVO")</f>
        <v>0</v>
      </c>
      <c r="C12" s="57">
        <f>COUNTIFS('2ªVara'!$E$4:$E$18,'SIGLAS CARGOS'!C9,'2ªVara'!$F$4:$F$18,"EFETIVO")</f>
        <v>0</v>
      </c>
      <c r="D12" s="57">
        <f>COUNTIFS('3ªVara'!$E$4:$E$48,'SIGLAS CARGOS'!C9,'3ªVara'!$F$4:$F$48,"EFETIVO")</f>
        <v>0</v>
      </c>
      <c r="E12" s="57">
        <f>COUNTIFS('4ªVara'!$E$4:$E$19,'SIGLAS CARGOS'!C9,'4ªVara'!$F$4:$F$19,"EFETIVO")</f>
        <v>0</v>
      </c>
      <c r="F12" s="57">
        <f>COUNTIFS('5ªVara'!$E$4:$E$20,'SIGLAS CARGOS'!C9,'5ªVara'!$F$4:$F$20,"EFETIVO")</f>
        <v>0</v>
      </c>
      <c r="G12" s="57">
        <f>COUNTIFS('6ªVara'!$E$4:$E$21,'SIGLAS CARGOS'!C9,'6ªVara'!$F$4:$F$21,"EFETIVO")</f>
        <v>0</v>
      </c>
      <c r="H12" s="57">
        <f>COUNTIFS('7ªVara'!$E$4:$E$18,'SIGLAS CARGOS'!C9,'7ªVara'!$F$4:$F$18,"EFETIVO")</f>
        <v>0</v>
      </c>
      <c r="I12" s="57">
        <f>COUNTIFS('8ªVara'!$E$4:$E$21,'SIGLAS CARGOS'!C9,'8ªVara'!$F$4:$F$21,"EFETIVO")</f>
        <v>0</v>
      </c>
      <c r="J12" s="57">
        <f>COUNTIFS('9ªVara'!$E$4:$E$22,'SIGLAS CARGOS'!C9,'9ªVara'!$F$4:$F$22,"EFETIVO")</f>
        <v>0</v>
      </c>
      <c r="K12" s="57">
        <f>COUNTIFS('10ªVara'!$E$4:$E$20,'SIGLAS CARGOS'!C9,'10ªVara'!$G$4:$G$20,"EFETIVO")</f>
        <v>0</v>
      </c>
      <c r="L12" s="57">
        <f>COUNTIFS('11ªVara'!$E$4:$E$21,'SIGLAS CARGOS'!C9,'11ªVara'!$F$4:$F$21,"EFETIVO")</f>
        <v>0</v>
      </c>
      <c r="M12" s="57">
        <f>COUNTIFS('12ªVara'!$E$3:$E$21,'SIGLAS CARGOS'!C9,'12ªVara'!$F$3:$F$21,"EFETIVO")</f>
        <v>0</v>
      </c>
      <c r="N12" s="57">
        <f>COUNTIFS('13ªVara'!$E$3:$E$17,'SIGLAS CARGOS'!C9,'13ªVara'!$F$3:$F$17,"EFETIVO")</f>
        <v>0</v>
      </c>
      <c r="O12" s="57">
        <f>COUNTIFS('14ªVara'!$E$3:$E$21,'SIGLAS CARGOS'!C9,'14ªVara'!$F$3:$F$21,"EFETIVO")</f>
        <v>0</v>
      </c>
      <c r="P12" s="57">
        <f>COUNTIFS('20ªVara'!$E$4:$E$20,'SIGLAS CARGOS'!C9,'20ªVara'!$F$4:$F$20,"EFETIVO")</f>
        <v>0</v>
      </c>
      <c r="Q12" s="57">
        <f>COUNTIFS('21ªVara'!$E$4:$E$26,'SIGLAS CARGOS'!C9,'21ªVara'!$F$4:$F$26,"EFETIVO")</f>
        <v>0</v>
      </c>
      <c r="R12" s="57">
        <f>COUNTIFS('26ªVara'!$E$3:$E$20,'SIGLAS CARGOS'!C9,'26ªVara'!$F$3:$F$20,"EFETIVO")</f>
        <v>0</v>
      </c>
      <c r="S12" s="58">
        <f>COUNTIFS('28ªVara'!$E$4:$E$30,'SIGLAS CARGOS'!C9,'28ªVara'!$F$4:$F$30,"EFETIVO")</f>
        <v>0</v>
      </c>
      <c r="T12" s="57">
        <f>COUNTIFS('32ªVara'!$E$4:$E$20,'SIGLAS CARGOS'!C9,'32ªVara'!$F$4:$F$20,"EFETIVO")</f>
        <v>0</v>
      </c>
      <c r="U12" s="57">
        <f>COUNTIFS('33ªVara'!$E$4:$E$20,'SIGLAS CARGOS'!C9,'33ªVara'!$F$4:$F$20,"EFETIVO")</f>
        <v>0</v>
      </c>
      <c r="V12" s="57">
        <f>COUNTIFS('Turmas Recursais'!$E$4:$E$45,'SIGLAS CARGOS'!C9,'Turmas Recursais'!$F$4:$F$45,"EFETIVO")</f>
        <v>0</v>
      </c>
      <c r="W12" s="57">
        <f>COUNTIFS('Diretoria do Foro'!$E$4:$E$36,'SIGLAS CARGOS'!C9,'Diretoria do Foro'!$I$4:$I$36,"EFETIVO")</f>
        <v>0</v>
      </c>
      <c r="X12" s="57">
        <f>COUNTIFS('Secretaria Administrativa'!$E$3:$E$256,'SIGLAS CARGOS'!C9,'Secretaria Administrativa'!$I$3:$I$256,"EFETIVO")</f>
        <v>1</v>
      </c>
      <c r="Y12" s="59">
        <f t="shared" si="0"/>
        <v>1</v>
      </c>
      <c r="Z12" s="57">
        <f>COUNTIFS('Subseção de Limoeiro do Norte'!$E$4:$E$45,'SIGLAS CARGOS'!C9,'Subseção de Limoeiro do Norte'!$F$4:$F$45,"EFETIVO",'Subseção de Limoeiro do Norte'!$G$4:$G$45,"15ªVARA")</f>
        <v>0</v>
      </c>
      <c r="AA12" s="57">
        <f>COUNTIFS('Subseção de Limoeiro do Norte'!$E$4:$E$45,'SIGLAS CARGOS'!C9,'Subseção de Limoeiro do Norte'!$F$4:$F$45,"EFETIVO",'Subseção de Limoeiro do Norte'!$G$4:$G$45,"29ªVARA")</f>
        <v>0</v>
      </c>
      <c r="AB12" s="57">
        <f>COUNTIFS('Subseção de Limoeiro do Norte'!$E$4:$E$45,'SIGLAS CARGOS'!C9,'Subseção de Limoeiro do Norte'!$F$4:$F$45,"EFETIVO",'Subseção de Limoeiro do Norte'!$G$4:$G$45,"SUBDIRFORO")</f>
        <v>0</v>
      </c>
      <c r="AC12" s="69">
        <f t="shared" si="1"/>
        <v>0</v>
      </c>
      <c r="AD12" s="57">
        <f>COUNTIFS('Subseção de Juazeiro do Norte'!$E$3:$E$65,'SIGLAS CARGOS'!C9,'Subseção de Juazeiro do Norte'!$F$3:$F$65,"EFETIVO",'Subseção de Juazeiro do Norte'!$G$3:$G$65,"16ªVara")</f>
        <v>0</v>
      </c>
      <c r="AE12" s="57">
        <f>COUNTIFS('Subseção de Juazeiro do Norte'!$E$3:$E$65,'SIGLAS CARGOS'!C9,'Subseção de Juazeiro do Norte'!$F$3:$F$65,"EFETIVO",'Subseção de Juazeiro do Norte'!$G$3:$G$65,"17ªVara")</f>
        <v>0</v>
      </c>
      <c r="AF12" s="57">
        <f>COUNTIFS('Subseção de Juazeiro do Norte'!$E$3:$E$65,'SIGLAS CARGOS'!C9,'Subseção de Juazeiro do Norte'!$F$3:$F$65,"EFETIVO",'Subseção de Juazeiro do Norte'!$G$3:$G$65,"30ªVara")</f>
        <v>0</v>
      </c>
      <c r="AG12" s="57">
        <f>COUNTIFS('Subseção de Juazeiro do Norte'!$E$3:$E$65,'SIGLAS CARGOS'!C9,'Subseção de Juazeiro do Norte'!$F$3:$F$65,"EFETIVO",'Subseção de Juazeiro do Norte'!$G$3:$G$65,"SUBDIRFORO")</f>
        <v>0</v>
      </c>
      <c r="AH12" s="60">
        <f t="shared" si="2"/>
        <v>0</v>
      </c>
      <c r="AI12" s="57">
        <f>COUNTIFS('Subseção de Sobral'!$E$4:$E$68,'SIGLAS CARGOS'!C9,'Subseção de Sobral'!$F$4:$F$68,"EFETIVO",'Subseção de Sobral'!$G$4:$G$68,"18ªVara")</f>
        <v>0</v>
      </c>
      <c r="AJ12" s="57">
        <f>COUNTIFS('Subseção de Sobral'!$E$4:$E$68,'SIGLAS CARGOS'!C9,'Subseção de Sobral'!$F$4:$F$68,"EFETIVO",'Subseção de Sobral'!$G$4:$G$68,"19ªVara")</f>
        <v>0</v>
      </c>
      <c r="AK12" s="57">
        <f>COUNTIFS('Subseção de Sobral'!$E$4:$E$68,'SIGLAS CARGOS'!C9,'Subseção de Sobral'!$F$4:$F$68,"EFETIVO",'Subseção de Sobral'!$G$4:$G$68,"31ªVara")</f>
        <v>0</v>
      </c>
      <c r="AL12" s="57">
        <f>COUNTIFS('Subseção de Sobral'!$E$4:$E$68,'SIGLAS CARGOS'!$C9,'Subseção de Sobral'!$F$4:$F$68,"EFETIVO",'Subseção de Sobral'!$G$4:$G$68,"SUBDIRFORO")</f>
        <v>0</v>
      </c>
      <c r="AM12" s="60">
        <f t="shared" si="3"/>
        <v>0</v>
      </c>
      <c r="AN12" s="61">
        <f>COUNTIFS('Subseção de Crateús'!$E$4:$E$67,'SIGLAS CARGOS'!C9,'Subseção de Crateús'!$F$4:$F$67,"EFETIVO",'Subseção de Crateús'!$G$4:$G$67,"22ªVARA")</f>
        <v>0</v>
      </c>
      <c r="AO12" s="57">
        <f>COUNTIFS('Subseção de Crateús'!$E$4:$E$67,'SIGLAS CARGOS'!C9,'Subseção de Crateús'!$F$4:$F$67,"EFETIVO",'Subseção de Crateús'!$G$4:$G$67,"SUBDIRFORO")</f>
        <v>0</v>
      </c>
      <c r="AP12" s="60">
        <f>SUM(AL12:AO12)</f>
        <v>0</v>
      </c>
      <c r="AQ12" s="57">
        <f>COUNTIFS('23ªVara - Subseção de Quixadá'!$E$4:$E$64,'SIGLAS CARGOS'!C9,'23ªVara - Subseção de Quixadá'!$F$4:$F$64,"EFETIVO",'23ªVara - Subseção de Quixadá'!$G$4:$G$64,"23ªVARA")</f>
        <v>0</v>
      </c>
      <c r="AR12" s="57">
        <f>COUNTIFS('23ªVara - Subseção de Quixadá'!$E$4:$E$64,'SIGLAS CARGOS'!C9,'23ªVara - Subseção de Quixadá'!$F$4:$F$64,"EFETIVO",'23ªVara - Subseção de Quixadá'!$G$4:$G$64,"SUBDIRFORO")</f>
        <v>0</v>
      </c>
      <c r="AS12" s="60">
        <f>SUM(AO12:AR12)</f>
        <v>0</v>
      </c>
      <c r="AT12" s="57">
        <f>COUNTIFS('24ªVara - Subseção de Tauá'!$E$4:$E$73,'SIGLAS CARGOS'!C9,'24ªVara - Subseção de Tauá'!$F$4:$F$73,"EFETIVO",'24ªVara - Subseção de Tauá'!$G$4:$G$73,"24ªVARA")</f>
        <v>0</v>
      </c>
      <c r="AU12" s="57">
        <f>COUNTIFS('24ªVara - Subseção de Tauá'!$E$4:$E$73,'SIGLAS CARGOS'!C9,'24ªVara - Subseção de Tauá'!$F$4:$F$73,"EFETIVO",'24ªVara - Subseção de Tauá'!$G$4:$G$73,"SUBDIRFORO")</f>
        <v>0</v>
      </c>
      <c r="AV12" s="60">
        <f>SUM(AR12:AU12)</f>
        <v>0</v>
      </c>
      <c r="AW12" s="57">
        <f>COUNTIFS('25ªVara - Subseção de Iguatu'!$E$4:$E$66,'SIGLAS CARGOS'!C9,'25ªVara - Subseção de Iguatu'!$F$4:$F$66,"EFETIVO",'25ªVara - Subseção de Iguatu'!$G$4:$G$66,"25ªVARA")</f>
        <v>0</v>
      </c>
      <c r="AX12" s="57">
        <f>COUNTIFS('25ªVara - Subseção de Iguatu'!$E$4:$E$66,'SIGLAS CARGOS'!C9,'25ªVara - Subseção de Iguatu'!$F$4:$F$66,"EFETIVO",'25ªVara - Subseção de Iguatu'!$G$4:$G$66,"SUBDIRFORO")</f>
        <v>0</v>
      </c>
      <c r="AY12" s="60">
        <f>SUM(AU12:AX12)</f>
        <v>0</v>
      </c>
      <c r="AZ12" s="57">
        <f>COUNTIFS('27ªVara - Subseção de Itapipoca'!$E$4:$E$67,'SIGLAS CARGOS'!C9,'27ªVara - Subseção de Itapipoca'!$F$4:$F$67,"EFETIVO",'27ªVara - Subseção de Itapipoca'!$G$4:$G$67,"27ªVARA")</f>
        <v>0</v>
      </c>
      <c r="BA12" s="57">
        <f>COUNTIFS('27ªVara - Subseção de Itapipoca'!$E$4:$E$67,'SIGLAS CARGOS'!C9,'27ªVara - Subseção de Itapipoca'!$F$4:$F$67,"EFETIVO",'27ªVara - Subseção de Itapipoca'!$G$4:$G$67,"SUBDIRFORO")</f>
        <v>0</v>
      </c>
      <c r="BB12" s="60">
        <f>SUM(AX12:BA12)</f>
        <v>0</v>
      </c>
      <c r="BC12" s="57">
        <f>COUNTIFS('Subseção de Maracanaú'!$E$4:$E$70,'SIGLAS CARGOS'!C9,'Subseção de Maracanaú'!$F$4:$F$70,"EFETIVO",'Subseção de Maracanaú'!$G$4:$G$70,"34ªVARA")</f>
        <v>0</v>
      </c>
      <c r="BD12" s="57">
        <f>COUNTIFS('Subseção de Maracanaú'!$E$4:$E$70,'SIGLAS CARGOS'!C9,'Subseção de Maracanaú'!$F$4:$F$70,"EFETIVO",'Subseção de Maracanaú'!$G$4:$G$70,"35ªVARA")</f>
        <v>0</v>
      </c>
      <c r="BE12" s="57">
        <f>COUNTIFS('Subseção de Maracanaú'!$E$4:$E$70,'SIGLAS CARGOS'!C9,'Subseção de Maracanaú'!$F$4:$F$70,"EFETIVO",'Subseção de Maracanaú'!$G$4:$G$70,"SUBDIRFORO")</f>
        <v>0</v>
      </c>
      <c r="BF12" s="60">
        <f>SUM(BB12:BE12)</f>
        <v>0</v>
      </c>
      <c r="BG12" s="72">
        <f t="shared" si="4"/>
        <v>1</v>
      </c>
      <c r="BH12" s="64"/>
      <c r="BI12" s="65"/>
      <c r="BJ12" s="66">
        <f t="shared" si="5"/>
        <v>1</v>
      </c>
      <c r="BK12" s="26"/>
      <c r="BL12" s="67"/>
      <c r="BM12" s="68"/>
    </row>
    <row r="13" spans="1:65" ht="17.75" x14ac:dyDescent="0.35">
      <c r="A13" s="56" t="s">
        <v>65</v>
      </c>
      <c r="B13" s="57">
        <f>COUNTIFS('1ªVara'!$E$4:$E$28,'SIGLAS CARGOS'!C10,'1ªVara'!$F$4:$F$28,"EFETIVO")</f>
        <v>0</v>
      </c>
      <c r="C13" s="57">
        <f>COUNTIFS('2ªVara'!$E$4:$E$18,'SIGLAS CARGOS'!C10,'2ªVara'!$F$4:$F$18,"EFETIVO")</f>
        <v>0</v>
      </c>
      <c r="D13" s="57">
        <f>COUNTIFS('3ªVara'!$E$4:$E$48,'SIGLAS CARGOS'!C10,'3ªVara'!$F$4:$F$48,"EFETIVO")</f>
        <v>0</v>
      </c>
      <c r="E13" s="57">
        <f>COUNTIFS('4ªVara'!$E$4:$E$19,'SIGLAS CARGOS'!C10,'4ªVara'!$F$4:$F$19,"EFETIVO")</f>
        <v>0</v>
      </c>
      <c r="F13" s="57">
        <f>COUNTIFS('5ªVara'!$E$4:$E$20,'SIGLAS CARGOS'!C10,'5ªVara'!$F$4:$F$20,"EFETIVO")</f>
        <v>0</v>
      </c>
      <c r="G13" s="57">
        <f>COUNTIFS('6ªVara'!$E$4:$E$21,'SIGLAS CARGOS'!C10,'6ªVara'!$F$4:$F$21,"EFETIVO")</f>
        <v>0</v>
      </c>
      <c r="H13" s="57">
        <f>COUNTIFS('7ªVara'!$E$4:$E$18,'SIGLAS CARGOS'!C10,'7ªVara'!$F$4:$F$18,"EFETIVO")</f>
        <v>0</v>
      </c>
      <c r="I13" s="57">
        <f>COUNTIFS('8ªVara'!$E$4:$E$21,'SIGLAS CARGOS'!C10,'8ªVara'!$F$4:$F$21,"EFETIVO")</f>
        <v>0</v>
      </c>
      <c r="J13" s="57">
        <f>COUNTIFS('9ªVara'!$E$4:$E$22,'SIGLAS CARGOS'!C10,'9ªVara'!$F$4:$F$22,"EFETIVO")</f>
        <v>0</v>
      </c>
      <c r="K13" s="57">
        <f>COUNTIFS('10ªVara'!$E$4:$E$20,'SIGLAS CARGOS'!C10,'10ªVara'!$G$4:$G$20,"EFETIVO")</f>
        <v>0</v>
      </c>
      <c r="L13" s="57">
        <f>COUNTIFS('11ªVara'!$E$4:$E$21,'SIGLAS CARGOS'!C10,'11ªVara'!$F$4:$F$21,"EFETIVO")</f>
        <v>0</v>
      </c>
      <c r="M13" s="57">
        <f>COUNTIFS('12ªVara'!$E$3:$E$21,'SIGLAS CARGOS'!C10,'12ªVara'!$F$3:$F$21,"EFETIVO")</f>
        <v>0</v>
      </c>
      <c r="N13" s="57">
        <f>COUNTIFS('13ªVara'!$E$3:$E$17,'SIGLAS CARGOS'!C10,'13ªVara'!$F$3:$F$17,"EFETIVO")</f>
        <v>0</v>
      </c>
      <c r="O13" s="57">
        <f>COUNTIFS('14ªVara'!$E$3:$E$21,'SIGLAS CARGOS'!C10,'14ªVara'!$F$3:$F$21,"EFETIVO")</f>
        <v>0</v>
      </c>
      <c r="P13" s="57">
        <f>COUNTIFS('20ªVara'!$E$4:$E$20,'SIGLAS CARGOS'!C10,'20ªVara'!$F$4:$F$20,"EFETIVO")</f>
        <v>0</v>
      </c>
      <c r="Q13" s="57">
        <f>COUNTIFS('21ªVara'!$E$4:$E$26,'SIGLAS CARGOS'!C10,'21ªVara'!$F$4:$F$26,"EFETIVO")</f>
        <v>0</v>
      </c>
      <c r="R13" s="57">
        <f>COUNTIFS('26ªVara'!$E$3:$E$20,'SIGLAS CARGOS'!C10,'26ªVara'!$F$3:$F$20,"EFETIVO")</f>
        <v>0</v>
      </c>
      <c r="S13" s="58">
        <f>COUNTIFS('28ªVara'!$E$4:$E$30,'SIGLAS CARGOS'!C10,'28ªVara'!$F$4:$F$30,"EFETIVO")</f>
        <v>0</v>
      </c>
      <c r="T13" s="57">
        <f>COUNTIFS('32ªVara'!$E$4:$E$20,'SIGLAS CARGOS'!C10,'32ªVara'!$F$4:$F$20,"EFETIVO")</f>
        <v>0</v>
      </c>
      <c r="U13" s="57">
        <f>COUNTIFS('33ªVara'!$E$4:$E$20,'SIGLAS CARGOS'!C10,'33ªVara'!$F$4:$F$20,"EFETIVO")</f>
        <v>0</v>
      </c>
      <c r="V13" s="57">
        <f>COUNTIFS('Turmas Recursais'!$E$4:$E$45,'SIGLAS CARGOS'!C10,'Turmas Recursais'!$F$4:$F$45,"EFETIVO")</f>
        <v>0</v>
      </c>
      <c r="W13" s="57">
        <f>COUNTIFS('Diretoria do Foro'!$E$4:$E$36,'SIGLAS CARGOS'!C10,'Diretoria do Foro'!$I$4:$I$36,"EFETIVO")</f>
        <v>0</v>
      </c>
      <c r="X13" s="57">
        <f>COUNTIFS('Secretaria Administrativa'!$E$3:$E$256,'SIGLAS CARGOS'!C10,'Secretaria Administrativa'!$I$3:$I$256,"EFETIVO")</f>
        <v>2</v>
      </c>
      <c r="Y13" s="59">
        <f t="shared" si="0"/>
        <v>2</v>
      </c>
      <c r="Z13" s="57">
        <f>COUNTIFS('Subseção de Limoeiro do Norte'!$E$4:$E$45,'SIGLAS CARGOS'!C10,'Subseção de Limoeiro do Norte'!$F$4:$F$45,"EFETIVO",'Subseção de Limoeiro do Norte'!$G$4:$G$45,"15ªVARA")</f>
        <v>0</v>
      </c>
      <c r="AA13" s="57">
        <f>COUNTIFS('Subseção de Limoeiro do Norte'!$E$4:$E$45,'SIGLAS CARGOS'!C10,'Subseção de Limoeiro do Norte'!$F$4:$F$45,"EFETIVO",'Subseção de Limoeiro do Norte'!$G$4:$G$45,"29ªVARA")</f>
        <v>0</v>
      </c>
      <c r="AB13" s="57">
        <f>COUNTIFS('Subseção de Limoeiro do Norte'!$E$4:$E$45,'SIGLAS CARGOS'!C10,'Subseção de Limoeiro do Norte'!$F$4:$F$45,"EFETIVO",'Subseção de Limoeiro do Norte'!$G$4:$G$45,"SUBDIRFORO")</f>
        <v>0</v>
      </c>
      <c r="AC13" s="69">
        <f t="shared" si="1"/>
        <v>0</v>
      </c>
      <c r="AD13" s="57">
        <f>COUNTIFS('Subseção de Juazeiro do Norte'!$E$3:$E$65,'SIGLAS CARGOS'!C10,'Subseção de Juazeiro do Norte'!$F$3:$F$65,"EFETIVO",'Subseção de Juazeiro do Norte'!$G$3:$G$65,"16ªVara")</f>
        <v>0</v>
      </c>
      <c r="AE13" s="57">
        <f>COUNTIFS('Subseção de Juazeiro do Norte'!$E$3:$E$65,'SIGLAS CARGOS'!C10,'Subseção de Juazeiro do Norte'!$F$3:$F$65,"EFETIVO",'Subseção de Juazeiro do Norte'!$G$3:$G$65,"17ªVara")</f>
        <v>0</v>
      </c>
      <c r="AF13" s="57">
        <f>COUNTIFS('Subseção de Juazeiro do Norte'!$E$3:$E$65,'SIGLAS CARGOS'!C10,'Subseção de Juazeiro do Norte'!$F$3:$F$65,"EFETIVO",'Subseção de Juazeiro do Norte'!$G$3:$G$65,"30ªVara")</f>
        <v>0</v>
      </c>
      <c r="AG13" s="57">
        <f>COUNTIFS('Subseção de Juazeiro do Norte'!$E$3:$E$65,'SIGLAS CARGOS'!C10,'Subseção de Juazeiro do Norte'!$F$3:$F$65,"EFETIVO",'Subseção de Juazeiro do Norte'!$G$3:$G$65,"SUBDIRFORO")</f>
        <v>0</v>
      </c>
      <c r="AH13" s="60">
        <f t="shared" si="2"/>
        <v>0</v>
      </c>
      <c r="AI13" s="57">
        <f>COUNTIFS('Subseção de Sobral'!$E$4:$E$68,'SIGLAS CARGOS'!C10,'Subseção de Sobral'!$F$4:$F$68,"EFETIVO",'Subseção de Sobral'!$G$4:$G$68,"18ªVara")</f>
        <v>0</v>
      </c>
      <c r="AJ13" s="57">
        <f>COUNTIFS('Subseção de Sobral'!$E$4:$E$68,'SIGLAS CARGOS'!C10,'Subseção de Sobral'!$F$4:$F$68,"EFETIVO",'Subseção de Sobral'!$G$4:$G$68,"19ªVara")</f>
        <v>0</v>
      </c>
      <c r="AK13" s="57">
        <f>COUNTIFS('Subseção de Sobral'!$E$4:$E$68,'SIGLAS CARGOS'!C10,'Subseção de Sobral'!$F$4:$F$68,"EFETIVO",'Subseção de Sobral'!$G$4:$G$68,"31ªVara")</f>
        <v>0</v>
      </c>
      <c r="AL13" s="57">
        <f>COUNTIFS('Subseção de Sobral'!$E$4:$E$68,'SIGLAS CARGOS'!$C10,'Subseção de Sobral'!$F$4:$F$68,"EFETIVO",'Subseção de Sobral'!$G$4:$G$68,"SUBDIRFORO")</f>
        <v>0</v>
      </c>
      <c r="AM13" s="60">
        <f t="shared" si="3"/>
        <v>0</v>
      </c>
      <c r="AN13" s="61">
        <f>COUNTIFS('Subseção de Crateús'!$E$4:$E$67,'SIGLAS CARGOS'!C10,'Subseção de Crateús'!$F$4:$F$67,"EFETIVO",'Subseção de Crateús'!$G$4:$G$67,"22ªVARA")</f>
        <v>0</v>
      </c>
      <c r="AO13" s="57">
        <f>COUNTIFS('Subseção de Crateús'!$E$4:$E$67,'SIGLAS CARGOS'!C10,'Subseção de Crateús'!$F$4:$F$67,"EFETIVO",'Subseção de Crateús'!$G$4:$G$67,"SUBDIRFORO")</f>
        <v>0</v>
      </c>
      <c r="AP13" s="60">
        <f>SUM(AL13:AO13)</f>
        <v>0</v>
      </c>
      <c r="AQ13" s="57">
        <f>COUNTIFS('23ªVara - Subseção de Quixadá'!$E$4:$E$64,'SIGLAS CARGOS'!C10,'23ªVara - Subseção de Quixadá'!$F$4:$F$64,"EFETIVO",'23ªVara - Subseção de Quixadá'!$G$4:$G$64,"23ªVARA")</f>
        <v>0</v>
      </c>
      <c r="AR13" s="57">
        <f>COUNTIFS('23ªVara - Subseção de Quixadá'!$E$4:$E$64,'SIGLAS CARGOS'!C10,'23ªVara - Subseção de Quixadá'!$F$4:$F$64,"EFETIVO",'23ªVara - Subseção de Quixadá'!$G$4:$G$64,"SUBDIRFORO")</f>
        <v>0</v>
      </c>
      <c r="AS13" s="60">
        <f>SUM(AO13:AR13)</f>
        <v>0</v>
      </c>
      <c r="AT13" s="57">
        <f>COUNTIFS('24ªVara - Subseção de Tauá'!$E$4:$E$73,'SIGLAS CARGOS'!C10,'24ªVara - Subseção de Tauá'!$F$4:$F$73,"EFETIVO",'24ªVara - Subseção de Tauá'!$G$4:$G$73,"24ªVARA")</f>
        <v>0</v>
      </c>
      <c r="AU13" s="57">
        <f>COUNTIFS('24ªVara - Subseção de Tauá'!$E$4:$E$73,'SIGLAS CARGOS'!C10,'24ªVara - Subseção de Tauá'!$F$4:$F$73,"EFETIVO",'24ªVara - Subseção de Tauá'!$G$4:$G$73,"SUBDIRFORO")</f>
        <v>0</v>
      </c>
      <c r="AV13" s="60">
        <f>SUM(AR13:AU13)</f>
        <v>0</v>
      </c>
      <c r="AW13" s="57">
        <f>COUNTIFS('25ªVara - Subseção de Iguatu'!$E$4:$E$66,'SIGLAS CARGOS'!C10,'25ªVara - Subseção de Iguatu'!$F$4:$F$66,"EFETIVO",'25ªVara - Subseção de Iguatu'!$G$4:$G$66,"25ªVARA")</f>
        <v>0</v>
      </c>
      <c r="AX13" s="57">
        <f>COUNTIFS('25ªVara - Subseção de Iguatu'!$E$4:$E$66,'SIGLAS CARGOS'!C10,'25ªVara - Subseção de Iguatu'!$F$4:$F$66,"EFETIVO",'25ªVara - Subseção de Iguatu'!$G$4:$G$66,"SUBDIRFORO")</f>
        <v>0</v>
      </c>
      <c r="AY13" s="60">
        <f>SUM(AU13:AX13)</f>
        <v>0</v>
      </c>
      <c r="AZ13" s="57">
        <f>COUNTIFS('27ªVara - Subseção de Itapipoca'!$E$4:$E$67,'SIGLAS CARGOS'!C10,'27ªVara - Subseção de Itapipoca'!$F$4:$F$67,"EFETIVO",'27ªVara - Subseção de Itapipoca'!$G$4:$G$67,"27ªVARA")</f>
        <v>0</v>
      </c>
      <c r="BA13" s="57">
        <f>COUNTIFS('27ªVara - Subseção de Itapipoca'!$E$4:$E$67,'SIGLAS CARGOS'!C10,'27ªVara - Subseção de Itapipoca'!$F$4:$F$67,"EFETIVO",'27ªVara - Subseção de Itapipoca'!$G$4:$G$67,"SUBDIRFORO")</f>
        <v>0</v>
      </c>
      <c r="BB13" s="60">
        <f>SUM(AX13:BA13)</f>
        <v>0</v>
      </c>
      <c r="BC13" s="57">
        <f>COUNTIFS('Subseção de Maracanaú'!$E$4:$E$70,'SIGLAS CARGOS'!C10,'Subseção de Maracanaú'!$F$4:$F$70,"EFETIVO",'Subseção de Maracanaú'!$G$4:$G$70,"34ªVARA")</f>
        <v>0</v>
      </c>
      <c r="BD13" s="57">
        <f>COUNTIFS('Subseção de Maracanaú'!$E$4:$E$70,'SIGLAS CARGOS'!C10,'Subseção de Maracanaú'!$F$4:$F$70,"EFETIVO",'Subseção de Maracanaú'!$G$4:$G$70,"35ªVARA")</f>
        <v>0</v>
      </c>
      <c r="BE13" s="57">
        <f>COUNTIFS('Subseção de Maracanaú'!$E$4:$E$70,'SIGLAS CARGOS'!C10,'Subseção de Maracanaú'!$F$4:$F$70,"EFETIVO",'Subseção de Maracanaú'!$G$4:$G$70,"SUBDIRFORO")</f>
        <v>0</v>
      </c>
      <c r="BF13" s="60">
        <f>SUM(BB13:BE13)</f>
        <v>0</v>
      </c>
      <c r="BG13" s="72">
        <f t="shared" si="4"/>
        <v>2</v>
      </c>
      <c r="BH13" s="64">
        <f>'Cargos vagos'!C147</f>
        <v>0</v>
      </c>
      <c r="BI13" s="65"/>
      <c r="BJ13" s="66">
        <f t="shared" si="5"/>
        <v>2</v>
      </c>
      <c r="BK13" s="26"/>
      <c r="BL13" s="67"/>
      <c r="BM13" s="68"/>
    </row>
    <row r="14" spans="1:65" ht="17.75" x14ac:dyDescent="0.35">
      <c r="A14" s="56" t="s">
        <v>66</v>
      </c>
      <c r="B14" s="57">
        <f>COUNTIFS('1ªVara'!$E$4:$E$28,'SIGLAS CARGOS'!C11,'1ªVara'!$F$4:$F$28,"EFETIVO")</f>
        <v>0</v>
      </c>
      <c r="C14" s="57">
        <f>COUNTIFS('2ªVara'!$E$4:$E$18,'SIGLAS CARGOS'!C11,'2ªVara'!$F$4:$F$18,"EFETIVO")</f>
        <v>0</v>
      </c>
      <c r="D14" s="57">
        <f>COUNTIFS('3ªVara'!$E$4:$E$48,'SIGLAS CARGOS'!C11,'3ªVara'!$F$4:$F$48,"EFETIVO")</f>
        <v>0</v>
      </c>
      <c r="E14" s="57">
        <f>COUNTIFS('4ªVara'!$E$4:$E$19,'SIGLAS CARGOS'!C11,'4ªVara'!$F$4:$F$19,"EFETIVO")</f>
        <v>0</v>
      </c>
      <c r="F14" s="57">
        <f>COUNTIFS('5ªVara'!$E$4:$E$20,'SIGLAS CARGOS'!C11,'5ªVara'!$F$4:$F$20,"EFETIVO")</f>
        <v>0</v>
      </c>
      <c r="G14" s="57">
        <f>COUNTIFS('6ªVara'!$E$4:$E$21,'SIGLAS CARGOS'!C11,'6ªVara'!$F$4:$F$21,"EFETIVO")</f>
        <v>0</v>
      </c>
      <c r="H14" s="57">
        <f>COUNTIFS('7ªVara'!$E$4:$E$18,'SIGLAS CARGOS'!C11,'7ªVara'!$F$4:$F$18,"EFETIVO")</f>
        <v>0</v>
      </c>
      <c r="I14" s="57">
        <f>COUNTIFS('8ªVara'!$E$4:$E$21,'SIGLAS CARGOS'!C11,'8ªVara'!$F$4:$F$21,"EFETIVO")</f>
        <v>0</v>
      </c>
      <c r="J14" s="57">
        <f>COUNTIFS('9ªVara'!$E$4:$E$22,'SIGLAS CARGOS'!C11,'9ªVara'!$F$4:$F$22,"EFETIVO")</f>
        <v>0</v>
      </c>
      <c r="K14" s="57">
        <f>COUNTIFS('10ªVara'!$E$4:$E$20,'SIGLAS CARGOS'!C11,'10ªVara'!$G$4:$G$20,"EFETIVO")</f>
        <v>0</v>
      </c>
      <c r="L14" s="57">
        <f>COUNTIFS('11ªVara'!$E$4:$E$21,'SIGLAS CARGOS'!C11,'11ªVara'!$F$4:$F$21,"EFETIVO")</f>
        <v>0</v>
      </c>
      <c r="M14" s="57">
        <f>COUNTIFS('12ªVara'!$E$3:$E$21,'SIGLAS CARGOS'!C11,'12ªVara'!$F$3:$F$21,"EFETIVO")</f>
        <v>0</v>
      </c>
      <c r="N14" s="57">
        <f>COUNTIFS('13ªVara'!$E$3:$E$17,'SIGLAS CARGOS'!C11,'13ªVara'!$F$3:$F$17,"EFETIVO")</f>
        <v>0</v>
      </c>
      <c r="O14" s="57">
        <f>COUNTIFS('14ªVara'!$E$3:$E$21,'SIGLAS CARGOS'!C11,'14ªVara'!$F$3:$F$21,"EFETIVO")</f>
        <v>0</v>
      </c>
      <c r="P14" s="57">
        <f>COUNTIFS('20ªVara'!$E$4:$E$20,'SIGLAS CARGOS'!C11,'20ªVara'!$F$4:$F$20,"EFETIVO")</f>
        <v>0</v>
      </c>
      <c r="Q14" s="57">
        <f>COUNTIFS('21ªVara'!$E$4:$E$26,'SIGLAS CARGOS'!C11,'21ªVara'!$F$4:$F$26,"EFETIVO")</f>
        <v>0</v>
      </c>
      <c r="R14" s="57">
        <f>COUNTIFS('26ªVara'!$E$3:$E$20,'SIGLAS CARGOS'!C11,'26ªVara'!$F$3:$F$20,"EFETIVO")</f>
        <v>0</v>
      </c>
      <c r="S14" s="58">
        <f>COUNTIFS('28ªVara'!$E$4:$E$30,'SIGLAS CARGOS'!C11,'28ªVara'!$F$4:$F$30,"EFETIVO")</f>
        <v>0</v>
      </c>
      <c r="T14" s="57">
        <f>COUNTIFS('32ªVara'!$E$4:$E$20,'SIGLAS CARGOS'!C11,'32ªVara'!$F$4:$F$20,"EFETIVO")</f>
        <v>0</v>
      </c>
      <c r="U14" s="57">
        <f>COUNTIFS('33ªVara'!$E$4:$E$20,'SIGLAS CARGOS'!C11,'33ªVara'!$F$4:$F$20,"EFETIVO")</f>
        <v>0</v>
      </c>
      <c r="V14" s="57">
        <f>COUNTIFS('Turmas Recursais'!$E$4:$E$45,'SIGLAS CARGOS'!C11,'Turmas Recursais'!$F$4:$F$45,"EFETIVO")</f>
        <v>0</v>
      </c>
      <c r="W14" s="57">
        <f>COUNTIFS('Diretoria do Foro'!$E$4:$E$36,'SIGLAS CARGOS'!C11,'Diretoria do Foro'!$I$4:$I$36,"EFETIVO")</f>
        <v>0</v>
      </c>
      <c r="X14" s="57">
        <f>COUNTIFS('Secretaria Administrativa'!$E$3:$E$256,'SIGLAS CARGOS'!C11,'Secretaria Administrativa'!$I$3:$I$256,"EFETIVO")</f>
        <v>1</v>
      </c>
      <c r="Y14" s="59">
        <f t="shared" si="0"/>
        <v>1</v>
      </c>
      <c r="Z14" s="57">
        <f>COUNTIFS('Subseção de Limoeiro do Norte'!$E$4:$E$45,'SIGLAS CARGOS'!C11,'Subseção de Limoeiro do Norte'!$F$4:$F$45,"EFETIVO",'Subseção de Limoeiro do Norte'!$G$4:$G$45,"15ªVARA")</f>
        <v>0</v>
      </c>
      <c r="AA14" s="57">
        <f>COUNTIFS('Subseção de Limoeiro do Norte'!$E$4:$E$45,'SIGLAS CARGOS'!C11,'Subseção de Limoeiro do Norte'!$F$4:$F$45,"EFETIVO",'Subseção de Limoeiro do Norte'!$G$4:$G$45,"29ªVARA")</f>
        <v>0</v>
      </c>
      <c r="AB14" s="57">
        <f>COUNTIFS('Subseção de Limoeiro do Norte'!$E$4:$E$45,'SIGLAS CARGOS'!C11,'Subseção de Limoeiro do Norte'!$F$4:$F$45,"EFETIVO",'Subseção de Limoeiro do Norte'!$G$4:$G$45,"SUBDIRFORO")</f>
        <v>0</v>
      </c>
      <c r="AC14" s="69">
        <f t="shared" si="1"/>
        <v>0</v>
      </c>
      <c r="AD14" s="57">
        <f>COUNTIFS('Subseção de Juazeiro do Norte'!$E$3:$E$65,'SIGLAS CARGOS'!C11,'Subseção de Juazeiro do Norte'!$F$3:$F$65,"EFETIVO",'Subseção de Juazeiro do Norte'!$G$3:$G$65,"16ªVara")</f>
        <v>0</v>
      </c>
      <c r="AE14" s="57">
        <f>COUNTIFS('Subseção de Juazeiro do Norte'!$E$3:$E$65,'SIGLAS CARGOS'!C11,'Subseção de Juazeiro do Norte'!$F$3:$F$65,"EFETIVO",'Subseção de Juazeiro do Norte'!$G$3:$G$65,"17ªVara")</f>
        <v>0</v>
      </c>
      <c r="AF14" s="57">
        <f>COUNTIFS('Subseção de Juazeiro do Norte'!$E$3:$E$65,'SIGLAS CARGOS'!C11,'Subseção de Juazeiro do Norte'!$F$3:$F$65,"EFETIVO",'Subseção de Juazeiro do Norte'!$G$3:$G$65,"30ªVara")</f>
        <v>0</v>
      </c>
      <c r="AG14" s="57">
        <f>COUNTIFS('Subseção de Juazeiro do Norte'!$E$3:$E$65,'SIGLAS CARGOS'!C11,'Subseção de Juazeiro do Norte'!$F$3:$F$65,"EFETIVO",'Subseção de Juazeiro do Norte'!$G$3:$G$65,"SUBDIRFORO")</f>
        <v>0</v>
      </c>
      <c r="AH14" s="60">
        <f t="shared" si="2"/>
        <v>0</v>
      </c>
      <c r="AI14" s="57">
        <f>COUNTIFS('Subseção de Sobral'!$E$4:$E$68,'SIGLAS CARGOS'!C11,'Subseção de Sobral'!$F$4:$F$68,"EFETIVO",'Subseção de Sobral'!$G$4:$G$68,"18ªVara")</f>
        <v>0</v>
      </c>
      <c r="AJ14" s="57">
        <f>COUNTIFS('Subseção de Sobral'!$E$4:$E$68,'SIGLAS CARGOS'!C11,'Subseção de Sobral'!$F$4:$F$68,"EFETIVO",'Subseção de Sobral'!$G$4:$G$68,"19ªVara")</f>
        <v>0</v>
      </c>
      <c r="AK14" s="57">
        <f>COUNTIFS('Subseção de Sobral'!$E$4:$E$68,'SIGLAS CARGOS'!C11,'Subseção de Sobral'!$F$4:$F$68,"EFETIVO",'Subseção de Sobral'!$G$4:$G$68,"31ªVara")</f>
        <v>0</v>
      </c>
      <c r="AL14" s="57">
        <f>COUNTIFS('Subseção de Sobral'!$E$4:$E$68,'SIGLAS CARGOS'!$C11,'Subseção de Sobral'!$F$4:$F$68,"EFETIVO",'Subseção de Sobral'!$G$4:$G$68,"SUBDIRFORO")</f>
        <v>0</v>
      </c>
      <c r="AM14" s="60">
        <f t="shared" si="3"/>
        <v>0</v>
      </c>
      <c r="AN14" s="61">
        <f>COUNTIFS('Subseção de Crateús'!$E$4:$E$67,'SIGLAS CARGOS'!C11,'Subseção de Crateús'!$F$4:$F$67,"EFETIVO",'Subseção de Crateús'!$G$4:$G$67,"22ªVARA")</f>
        <v>0</v>
      </c>
      <c r="AO14" s="57">
        <f>COUNTIFS('Subseção de Crateús'!$E$4:$E$67,'SIGLAS CARGOS'!C11,'Subseção de Crateús'!$F$4:$F$67,"EFETIVO",'Subseção de Crateús'!$G$4:$G$67,"SUBDIRFORO")</f>
        <v>0</v>
      </c>
      <c r="AP14" s="60">
        <f>SUM(AL14:AO14)</f>
        <v>0</v>
      </c>
      <c r="AQ14" s="57">
        <f>COUNTIFS('23ªVara - Subseção de Quixadá'!$E$4:$E$64,'SIGLAS CARGOS'!C11,'23ªVara - Subseção de Quixadá'!$F$4:$F$64,"EFETIVO",'23ªVara - Subseção de Quixadá'!$G$4:$G$64,"23ªVARA")</f>
        <v>0</v>
      </c>
      <c r="AR14" s="57">
        <f>COUNTIFS('23ªVara - Subseção de Quixadá'!$E$4:$E$64,'SIGLAS CARGOS'!C11,'23ªVara - Subseção de Quixadá'!$F$4:$F$64,"EFETIVO",'23ªVara - Subseção de Quixadá'!$G$4:$G$64,"SUBDIRFORO")</f>
        <v>0</v>
      </c>
      <c r="AS14" s="60">
        <f>SUM(AO14:AR14)</f>
        <v>0</v>
      </c>
      <c r="AT14" s="57">
        <f>COUNTIFS('24ªVara - Subseção de Tauá'!$E$4:$E$73,'SIGLAS CARGOS'!C11,'24ªVara - Subseção de Tauá'!$F$4:$F$73,"EFETIVO",'24ªVara - Subseção de Tauá'!$G$4:$G$73,"24ªVARA")</f>
        <v>0</v>
      </c>
      <c r="AU14" s="57">
        <f>COUNTIFS('24ªVara - Subseção de Tauá'!$E$4:$E$73,'SIGLAS CARGOS'!C11,'24ªVara - Subseção de Tauá'!$F$4:$F$73,"EFETIVO",'24ªVara - Subseção de Tauá'!$G$4:$G$73,"SUBDIRFORO")</f>
        <v>0</v>
      </c>
      <c r="AV14" s="60">
        <f>SUM(AR14:AU14)</f>
        <v>0</v>
      </c>
      <c r="AW14" s="57">
        <f>COUNTIFS('25ªVara - Subseção de Iguatu'!$E$4:$E$66,'SIGLAS CARGOS'!C11,'25ªVara - Subseção de Iguatu'!$F$4:$F$66,"EFETIVO",'25ªVara - Subseção de Iguatu'!$G$4:$G$66,"25ªVARA")</f>
        <v>0</v>
      </c>
      <c r="AX14" s="57">
        <f>COUNTIFS('25ªVara - Subseção de Iguatu'!$E$4:$E$66,'SIGLAS CARGOS'!C11,'25ªVara - Subseção de Iguatu'!$F$4:$F$66,"EFETIVO",'25ªVara - Subseção de Iguatu'!$G$4:$G$66,"SUBDIRFORO")</f>
        <v>0</v>
      </c>
      <c r="AY14" s="60">
        <f>SUM(AU14:AX14)</f>
        <v>0</v>
      </c>
      <c r="AZ14" s="57">
        <f>COUNTIFS('27ªVara - Subseção de Itapipoca'!$E$4:$E$67,'SIGLAS CARGOS'!C11,'27ªVara - Subseção de Itapipoca'!$F$4:$F$67,"EFETIVO",'27ªVara - Subseção de Itapipoca'!$G$4:$G$67,"27ªVARA")</f>
        <v>0</v>
      </c>
      <c r="BA14" s="57">
        <f>COUNTIFS('27ªVara - Subseção de Itapipoca'!$E$4:$E$67,'SIGLAS CARGOS'!C11,'27ªVara - Subseção de Itapipoca'!$F$4:$F$67,"EFETIVO",'27ªVara - Subseção de Itapipoca'!$G$4:$G$67,"SUBDIRFORO")</f>
        <v>0</v>
      </c>
      <c r="BB14" s="60">
        <f>SUM(AX14:BA14)</f>
        <v>0</v>
      </c>
      <c r="BC14" s="57">
        <f>COUNTIFS('Subseção de Maracanaú'!$E$4:$E$70,'SIGLAS CARGOS'!C11,'Subseção de Maracanaú'!$F$4:$F$70,"EFETIVO",'Subseção de Maracanaú'!$G$4:$G$70,"34ªVARA")</f>
        <v>0</v>
      </c>
      <c r="BD14" s="57">
        <f>COUNTIFS('Subseção de Maracanaú'!$E$4:$E$70,'SIGLAS CARGOS'!C11,'Subseção de Maracanaú'!$F$4:$F$70,"EFETIVO",'Subseção de Maracanaú'!$G$4:$G$70,"35ªVARA")</f>
        <v>0</v>
      </c>
      <c r="BE14" s="57">
        <f>COUNTIFS('Subseção de Maracanaú'!$E$4:$E$70,'SIGLAS CARGOS'!C11,'Subseção de Maracanaú'!$F$4:$F$70,"EFETIVO",'Subseção de Maracanaú'!$G$4:$G$70,"SUBDIRFORO")</f>
        <v>0</v>
      </c>
      <c r="BF14" s="60">
        <f>SUM(BB14:BE14)</f>
        <v>0</v>
      </c>
      <c r="BG14" s="72">
        <f t="shared" si="4"/>
        <v>1</v>
      </c>
      <c r="BH14" s="64">
        <v>0</v>
      </c>
      <c r="BI14" s="65"/>
      <c r="BJ14" s="66">
        <f t="shared" si="5"/>
        <v>1</v>
      </c>
      <c r="BK14" s="26"/>
      <c r="BL14" s="67"/>
      <c r="BM14" s="68"/>
    </row>
    <row r="15" spans="1:65" ht="17.75" x14ac:dyDescent="0.35">
      <c r="A15" s="56" t="s">
        <v>67</v>
      </c>
      <c r="B15" s="57">
        <f>COUNTIFS('1ªVara'!$E$4:$E$28,'SIGLAS CARGOS'!C12,'1ªVara'!$F$4:$F$28,"EFETIVO")</f>
        <v>0</v>
      </c>
      <c r="C15" s="57">
        <f>COUNTIFS('2ªVara'!$E$4:$E$18,'SIGLAS CARGOS'!C12,'2ªVara'!$F$4:$F$18,"EFETIVO")</f>
        <v>0</v>
      </c>
      <c r="D15" s="57">
        <f>COUNTIFS('3ªVara'!$E$4:$E$48,'SIGLAS CARGOS'!C12,'3ªVara'!$F$4:$F$48,"EFETIVO")</f>
        <v>0</v>
      </c>
      <c r="E15" s="57">
        <f>COUNTIFS('4ªVara'!$E$4:$E$19,'SIGLAS CARGOS'!C12,'4ªVara'!$F$4:$F$19,"EFETIVO")</f>
        <v>0</v>
      </c>
      <c r="F15" s="57">
        <f>COUNTIFS('5ªVara'!$E$4:$E$20,'SIGLAS CARGOS'!C12,'5ªVara'!$F$4:$F$20,"EFETIVO")</f>
        <v>0</v>
      </c>
      <c r="G15" s="57">
        <f>COUNTIFS('6ªVara'!$E$4:$E$21,'SIGLAS CARGOS'!C12,'6ªVara'!$F$4:$F$21,"EFETIVO")</f>
        <v>0</v>
      </c>
      <c r="H15" s="57">
        <f>COUNTIFS('7ªVara'!$E$4:$E$18,'SIGLAS CARGOS'!C12,'7ªVara'!$F$4:$F$18,"EFETIVO")</f>
        <v>0</v>
      </c>
      <c r="I15" s="57">
        <f>COUNTIFS('8ªVara'!$E$4:$E$21,'SIGLAS CARGOS'!C12,'8ªVara'!$F$4:$F$21,"EFETIVO")</f>
        <v>0</v>
      </c>
      <c r="J15" s="57">
        <f>COUNTIFS('9ªVara'!$E$4:$E$22,'SIGLAS CARGOS'!C12,'9ªVara'!$F$4:$F$22,"EFETIVO")</f>
        <v>0</v>
      </c>
      <c r="K15" s="57">
        <f>COUNTIFS('10ªVara'!$E$4:$E$20,'SIGLAS CARGOS'!C12,'10ªVara'!$G$4:$G$20,"EFETIVO")</f>
        <v>0</v>
      </c>
      <c r="L15" s="57">
        <f>COUNTIFS('11ªVara'!$E$4:$E$21,'SIGLAS CARGOS'!C12,'11ªVara'!$F$4:$F$21,"EFETIVO")</f>
        <v>0</v>
      </c>
      <c r="M15" s="57">
        <f>COUNTIFS('12ªVara'!$E$3:$E$21,'SIGLAS CARGOS'!C12,'12ªVara'!$F$3:$F$21,"EFETIVO")</f>
        <v>0</v>
      </c>
      <c r="N15" s="57">
        <f>COUNTIFS('13ªVara'!$E$3:$E$17,'SIGLAS CARGOS'!C12,'13ªVara'!$F$3:$F$17,"EFETIVO")</f>
        <v>0</v>
      </c>
      <c r="O15" s="57">
        <f>COUNTIFS('14ªVara'!$E$3:$E$21,'SIGLAS CARGOS'!C12,'14ªVara'!$F$3:$F$21,"EFETIVO")</f>
        <v>0</v>
      </c>
      <c r="P15" s="57">
        <f>COUNTIFS('20ªVara'!$E$4:$E$20,'SIGLAS CARGOS'!C12,'20ªVara'!$F$4:$F$20,"EFETIVO")</f>
        <v>0</v>
      </c>
      <c r="Q15" s="57">
        <f>COUNTIFS('21ªVara'!$E$4:$E$26,'SIGLAS CARGOS'!C12,'21ªVara'!$F$4:$F$26,"EFETIVO")</f>
        <v>0</v>
      </c>
      <c r="R15" s="57">
        <f>COUNTIFS('26ªVara'!$E$3:$E$20,'SIGLAS CARGOS'!C12,'26ªVara'!$F$3:$F$20,"EFETIVO")</f>
        <v>0</v>
      </c>
      <c r="S15" s="58">
        <f>COUNTIFS('28ªVara'!$E$4:$E$30,'SIGLAS CARGOS'!C12,'28ªVara'!$F$4:$F$30,"EFETIVO")</f>
        <v>0</v>
      </c>
      <c r="T15" s="57">
        <f>COUNTIFS('32ªVara'!$E$4:$E$20,'SIGLAS CARGOS'!C12,'32ªVara'!$F$4:$F$20,"EFETIVO")</f>
        <v>0</v>
      </c>
      <c r="U15" s="57">
        <f>COUNTIFS('33ªVara'!$E$4:$E$20,'SIGLAS CARGOS'!C12,'33ªVara'!$F$4:$F$20,"EFETIVO")</f>
        <v>0</v>
      </c>
      <c r="V15" s="57">
        <f>COUNTIFS('Turmas Recursais'!$E$4:$E$45,'SIGLAS CARGOS'!C12,'Turmas Recursais'!$F$4:$F$45,"EFETIVO")</f>
        <v>0</v>
      </c>
      <c r="W15" s="57">
        <f>COUNTIFS('Diretoria do Foro'!$E$4:$E$36,'SIGLAS CARGOS'!C12,'Diretoria do Foro'!$I$4:$I$36,"EFETIVO")</f>
        <v>0</v>
      </c>
      <c r="X15" s="57">
        <f>COUNTIFS('Secretaria Administrativa'!$E$3:$E$256,'SIGLAS CARGOS'!C12,'Secretaria Administrativa'!$I$3:$I$256,"EFETIVO")</f>
        <v>2</v>
      </c>
      <c r="Y15" s="59">
        <f t="shared" si="0"/>
        <v>2</v>
      </c>
      <c r="Z15" s="57">
        <f>COUNTIFS('Subseção de Limoeiro do Norte'!$E$4:$E$45,'SIGLAS CARGOS'!C12,'Subseção de Limoeiro do Norte'!$F$4:$F$45,"EFETIVO",'Subseção de Limoeiro do Norte'!$G$4:$G$45,"15ªVARA")</f>
        <v>0</v>
      </c>
      <c r="AA15" s="57">
        <f>COUNTIFS('Subseção de Limoeiro do Norte'!$E$4:$E$45,'SIGLAS CARGOS'!C12,'Subseção de Limoeiro do Norte'!$F$4:$F$45,"EFETIVO",'Subseção de Limoeiro do Norte'!$G$4:$G$45,"29ªVARA")</f>
        <v>0</v>
      </c>
      <c r="AB15" s="57">
        <f>COUNTIFS('Subseção de Limoeiro do Norte'!$E$4:$E$45,'SIGLAS CARGOS'!C12,'Subseção de Limoeiro do Norte'!$F$4:$F$45,"EFETIVO",'Subseção de Limoeiro do Norte'!$G$4:$G$45,"SUBDIRFORO")</f>
        <v>0</v>
      </c>
      <c r="AC15" s="69">
        <f t="shared" si="1"/>
        <v>0</v>
      </c>
      <c r="AD15" s="57">
        <f>COUNTIFS('Subseção de Juazeiro do Norte'!$E$3:$E$65,'SIGLAS CARGOS'!C12,'Subseção de Juazeiro do Norte'!$F$3:$F$65,"EFETIVO",'Subseção de Juazeiro do Norte'!$G$3:$G$65,"16ªVara")</f>
        <v>0</v>
      </c>
      <c r="AE15" s="57">
        <f>COUNTIFS('Subseção de Juazeiro do Norte'!$E$3:$E$65,'SIGLAS CARGOS'!C12,'Subseção de Juazeiro do Norte'!$F$3:$F$65,"EFETIVO",'Subseção de Juazeiro do Norte'!$G$3:$G$65,"17ªVara")</f>
        <v>0</v>
      </c>
      <c r="AF15" s="57">
        <f>COUNTIFS('Subseção de Juazeiro do Norte'!$E$3:$E$65,'SIGLAS CARGOS'!C12,'Subseção de Juazeiro do Norte'!$F$3:$F$65,"EFETIVO",'Subseção de Juazeiro do Norte'!$G$3:$G$65,"30ªVara")</f>
        <v>0</v>
      </c>
      <c r="AG15" s="57">
        <f>COUNTIFS('Subseção de Juazeiro do Norte'!$E$3:$E$65,'SIGLAS CARGOS'!C12,'Subseção de Juazeiro do Norte'!$F$3:$F$65,"EFETIVO",'Subseção de Juazeiro do Norte'!$G$3:$G$65,"SUBDIRFORO")</f>
        <v>0</v>
      </c>
      <c r="AH15" s="60">
        <f t="shared" si="2"/>
        <v>0</v>
      </c>
      <c r="AI15" s="57">
        <f>COUNTIFS('Subseção de Sobral'!$E$4:$E$68,'SIGLAS CARGOS'!C12,'Subseção de Sobral'!$F$4:$F$68,"EFETIVO",'Subseção de Sobral'!$G$4:$G$68,"18ªVara")</f>
        <v>0</v>
      </c>
      <c r="AJ15" s="57">
        <f>COUNTIFS('Subseção de Sobral'!$E$4:$E$68,'SIGLAS CARGOS'!C12,'Subseção de Sobral'!$F$4:$F$68,"EFETIVO",'Subseção de Sobral'!$G$4:$G$68,"19ªVara")</f>
        <v>0</v>
      </c>
      <c r="AK15" s="57">
        <f>COUNTIFS('Subseção de Sobral'!$E$4:$E$68,'SIGLAS CARGOS'!C12,'Subseção de Sobral'!$F$4:$F$68,"EFETIVO",'Subseção de Sobral'!$G$4:$G$68,"31ªVara")</f>
        <v>0</v>
      </c>
      <c r="AL15" s="57">
        <f>COUNTIFS('Subseção de Sobral'!$E$4:$E$68,'SIGLAS CARGOS'!$C12,'Subseção de Sobral'!$F$4:$F$68,"EFETIVO",'Subseção de Sobral'!$G$4:$G$68,"SUBDIRFORO")</f>
        <v>0</v>
      </c>
      <c r="AM15" s="60">
        <f t="shared" si="3"/>
        <v>0</v>
      </c>
      <c r="AN15" s="61">
        <f>COUNTIFS('Subseção de Crateús'!$E$4:$E$67,'SIGLAS CARGOS'!C12,'Subseção de Crateús'!$F$4:$F$67,"EFETIVO",'Subseção de Crateús'!$G$4:$G$67,"22ªVARA")</f>
        <v>0</v>
      </c>
      <c r="AO15" s="57">
        <f>COUNTIFS('Subseção de Crateús'!$E$4:$E$67,'SIGLAS CARGOS'!C12,'Subseção de Crateús'!$F$4:$F$67,"EFETIVO",'Subseção de Crateús'!$G$4:$G$67,"SUBDIRFORO")</f>
        <v>0</v>
      </c>
      <c r="AP15" s="60">
        <f>SUM(AL15:AO15)</f>
        <v>0</v>
      </c>
      <c r="AQ15" s="57">
        <f>COUNTIFS('23ªVara - Subseção de Quixadá'!$E$4:$E$64,'SIGLAS CARGOS'!C12,'23ªVara - Subseção de Quixadá'!$F$4:$F$64,"EFETIVO",'23ªVara - Subseção de Quixadá'!$G$4:$G$64,"23ªVARA")</f>
        <v>0</v>
      </c>
      <c r="AR15" s="57">
        <f>COUNTIFS('23ªVara - Subseção de Quixadá'!$E$4:$E$64,'SIGLAS CARGOS'!C12,'23ªVara - Subseção de Quixadá'!$F$4:$F$64,"EFETIVO",'23ªVara - Subseção de Quixadá'!$G$4:$G$64,"SUBDIRFORO")</f>
        <v>0</v>
      </c>
      <c r="AS15" s="60">
        <f>SUM(AO15:AR15)</f>
        <v>0</v>
      </c>
      <c r="AT15" s="57">
        <f>COUNTIFS('24ªVara - Subseção de Tauá'!$E$4:$E$73,'SIGLAS CARGOS'!C12,'24ªVara - Subseção de Tauá'!$F$4:$F$73,"EFETIVO",'24ªVara - Subseção de Tauá'!$G$4:$G$73,"24ªVARA")</f>
        <v>0</v>
      </c>
      <c r="AU15" s="57">
        <f>COUNTIFS('24ªVara - Subseção de Tauá'!$E$4:$E$73,'SIGLAS CARGOS'!C12,'24ªVara - Subseção de Tauá'!$F$4:$F$73,"EFETIVO",'24ªVara - Subseção de Tauá'!$G$4:$G$73,"SUBDIRFORO")</f>
        <v>0</v>
      </c>
      <c r="AV15" s="60">
        <f>SUM(AR15:AU15)</f>
        <v>0</v>
      </c>
      <c r="AW15" s="57">
        <f>COUNTIFS('25ªVara - Subseção de Iguatu'!$E$4:$E$66,'SIGLAS CARGOS'!C12,'25ªVara - Subseção de Iguatu'!$F$4:$F$66,"EFETIVO",'25ªVara - Subseção de Iguatu'!$G$4:$G$66,"25ªVARA")</f>
        <v>0</v>
      </c>
      <c r="AX15" s="57">
        <f>COUNTIFS('25ªVara - Subseção de Iguatu'!$E$4:$E$66,'SIGLAS CARGOS'!C12,'25ªVara - Subseção de Iguatu'!$F$4:$F$66,"EFETIVO",'25ªVara - Subseção de Iguatu'!$G$4:$G$66,"SUBDIRFORO")</f>
        <v>0</v>
      </c>
      <c r="AY15" s="60">
        <f>SUM(AU15:AX15)</f>
        <v>0</v>
      </c>
      <c r="AZ15" s="57">
        <f>COUNTIFS('27ªVara - Subseção de Itapipoca'!$E$4:$E$67,'SIGLAS CARGOS'!C12,'27ªVara - Subseção de Itapipoca'!$F$4:$F$67,"EFETIVO",'27ªVara - Subseção de Itapipoca'!$G$4:$G$67,"27ªVARA")</f>
        <v>0</v>
      </c>
      <c r="BA15" s="57">
        <f>COUNTIFS('27ªVara - Subseção de Itapipoca'!$E$4:$E$67,'SIGLAS CARGOS'!C12,'27ªVara - Subseção de Itapipoca'!$F$4:$F$67,"EFETIVO",'27ªVara - Subseção de Itapipoca'!$G$4:$G$67,"SUBDIRFORO")</f>
        <v>0</v>
      </c>
      <c r="BB15" s="60">
        <f>SUM(AX15:BA15)</f>
        <v>0</v>
      </c>
      <c r="BC15" s="57">
        <f>COUNTIFS('Subseção de Maracanaú'!$E$4:$E$70,'SIGLAS CARGOS'!C12,'Subseção de Maracanaú'!$F$4:$F$70,"EFETIVO",'Subseção de Maracanaú'!$G$4:$G$70,"34ªVARA")</f>
        <v>0</v>
      </c>
      <c r="BD15" s="57">
        <f>COUNTIFS('Subseção de Maracanaú'!$E$4:$E$70,'SIGLAS CARGOS'!C12,'Subseção de Maracanaú'!$F$4:$F$70,"EFETIVO",'Subseção de Maracanaú'!$G$4:$G$70,"35ªVARA")</f>
        <v>0</v>
      </c>
      <c r="BE15" s="57">
        <f>COUNTIFS('Subseção de Maracanaú'!$E$4:$E$70,'SIGLAS CARGOS'!C12,'Subseção de Maracanaú'!$F$4:$F$70,"EFETIVO",'Subseção de Maracanaú'!$G$4:$G$70,"SUBDIRFORO")</f>
        <v>0</v>
      </c>
      <c r="BF15" s="60">
        <f>SUM(BB15:BE15)</f>
        <v>0</v>
      </c>
      <c r="BG15" s="72">
        <f t="shared" si="4"/>
        <v>2</v>
      </c>
      <c r="BH15" s="64">
        <v>0</v>
      </c>
      <c r="BI15" s="65"/>
      <c r="BJ15" s="66">
        <f t="shared" si="5"/>
        <v>2</v>
      </c>
      <c r="BK15" s="26"/>
      <c r="BL15" s="67"/>
      <c r="BM15" s="68"/>
    </row>
    <row r="16" spans="1:65" ht="17.75" x14ac:dyDescent="0.35">
      <c r="A16" s="56" t="s">
        <v>68</v>
      </c>
      <c r="B16" s="57">
        <f>COUNTIFS('1ªVara'!$E$4:$E$28,'SIGLAS CARGOS'!C13,'1ªVara'!$F$4:$F$28,"EFETIVO")</f>
        <v>0</v>
      </c>
      <c r="C16" s="57">
        <f>COUNTIFS('2ªVara'!$E$4:$E$18,'SIGLAS CARGOS'!C13,'2ªVara'!$F$4:$F$18,"EFETIVO")</f>
        <v>0</v>
      </c>
      <c r="D16" s="57">
        <f>COUNTIFS('3ªVara'!$E$4:$E$48,'SIGLAS CARGOS'!C13,'3ªVara'!$F$4:$F$48,"EFETIVO")</f>
        <v>0</v>
      </c>
      <c r="E16" s="57">
        <f>COUNTIFS('4ªVara'!$E$4:$E$19,'SIGLAS CARGOS'!C13,'4ªVara'!$F$4:$F$19,"EFETIVO")</f>
        <v>0</v>
      </c>
      <c r="F16" s="57">
        <f>COUNTIFS('5ªVara'!$E$4:$E$20,'SIGLAS CARGOS'!C13,'5ªVara'!$F$4:$F$20,"EFETIVO")</f>
        <v>0</v>
      </c>
      <c r="G16" s="57">
        <f>COUNTIFS('6ªVara'!$E$4:$E$21,'SIGLAS CARGOS'!C13,'6ªVara'!$F$4:$F$21,"EFETIVO")</f>
        <v>0</v>
      </c>
      <c r="H16" s="57">
        <f>COUNTIFS('7ªVara'!$E$4:$E$18,'SIGLAS CARGOS'!C13,'7ªVara'!$F$4:$F$18,"EFETIVO")</f>
        <v>0</v>
      </c>
      <c r="I16" s="57">
        <f>COUNTIFS('8ªVara'!$E$4:$E$21,'SIGLAS CARGOS'!C13,'8ªVara'!$F$4:$F$21,"EFETIVO")</f>
        <v>0</v>
      </c>
      <c r="J16" s="57">
        <f>COUNTIFS('9ªVara'!$E$4:$E$22,'SIGLAS CARGOS'!C13,'9ªVara'!$F$4:$F$22,"EFETIVO")</f>
        <v>0</v>
      </c>
      <c r="K16" s="57">
        <f>COUNTIFS('10ªVara'!$E$4:$E$20,'SIGLAS CARGOS'!C13,'10ªVara'!$G$4:$G$20,"EFETIVO")</f>
        <v>0</v>
      </c>
      <c r="L16" s="57">
        <f>COUNTIFS('11ªVara'!$E$4:$E$21,'SIGLAS CARGOS'!C13,'11ªVara'!$F$4:$F$21,"EFETIVO")</f>
        <v>0</v>
      </c>
      <c r="M16" s="57">
        <f>COUNTIFS('12ªVara'!$E$3:$E$21,'SIGLAS CARGOS'!C13,'12ªVara'!$F$3:$F$21,"EFETIVO")</f>
        <v>0</v>
      </c>
      <c r="N16" s="57">
        <f>COUNTIFS('13ªVara'!$E$3:$E$17,'SIGLAS CARGOS'!C13,'13ªVara'!$F$3:$F$17,"EFETIVO")</f>
        <v>0</v>
      </c>
      <c r="O16" s="57">
        <f>COUNTIFS('14ªVara'!$E$3:$E$21,'SIGLAS CARGOS'!C13,'14ªVara'!$F$3:$F$21,"EFETIVO")</f>
        <v>0</v>
      </c>
      <c r="P16" s="57">
        <f>COUNTIFS('20ªVara'!$E$4:$E$20,'SIGLAS CARGOS'!C13,'20ªVara'!$F$4:$F$20,"EFETIVO")</f>
        <v>0</v>
      </c>
      <c r="Q16" s="57">
        <f>COUNTIFS('21ªVara'!$E$4:$E$26,'SIGLAS CARGOS'!C13,'21ªVara'!$F$4:$F$26,"EFETIVO")</f>
        <v>0</v>
      </c>
      <c r="R16" s="57">
        <f>COUNTIFS('26ªVara'!$E$3:$E$20,'SIGLAS CARGOS'!C13,'26ªVara'!$F$3:$F$20,"EFETIVO")</f>
        <v>0</v>
      </c>
      <c r="S16" s="58">
        <f>COUNTIFS('28ªVara'!$E$4:$E$30,'SIGLAS CARGOS'!C13,'28ªVara'!$F$4:$F$30,"EFETIVO")</f>
        <v>0</v>
      </c>
      <c r="T16" s="57">
        <f>COUNTIFS('32ªVara'!$E$4:$E$20,'SIGLAS CARGOS'!C13,'32ªVara'!$F$4:$F$20,"EFETIVO")</f>
        <v>0</v>
      </c>
      <c r="U16" s="57">
        <f>COUNTIFS('33ªVara'!$E$4:$E$20,'SIGLAS CARGOS'!C13,'33ªVara'!$F$4:$F$20,"EFETIVO")</f>
        <v>0</v>
      </c>
      <c r="V16" s="57">
        <f>COUNTIFS('Turmas Recursais'!$E$4:$E$45,'SIGLAS CARGOS'!C13,'Turmas Recursais'!$F$4:$F$45,"EFETIVO")</f>
        <v>0</v>
      </c>
      <c r="W16" s="57">
        <f>COUNTIFS('Diretoria do Foro'!$E$4:$E$36,'SIGLAS CARGOS'!C13,'Diretoria do Foro'!$I$4:$I$36,"EFETIVO")</f>
        <v>0</v>
      </c>
      <c r="X16" s="57">
        <f>COUNTIFS('Secretaria Administrativa'!$E$3:$E$256,'SIGLAS CARGOS'!C13,'Secretaria Administrativa'!$I$3:$I$256,"EFETIVO")</f>
        <v>2</v>
      </c>
      <c r="Y16" s="59">
        <f t="shared" si="0"/>
        <v>2</v>
      </c>
      <c r="Z16" s="57">
        <f>COUNTIFS('Subseção de Limoeiro do Norte'!$E$4:$E$45,'SIGLAS CARGOS'!C13,'Subseção de Limoeiro do Norte'!$F$4:$F$45,"EFETIVO",'Subseção de Limoeiro do Norte'!$G$4:$G$45,"15ªVARA")</f>
        <v>0</v>
      </c>
      <c r="AA16" s="57">
        <f>COUNTIFS('Subseção de Limoeiro do Norte'!$E$4:$E$45,'SIGLAS CARGOS'!C13,'Subseção de Limoeiro do Norte'!$F$4:$F$45,"EFETIVO",'Subseção de Limoeiro do Norte'!$G$4:$G$45,"29ªVARA")</f>
        <v>0</v>
      </c>
      <c r="AB16" s="57">
        <f>COUNTIFS('Subseção de Limoeiro do Norte'!$E$4:$E$45,'SIGLAS CARGOS'!C13,'Subseção de Limoeiro do Norte'!$F$4:$F$45,"EFETIVO",'Subseção de Limoeiro do Norte'!$G$4:$G$45,"SUBDIRFORO")</f>
        <v>0</v>
      </c>
      <c r="AC16" s="69">
        <f t="shared" si="1"/>
        <v>0</v>
      </c>
      <c r="AD16" s="57">
        <f>COUNTIFS('Subseção de Juazeiro do Norte'!$E$3:$E$65,'SIGLAS CARGOS'!C13,'Subseção de Juazeiro do Norte'!$F$3:$F$65,"EFETIVO",'Subseção de Juazeiro do Norte'!$G$3:$G$65,"16ªVara")</f>
        <v>0</v>
      </c>
      <c r="AE16" s="57">
        <f>COUNTIFS('Subseção de Juazeiro do Norte'!$E$3:$E$65,'SIGLAS CARGOS'!C13,'Subseção de Juazeiro do Norte'!$F$3:$F$65,"EFETIVO",'Subseção de Juazeiro do Norte'!$G$3:$G$65,"17ªVara")</f>
        <v>0</v>
      </c>
      <c r="AF16" s="57">
        <f>COUNTIFS('Subseção de Juazeiro do Norte'!$E$3:$E$65,'SIGLAS CARGOS'!C13,'Subseção de Juazeiro do Norte'!$F$3:$F$65,"EFETIVO",'Subseção de Juazeiro do Norte'!$G$3:$G$65,"30ªVara")</f>
        <v>0</v>
      </c>
      <c r="AG16" s="57">
        <f>COUNTIFS('Subseção de Juazeiro do Norte'!$E$3:$E$65,'SIGLAS CARGOS'!C13,'Subseção de Juazeiro do Norte'!$F$3:$F$65,"EFETIVO",'Subseção de Juazeiro do Norte'!$G$3:$G$65,"SUBDIRFORO")</f>
        <v>0</v>
      </c>
      <c r="AH16" s="60">
        <f t="shared" si="2"/>
        <v>0</v>
      </c>
      <c r="AI16" s="57">
        <f>COUNTIFS('Subseção de Sobral'!$E$4:$E$68,'SIGLAS CARGOS'!C13,'Subseção de Sobral'!$F$4:$F$68,"EFETIVO",'Subseção de Sobral'!$G$4:$G$68,"18ªVara")</f>
        <v>0</v>
      </c>
      <c r="AJ16" s="57">
        <f>COUNTIFS('Subseção de Sobral'!$E$4:$E$68,'SIGLAS CARGOS'!C13,'Subseção de Sobral'!$F$4:$F$68,"EFETIVO",'Subseção de Sobral'!$G$4:$G$68,"19ªVara")</f>
        <v>0</v>
      </c>
      <c r="AK16" s="57">
        <f>COUNTIFS('Subseção de Sobral'!$E$4:$E$68,'SIGLAS CARGOS'!C13,'Subseção de Sobral'!$F$4:$F$68,"EFETIVO",'Subseção de Sobral'!$G$4:$G$68,"31ªVara")</f>
        <v>0</v>
      </c>
      <c r="AL16" s="57">
        <f>COUNTIFS('Subseção de Sobral'!$E$4:$E$68,'SIGLAS CARGOS'!$C13,'Subseção de Sobral'!$F$4:$F$68,"EFETIVO",'Subseção de Sobral'!$G$4:$G$68,"SUBDIRFORO")</f>
        <v>0</v>
      </c>
      <c r="AM16" s="60">
        <f t="shared" si="3"/>
        <v>0</v>
      </c>
      <c r="AN16" s="61">
        <f>COUNTIFS('Subseção de Crateús'!$E$4:$E$67,'SIGLAS CARGOS'!C13,'Subseção de Crateús'!$F$4:$F$67,"EFETIVO",'Subseção de Crateús'!$G$4:$G$67,"22ªVARA")</f>
        <v>0</v>
      </c>
      <c r="AO16" s="57">
        <f>COUNTIFS('Subseção de Crateús'!$E$4:$E$67,'SIGLAS CARGOS'!C13,'Subseção de Crateús'!$F$4:$F$67,"EFETIVO",'Subseção de Crateús'!$G$4:$G$67,"SUBDIRFORO")</f>
        <v>0</v>
      </c>
      <c r="AP16" s="60">
        <f>SUM(AL16:AO16)</f>
        <v>0</v>
      </c>
      <c r="AQ16" s="57">
        <f>COUNTIFS('23ªVara - Subseção de Quixadá'!$E$4:$E$64,'SIGLAS CARGOS'!C13,'23ªVara - Subseção de Quixadá'!$F$4:$F$64,"EFETIVO",'23ªVara - Subseção de Quixadá'!$G$4:$G$64,"23ªVARA")</f>
        <v>0</v>
      </c>
      <c r="AR16" s="57">
        <f>COUNTIFS('23ªVara - Subseção de Quixadá'!$E$4:$E$64,'SIGLAS CARGOS'!C13,'23ªVara - Subseção de Quixadá'!$F$4:$F$64,"EFETIVO",'23ªVara - Subseção de Quixadá'!$G$4:$G$64,"SUBDIRFORO")</f>
        <v>0</v>
      </c>
      <c r="AS16" s="60">
        <f>SUM(AO16:AR16)</f>
        <v>0</v>
      </c>
      <c r="AT16" s="57">
        <f>COUNTIFS('24ªVara - Subseção de Tauá'!$E$4:$E$73,'SIGLAS CARGOS'!C13,'24ªVara - Subseção de Tauá'!$F$4:$F$73,"EFETIVO",'24ªVara - Subseção de Tauá'!$G$4:$G$73,"24ªVARA")</f>
        <v>0</v>
      </c>
      <c r="AU16" s="57">
        <f>COUNTIFS('24ªVara - Subseção de Tauá'!$E$4:$E$73,'SIGLAS CARGOS'!C13,'24ªVara - Subseção de Tauá'!$F$4:$F$73,"EFETIVO",'24ªVara - Subseção de Tauá'!$G$4:$G$73,"SUBDIRFORO")</f>
        <v>0</v>
      </c>
      <c r="AV16" s="60">
        <f>SUM(AR16:AU16)</f>
        <v>0</v>
      </c>
      <c r="AW16" s="57">
        <f>COUNTIFS('25ªVara - Subseção de Iguatu'!$E$4:$E$66,'SIGLAS CARGOS'!C13,'25ªVara - Subseção de Iguatu'!$F$4:$F$66,"EFETIVO",'25ªVara - Subseção de Iguatu'!$G$4:$G$66,"25ªVARA")</f>
        <v>0</v>
      </c>
      <c r="AX16" s="57">
        <f>COUNTIFS('25ªVara - Subseção de Iguatu'!$E$4:$E$66,'SIGLAS CARGOS'!C13,'25ªVara - Subseção de Iguatu'!$F$4:$F$66,"EFETIVO",'25ªVara - Subseção de Iguatu'!$G$4:$G$66,"SUBDIRFORO")</f>
        <v>0</v>
      </c>
      <c r="AY16" s="60">
        <f>SUM(AU16:AX16)</f>
        <v>0</v>
      </c>
      <c r="AZ16" s="57">
        <f>COUNTIFS('27ªVara - Subseção de Itapipoca'!$E$4:$E$67,'SIGLAS CARGOS'!C13,'27ªVara - Subseção de Itapipoca'!$F$4:$F$67,"EFETIVO",'27ªVara - Subseção de Itapipoca'!$G$4:$G$67,"27ªVARA")</f>
        <v>0</v>
      </c>
      <c r="BA16" s="57">
        <f>COUNTIFS('27ªVara - Subseção de Itapipoca'!$E$4:$E$67,'SIGLAS CARGOS'!C13,'27ªVara - Subseção de Itapipoca'!$F$4:$F$67,"EFETIVO",'27ªVara - Subseção de Itapipoca'!$G$4:$G$67,"SUBDIRFORO")</f>
        <v>0</v>
      </c>
      <c r="BB16" s="60">
        <f>SUM(AX16:BA16)</f>
        <v>0</v>
      </c>
      <c r="BC16" s="57">
        <f>COUNTIFS('Subseção de Maracanaú'!$E$4:$E$70,'SIGLAS CARGOS'!C13,'Subseção de Maracanaú'!$F$4:$F$70,"EFETIVO",'Subseção de Maracanaú'!$G$4:$G$70,"34ªVARA")</f>
        <v>0</v>
      </c>
      <c r="BD16" s="57">
        <f>COUNTIFS('Subseção de Maracanaú'!$E$4:$E$70,'SIGLAS CARGOS'!C13,'Subseção de Maracanaú'!$F$4:$F$70,"EFETIVO",'Subseção de Maracanaú'!$G$4:$G$70,"35ªVARA")</f>
        <v>0</v>
      </c>
      <c r="BE16" s="57">
        <f>COUNTIFS('Subseção de Maracanaú'!$E$4:$E$70,'SIGLAS CARGOS'!C13,'Subseção de Maracanaú'!$F$4:$F$70,"EFETIVO",'Subseção de Maracanaú'!$G$4:$G$70,"SUBDIRFORO")</f>
        <v>0</v>
      </c>
      <c r="BF16" s="60">
        <f>SUM(BB16:BE16)</f>
        <v>0</v>
      </c>
      <c r="BG16" s="72">
        <f t="shared" si="4"/>
        <v>2</v>
      </c>
      <c r="BH16" s="64">
        <v>0</v>
      </c>
      <c r="BI16" s="65"/>
      <c r="BJ16" s="66">
        <f t="shared" si="5"/>
        <v>2</v>
      </c>
      <c r="BK16" s="26"/>
      <c r="BL16" s="67"/>
      <c r="BM16" s="68"/>
    </row>
    <row r="17" spans="1:65" ht="17.75" x14ac:dyDescent="0.35">
      <c r="A17" s="73" t="s">
        <v>69</v>
      </c>
      <c r="B17" s="57">
        <f>COUNTIFS('1ªVara'!$E$4:$E$28,'SIGLAS CARGOS'!C14,'1ªVara'!$F$4:$F$28,"EFETIVO")</f>
        <v>0</v>
      </c>
      <c r="C17" s="57">
        <f>COUNTIFS('2ªVara'!$E$4:$E$18,'SIGLAS CARGOS'!C14,'2ªVara'!$F$4:$F$18,"EFETIVO")</f>
        <v>0</v>
      </c>
      <c r="D17" s="57">
        <f>COUNTIFS('3ªVara'!$E$4:$E$48,'SIGLAS CARGOS'!C14,'3ªVara'!$F$4:$F$48,"EFETIVO")</f>
        <v>0</v>
      </c>
      <c r="E17" s="57">
        <f>COUNTIFS('4ªVara'!$E$4:$E$19,'SIGLAS CARGOS'!C14,'4ªVara'!$F$4:$F$19,"EFETIVO")</f>
        <v>0</v>
      </c>
      <c r="F17" s="57">
        <f>COUNTIFS('5ªVara'!$E$4:$E$20,'SIGLAS CARGOS'!C14,'5ªVara'!$F$4:$F$20,"EFETIVO")</f>
        <v>0</v>
      </c>
      <c r="G17" s="57">
        <f>COUNTIFS('6ªVara'!$E$4:$E$21,'SIGLAS CARGOS'!C14,'6ªVara'!$F$4:$F$21,"EFETIVO")</f>
        <v>0</v>
      </c>
      <c r="H17" s="57">
        <f>COUNTIFS('7ªVara'!$E$4:$E$18,'SIGLAS CARGOS'!C14,'7ªVara'!$F$4:$F$18,"EFETIVO")</f>
        <v>0</v>
      </c>
      <c r="I17" s="57">
        <f>COUNTIFS('8ªVara'!$E$4:$E$21,'SIGLAS CARGOS'!C14,'8ªVara'!$F$4:$F$21,"EFETIVO")</f>
        <v>0</v>
      </c>
      <c r="J17" s="57">
        <f>COUNTIFS('9ªVara'!$E$4:$E$22,'SIGLAS CARGOS'!C14,'9ªVara'!$F$4:$F$22,"EFETIVO")</f>
        <v>0</v>
      </c>
      <c r="K17" s="57">
        <f>COUNTIFS('10ªVara'!$E$4:$E$20,'SIGLAS CARGOS'!C14,'10ªVara'!$G$4:$G$20,"EFETIVO")</f>
        <v>0</v>
      </c>
      <c r="L17" s="57">
        <f>COUNTIFS('11ªVara'!$E$4:$E$21,'SIGLAS CARGOS'!C14,'11ªVara'!$F$4:$F$21,"EFETIVO")</f>
        <v>0</v>
      </c>
      <c r="M17" s="57">
        <f>COUNTIFS('12ªVara'!$E$3:$E$21,'SIGLAS CARGOS'!C14,'12ªVara'!$F$3:$F$21,"EFETIVO")</f>
        <v>0</v>
      </c>
      <c r="N17" s="57">
        <f>COUNTIFS('13ªVara'!$E$3:$E$17,'SIGLAS CARGOS'!C14,'13ªVara'!$F$3:$F$17,"EFETIVO")</f>
        <v>0</v>
      </c>
      <c r="O17" s="57">
        <f>COUNTIFS('14ªVara'!$E$3:$E$21,'SIGLAS CARGOS'!C14,'14ªVara'!$F$3:$F$21,"EFETIVO")</f>
        <v>0</v>
      </c>
      <c r="P17" s="57">
        <f>COUNTIFS('20ªVara'!$E$4:$E$20,'SIGLAS CARGOS'!C14,'20ªVara'!$F$4:$F$20,"EFETIVO")</f>
        <v>0</v>
      </c>
      <c r="Q17" s="57">
        <f>COUNTIFS('21ªVara'!$E$4:$E$26,'SIGLAS CARGOS'!C14,'21ªVara'!$F$4:$F$26,"EFETIVO")</f>
        <v>0</v>
      </c>
      <c r="R17" s="57">
        <f>COUNTIFS('26ªVara'!$E$3:$E$20,'SIGLAS CARGOS'!C14,'26ªVara'!$F$3:$F$20,"EFETIVO")</f>
        <v>0</v>
      </c>
      <c r="S17" s="58">
        <f>COUNTIFS('28ªVara'!$E$4:$E$30,'SIGLAS CARGOS'!C14,'28ªVara'!$F$4:$F$30,"EFETIVO")</f>
        <v>0</v>
      </c>
      <c r="T17" s="57">
        <f>COUNTIFS('32ªVara'!$E$4:$E$20,'SIGLAS CARGOS'!C14,'32ªVara'!$F$4:$F$20,"EFETIVO")</f>
        <v>0</v>
      </c>
      <c r="U17" s="57">
        <f>COUNTIFS('33ªVara'!$E$4:$E$20,'SIGLAS CARGOS'!C14,'33ªVara'!$F$4:$F$20,"EFETIVO")</f>
        <v>0</v>
      </c>
      <c r="V17" s="57">
        <f>COUNTIFS('Turmas Recursais'!$E$4:$E$45,'SIGLAS CARGOS'!C14,'Turmas Recursais'!$F$4:$F$45,"EFETIVO")</f>
        <v>0</v>
      </c>
      <c r="W17" s="57">
        <f>COUNTIFS('Diretoria do Foro'!$E$4:$E$36,'SIGLAS CARGOS'!C14,'Diretoria do Foro'!$I$4:$I$36,"EFETIVO")</f>
        <v>0</v>
      </c>
      <c r="X17" s="57">
        <f>COUNTIFS('Secretaria Administrativa'!$E$3:$E$256,'SIGLAS CARGOS'!C14,'Secretaria Administrativa'!$I$3:$I$256,"EFETIVO")</f>
        <v>1</v>
      </c>
      <c r="Y17" s="59">
        <f t="shared" si="0"/>
        <v>1</v>
      </c>
      <c r="Z17" s="57">
        <f>COUNTIFS('Subseção de Limoeiro do Norte'!$E$4:$E$45,'SIGLAS CARGOS'!C14,'Subseção de Limoeiro do Norte'!$F$4:$F$45,"EFETIVO",'Subseção de Limoeiro do Norte'!$G$4:$G$45,"15ªVARA")</f>
        <v>0</v>
      </c>
      <c r="AA17" s="57">
        <f>COUNTIFS('Subseção de Limoeiro do Norte'!$E$4:$E$45,'SIGLAS CARGOS'!C14,'Subseção de Limoeiro do Norte'!$F$4:$F$45,"EFETIVO",'Subseção de Limoeiro do Norte'!$G$4:$G$45,"29ªVARA")</f>
        <v>0</v>
      </c>
      <c r="AB17" s="57">
        <f>COUNTIFS('Subseção de Limoeiro do Norte'!$E$4:$E$45,'SIGLAS CARGOS'!C14,'Subseção de Limoeiro do Norte'!$F$4:$F$45,"EFETIVO",'Subseção de Limoeiro do Norte'!$G$4:$G$45,"SUBDIRFORO")</f>
        <v>0</v>
      </c>
      <c r="AC17" s="69"/>
      <c r="AD17" s="57">
        <f>COUNTIFS('Subseção de Juazeiro do Norte'!$E$3:$E$65,'SIGLAS CARGOS'!C14,'Subseção de Juazeiro do Norte'!$F$3:$F$65,"EFETIVO",'Subseção de Juazeiro do Norte'!$G$3:$G$65,"16ªVara")</f>
        <v>0</v>
      </c>
      <c r="AE17" s="57">
        <f>COUNTIFS('Subseção de Juazeiro do Norte'!$E$3:$E$65,'SIGLAS CARGOS'!C14,'Subseção de Juazeiro do Norte'!$F$3:$F$65,"EFETIVO",'Subseção de Juazeiro do Norte'!$G$3:$G$65,"17ªVara")</f>
        <v>0</v>
      </c>
      <c r="AF17" s="57">
        <f>COUNTIFS('Subseção de Juazeiro do Norte'!$E$3:$E$65,'SIGLAS CARGOS'!C14,'Subseção de Juazeiro do Norte'!$F$3:$F$65,"EFETIVO",'Subseção de Juazeiro do Norte'!$G$3:$G$65,"30ªVara")</f>
        <v>0</v>
      </c>
      <c r="AG17" s="57">
        <f>COUNTIFS('Subseção de Juazeiro do Norte'!$E$3:$E$65,'SIGLAS CARGOS'!C14,'Subseção de Juazeiro do Norte'!$F$3:$F$65,"EFETIVO",'Subseção de Juazeiro do Norte'!$G$3:$G$65,"SUBDIRFORO")</f>
        <v>0</v>
      </c>
      <c r="AH17" s="60"/>
      <c r="AI17" s="57">
        <f>COUNTIFS('Subseção de Sobral'!$E$4:$E$68,'SIGLAS CARGOS'!C14,'Subseção de Sobral'!$F$4:$F$68,"EFETIVO",'Subseção de Sobral'!$G$4:$G$68,"18ªVara")</f>
        <v>0</v>
      </c>
      <c r="AJ17" s="57">
        <f>COUNTIFS('Subseção de Sobral'!$E$4:$E$68,'SIGLAS CARGOS'!C14,'Subseção de Sobral'!$F$4:$F$68,"EFETIVO",'Subseção de Sobral'!$G$4:$G$68,"19ªVara")</f>
        <v>0</v>
      </c>
      <c r="AK17" s="57">
        <f>COUNTIFS('Subseção de Sobral'!$E$4:$E$68,'SIGLAS CARGOS'!C14,'Subseção de Sobral'!$F$4:$F$68,"EFETIVO",'Subseção de Sobral'!$G$4:$G$68,"31ªVara")</f>
        <v>0</v>
      </c>
      <c r="AL17" s="57">
        <f>COUNTIFS('Subseção de Sobral'!$E$4:$E$68,'SIGLAS CARGOS'!$C14,'Subseção de Sobral'!$F$4:$F$68,"EFETIVO",'Subseção de Sobral'!$G$4:$G$68,"SUBDIRFORO")</f>
        <v>0</v>
      </c>
      <c r="AM17" s="60"/>
      <c r="AN17" s="61">
        <f>COUNTIFS('Subseção de Crateús'!$E$4:$E$67,'SIGLAS CARGOS'!C14,'Subseção de Crateús'!$F$4:$F$67,"EFETIVO",'Subseção de Crateús'!$G$4:$G$67,"22ªVARA")</f>
        <v>0</v>
      </c>
      <c r="AO17" s="57">
        <f>COUNTIFS('Subseção de Crateús'!$E$4:$E$67,'SIGLAS CARGOS'!C14,'Subseção de Crateús'!$F$4:$F$67,"EFETIVO",'Subseção de Crateús'!$G$4:$G$67,"SUBDIRFORO")</f>
        <v>0</v>
      </c>
      <c r="AP17" s="60"/>
      <c r="AQ17" s="57">
        <f>COUNTIFS('23ªVara - Subseção de Quixadá'!$E$4:$E$64,'SIGLAS CARGOS'!C14,'23ªVara - Subseção de Quixadá'!$F$4:$F$64,"EFETIVO",'23ªVara - Subseção de Quixadá'!$G$4:$G$64,"23ªVARA")</f>
        <v>0</v>
      </c>
      <c r="AR17" s="57">
        <f>COUNTIFS('23ªVara - Subseção de Quixadá'!$E$4:$E$64,'SIGLAS CARGOS'!C14,'23ªVara - Subseção de Quixadá'!$F$4:$F$64,"EFETIVO",'23ªVara - Subseção de Quixadá'!$G$4:$G$64,"SUBDIRFORO")</f>
        <v>0</v>
      </c>
      <c r="AS17" s="60"/>
      <c r="AT17" s="57">
        <f>COUNTIFS('24ªVara - Subseção de Tauá'!$E$4:$E$73,'SIGLAS CARGOS'!C14,'24ªVara - Subseção de Tauá'!$F$4:$F$73,"EFETIVO",'24ªVara - Subseção de Tauá'!$G$4:$G$73,"24ªVARA")</f>
        <v>0</v>
      </c>
      <c r="AU17" s="57">
        <f>COUNTIFS('24ªVara - Subseção de Tauá'!$E$4:$E$73,'SIGLAS CARGOS'!C14,'24ªVara - Subseção de Tauá'!$F$4:$F$73,"EFETIVO",'24ªVara - Subseção de Tauá'!$G$4:$G$73,"SUBDIRFORO")</f>
        <v>0</v>
      </c>
      <c r="AV17" s="60"/>
      <c r="AW17" s="57">
        <f>COUNTIFS('25ªVara - Subseção de Iguatu'!$E$4:$E$66,'SIGLAS CARGOS'!C14,'25ªVara - Subseção de Iguatu'!$F$4:$F$66,"EFETIVO",'25ªVara - Subseção de Iguatu'!$G$4:$G$66,"25ªVARA")</f>
        <v>0</v>
      </c>
      <c r="AX17" s="57">
        <f>COUNTIFS('25ªVara - Subseção de Iguatu'!$E$4:$E$66,'SIGLAS CARGOS'!C14,'25ªVara - Subseção de Iguatu'!$F$4:$F$66,"EFETIVO",'25ªVara - Subseção de Iguatu'!$G$4:$G$66,"SUBDIRFORO")</f>
        <v>0</v>
      </c>
      <c r="AY17" s="60"/>
      <c r="AZ17" s="57">
        <f>COUNTIFS('27ªVara - Subseção de Itapipoca'!$E$4:$E$67,'SIGLAS CARGOS'!C14,'27ªVara - Subseção de Itapipoca'!$F$4:$F$67,"EFETIVO",'27ªVara - Subseção de Itapipoca'!$G$4:$G$67,"27ªVARA")</f>
        <v>0</v>
      </c>
      <c r="BA17" s="57">
        <f>COUNTIFS('27ªVara - Subseção de Itapipoca'!$E$4:$E$67,'SIGLAS CARGOS'!C14,'27ªVara - Subseção de Itapipoca'!$F$4:$F$67,"EFETIVO",'27ªVara - Subseção de Itapipoca'!$G$4:$G$67,"SUBDIRFORO")</f>
        <v>0</v>
      </c>
      <c r="BB17" s="60"/>
      <c r="BC17" s="57">
        <f>COUNTIFS('Subseção de Maracanaú'!$E$4:$E$70,'SIGLAS CARGOS'!C14,'Subseção de Maracanaú'!$F$4:$F$70,"EFETIVO",'Subseção de Maracanaú'!$G$4:$G$70,"34ªVARA")</f>
        <v>0</v>
      </c>
      <c r="BD17" s="57">
        <f>COUNTIFS('Subseção de Maracanaú'!$E$4:$E$70,'SIGLAS CARGOS'!C14,'Subseção de Maracanaú'!$F$4:$F$70,"EFETIVO",'Subseção de Maracanaú'!$G$4:$G$70,"35ªVARA")</f>
        <v>0</v>
      </c>
      <c r="BE17" s="57">
        <f>COUNTIFS('Subseção de Maracanaú'!$E$4:$E$70,'SIGLAS CARGOS'!C14,'Subseção de Maracanaú'!$F$4:$F$70,"EFETIVO",'Subseção de Maracanaú'!$G$4:$G$70,"SUBDIRFORO")</f>
        <v>0</v>
      </c>
      <c r="BF17" s="62"/>
      <c r="BG17" s="72">
        <f t="shared" si="4"/>
        <v>1</v>
      </c>
      <c r="BH17" s="64"/>
      <c r="BI17" s="65"/>
      <c r="BJ17" s="66">
        <v>1</v>
      </c>
      <c r="BK17" s="26"/>
      <c r="BL17" s="67"/>
      <c r="BM17" s="68"/>
    </row>
    <row r="18" spans="1:65" ht="17.75" x14ac:dyDescent="0.35">
      <c r="A18" s="74" t="s">
        <v>70</v>
      </c>
      <c r="B18" s="57"/>
      <c r="C18" s="57"/>
      <c r="D18" s="57"/>
      <c r="E18" s="57"/>
      <c r="F18" s="57"/>
      <c r="G18" s="57"/>
      <c r="H18" s="57"/>
      <c r="I18" s="57"/>
      <c r="J18" s="57"/>
      <c r="K18" s="57"/>
      <c r="L18" s="57"/>
      <c r="M18" s="57"/>
      <c r="N18" s="57"/>
      <c r="O18" s="57"/>
      <c r="P18" s="57"/>
      <c r="Q18" s="57"/>
      <c r="R18" s="57"/>
      <c r="S18" s="58"/>
      <c r="T18" s="57"/>
      <c r="U18" s="57"/>
      <c r="V18" s="57"/>
      <c r="W18" s="57"/>
      <c r="X18" s="57"/>
      <c r="Y18" s="59"/>
      <c r="Z18" s="57"/>
      <c r="AA18" s="57"/>
      <c r="AB18" s="57"/>
      <c r="AC18" s="69"/>
      <c r="AD18" s="57"/>
      <c r="AE18" s="57"/>
      <c r="AF18" s="57"/>
      <c r="AG18" s="57"/>
      <c r="AH18" s="60"/>
      <c r="AI18" s="57"/>
      <c r="AJ18" s="57"/>
      <c r="AK18" s="57"/>
      <c r="AL18" s="57"/>
      <c r="AM18" s="60"/>
      <c r="AN18" s="61"/>
      <c r="AO18" s="57"/>
      <c r="AP18" s="60"/>
      <c r="AQ18" s="57"/>
      <c r="AR18" s="57"/>
      <c r="AS18" s="60"/>
      <c r="AT18" s="57"/>
      <c r="AU18" s="57"/>
      <c r="AV18" s="60"/>
      <c r="AW18" s="57"/>
      <c r="AX18" s="57"/>
      <c r="AY18" s="60"/>
      <c r="AZ18" s="57"/>
      <c r="BA18" s="57"/>
      <c r="BB18" s="60"/>
      <c r="BC18" s="57"/>
      <c r="BD18" s="57"/>
      <c r="BE18" s="57"/>
      <c r="BF18" s="62"/>
      <c r="BG18" s="72"/>
      <c r="BH18" s="64"/>
      <c r="BI18" s="65"/>
      <c r="BJ18" s="66"/>
      <c r="BK18" s="26"/>
      <c r="BL18" s="67"/>
      <c r="BM18" s="68"/>
    </row>
    <row r="19" spans="1:65" ht="17.75" x14ac:dyDescent="0.35">
      <c r="A19" s="75" t="s">
        <v>71</v>
      </c>
      <c r="B19" s="57"/>
      <c r="C19" s="57">
        <f>COUNTIFS('2ªVara'!$E$4:$E$18,'SIGLAS CARGOS'!C15,'2ªVara'!$F$4:$F$18,"EFETIVO")</f>
        <v>6</v>
      </c>
      <c r="D19" s="57"/>
      <c r="E19" s="57"/>
      <c r="F19" s="57"/>
      <c r="G19" s="57"/>
      <c r="H19" s="57"/>
      <c r="I19" s="57"/>
      <c r="J19" s="57"/>
      <c r="K19" s="57"/>
      <c r="L19" s="57"/>
      <c r="M19" s="57"/>
      <c r="N19" s="57"/>
      <c r="O19" s="57"/>
      <c r="P19" s="57"/>
      <c r="Q19" s="57"/>
      <c r="R19" s="57"/>
      <c r="S19" s="58"/>
      <c r="T19" s="57"/>
      <c r="U19" s="57"/>
      <c r="V19" s="57"/>
      <c r="W19" s="57"/>
      <c r="X19" s="57">
        <v>1</v>
      </c>
      <c r="Y19" s="59">
        <f t="shared" ref="Y19:Y25" si="6">SUM(B19:X19)</f>
        <v>7</v>
      </c>
      <c r="Z19" s="57"/>
      <c r="AA19" s="57"/>
      <c r="AB19" s="57"/>
      <c r="AC19" s="69"/>
      <c r="AD19" s="57"/>
      <c r="AE19" s="57"/>
      <c r="AF19" s="57"/>
      <c r="AG19" s="57"/>
      <c r="AH19" s="60"/>
      <c r="AI19" s="57"/>
      <c r="AJ19" s="57"/>
      <c r="AK19" s="57"/>
      <c r="AL19" s="57"/>
      <c r="AM19" s="60"/>
      <c r="AN19" s="61"/>
      <c r="AO19" s="57"/>
      <c r="AP19" s="60"/>
      <c r="AQ19" s="57"/>
      <c r="AR19" s="57"/>
      <c r="AS19" s="60"/>
      <c r="AT19" s="57"/>
      <c r="AU19" s="57"/>
      <c r="AV19" s="60"/>
      <c r="AW19" s="57"/>
      <c r="AX19" s="57"/>
      <c r="AY19" s="60"/>
      <c r="AZ19" s="57"/>
      <c r="BA19" s="57"/>
      <c r="BB19" s="60"/>
      <c r="BC19" s="57"/>
      <c r="BD19" s="57"/>
      <c r="BE19" s="57"/>
      <c r="BF19" s="62"/>
      <c r="BG19" s="72"/>
      <c r="BH19" s="64"/>
      <c r="BI19" s="65"/>
      <c r="BJ19" s="66"/>
      <c r="BK19" s="26"/>
      <c r="BL19" s="67"/>
      <c r="BM19" s="68"/>
    </row>
    <row r="20" spans="1:65" ht="27.95" x14ac:dyDescent="0.35">
      <c r="A20" s="73" t="s">
        <v>72</v>
      </c>
      <c r="B20" s="57">
        <f>COUNTIFS('1ªVara'!$E$4:$E$28,'SIGLAS CARGOS'!C15,'1ªVara'!$F$4:$F$28,"EFETIVO")</f>
        <v>7</v>
      </c>
      <c r="C20" s="57">
        <f>COUNTIFS('2ªVara'!$E$4:$E$18,'SIGLAS CARGOS'!C16,'2ªVara'!$F$4:$F$18,"EFETIVO")</f>
        <v>0</v>
      </c>
      <c r="D20" s="57">
        <f>COUNTIFS('3ªVara'!$E$4:$E$48,'SIGLAS CARGOS'!C15,'3ªVara'!$F$4:$F$48,"EFETIVO")</f>
        <v>16</v>
      </c>
      <c r="E20" s="57">
        <f>COUNTIFS('4ªVara'!$E$4:$E$19,'SIGLAS CARGOS'!C15,'4ªVara'!$F$4:$F$19,"EFETIVO")</f>
        <v>10</v>
      </c>
      <c r="F20" s="57">
        <f>COUNTIFS('5ªVara'!$E$4:$E$20,'SIGLAS CARGOS'!C15,'5ªVara'!$F$4:$F$20,"EFETIVO")</f>
        <v>6</v>
      </c>
      <c r="G20" s="57">
        <f>COUNTIFS('6ªVara'!$E$4:$E$21,'SIGLAS CARGOS'!C15,'6ªVara'!$F$4:$F$21,"EFETIVO")</f>
        <v>6</v>
      </c>
      <c r="H20" s="57">
        <f>COUNTIFS('7ªVara'!$E$4:$E$18,'SIGLAS CARGOS'!C15,'7ªVara'!$F$4:$F$18,"EFETIVO")</f>
        <v>6</v>
      </c>
      <c r="I20" s="57">
        <f>COUNTIFS('8ªVara'!$E$4:$E$21,'SIGLAS CARGOS'!C15,'8ªVara'!$F$4:$F$21,"EFETIVO")</f>
        <v>10</v>
      </c>
      <c r="J20" s="57">
        <f>COUNTIFS('9ªVara'!$E$4:$E$22,'SIGLAS CARGOS'!C15,'9ªVara'!$F$4:$F$22,"EFETIVO")</f>
        <v>10</v>
      </c>
      <c r="K20" s="57">
        <f>COUNTIFS('10ªVara'!$E$4:$E$20,'SIGLAS CARGOS'!C15,'10ªVara'!$G$4:$G$20,"EFETIVO")</f>
        <v>7</v>
      </c>
      <c r="L20" s="57">
        <f>COUNTIFS('11ªVara'!$E$4:$E$21,'SIGLAS CARGOS'!C15,'11ªVara'!$F$4:$F$21,"EFETIVO")</f>
        <v>9</v>
      </c>
      <c r="M20" s="57">
        <f>COUNTIFS('12ªVara'!$E$3:$E$21,'SIGLAS CARGOS'!C15,'12ªVara'!$F$3:$F$21,"EFETIVO")</f>
        <v>7</v>
      </c>
      <c r="N20" s="57">
        <f>COUNTIFS('13ªVara'!$E$3:$E$17,'SIGLAS CARGOS'!C15,'13ªVara'!$F$3:$F$17,"EFETIVO")</f>
        <v>8</v>
      </c>
      <c r="O20" s="57">
        <f>COUNTIFS('14ªVara'!$E$3:$E$21,'SIGLAS CARGOS'!C15,'14ªVara'!$F$3:$F$21,"EFETIVO")</f>
        <v>10</v>
      </c>
      <c r="P20" s="57">
        <f>COUNTIFS('20ªVara'!$E$4:$E$20,'SIGLAS CARGOS'!C15,'20ªVara'!$F$4:$F$20,"EFETIVO")</f>
        <v>5</v>
      </c>
      <c r="Q20" s="57">
        <f>COUNTIFS('21ªVara'!$E$4:$E$26,'SIGLAS CARGOS'!C15,'21ªVara'!$F$4:$F$26,"EFETIVO")</f>
        <v>4</v>
      </c>
      <c r="R20" s="57">
        <f>COUNTIFS('26ªVara'!$E$3:$E$20,'SIGLAS CARGOS'!C15,'26ªVara'!$F$3:$F$20,"EFETIVO")</f>
        <v>8</v>
      </c>
      <c r="S20" s="58">
        <f>COUNTIFS('28ªVara'!$E$4:$E$30,'SIGLAS CARGOS'!C15,'28ªVara'!$F$4:$F$30,"EFETIVO")</f>
        <v>7</v>
      </c>
      <c r="T20" s="57">
        <f>COUNTIFS('32ªVara'!$E$4:$E$20,'SIGLAS CARGOS'!C15,'32ªVara'!$F$4:$F$20,"EFETIVO")</f>
        <v>9</v>
      </c>
      <c r="U20" s="57">
        <f>COUNTIFS('33ªVara'!$E$4:$E$20,'SIGLAS CARGOS'!C15,'33ªVara'!$F$4:$F$20,"EFETIVO")</f>
        <v>10</v>
      </c>
      <c r="V20" s="57">
        <f>COUNTIFS('Turmas Recursais'!$E$4:$E$45,'SIGLAS CARGOS'!C15,'Turmas Recursais'!$F$4:$F$45,"EFETIVO")</f>
        <v>19</v>
      </c>
      <c r="W20" s="57">
        <f>COUNTIFS('Diretoria do Foro'!$E$4:$E$36,'SIGLAS CARGOS'!C15,'Diretoria do Foro'!$I$4:$I$36,"EFETIVO")</f>
        <v>4</v>
      </c>
      <c r="X20" s="57">
        <f>COUNTIFS('Secretaria Administrativa'!$E$3:$E$256,'SIGLAS CARGOS'!C15,'Secretaria Administrativa'!$I$3:$I$256,"EFETIVO")</f>
        <v>57</v>
      </c>
      <c r="Y20" s="59">
        <f t="shared" si="6"/>
        <v>235</v>
      </c>
      <c r="Z20" s="57">
        <f>COUNTIFS('Subseção de Limoeiro do Norte'!$E$4:$E$45,'SIGLAS CARGOS'!C15,'Subseção de Limoeiro do Norte'!$F$4:$F$45,"EFETIVO",'Subseção de Limoeiro do Norte'!$G$4:$G$45,"15ªVARA")</f>
        <v>7</v>
      </c>
      <c r="AA20" s="57">
        <f>COUNTIFS('Subseção de Limoeiro do Norte'!$E$4:$E$45,'SIGLAS CARGOS'!C15,'Subseção de Limoeiro do Norte'!$F$4:$F$45,"EFETIVO",'Subseção de Limoeiro do Norte'!$G$4:$G$45,"29ªVARA")</f>
        <v>7</v>
      </c>
      <c r="AB20" s="57">
        <f>COUNTIFS('Subseção de Limoeiro do Norte'!$E$4:$E$45,'SIGLAS CARGOS'!C15,'Subseção de Limoeiro do Norte'!$F$4:$F$45,"EFETIVO",'Subseção de Limoeiro do Norte'!$G$4:$G$45,"SUBDIRFORO")</f>
        <v>1</v>
      </c>
      <c r="AC20" s="69">
        <f>SUM(Z20:AB20)</f>
        <v>15</v>
      </c>
      <c r="AD20" s="57">
        <f>COUNTIFS('Subseção de Juazeiro do Norte'!$E$3:$E$65,'SIGLAS CARGOS'!C15,'Subseção de Juazeiro do Norte'!$F$3:$F$65,"EFETIVO",'Subseção de Juazeiro do Norte'!$G$3:$G$65,"16ªVara")</f>
        <v>7</v>
      </c>
      <c r="AE20" s="57">
        <f>COUNTIFS('Subseção de Juazeiro do Norte'!$E$3:$E$65,'SIGLAS CARGOS'!C15,'Subseção de Juazeiro do Norte'!$F$3:$F$65,"EFETIVO",'Subseção de Juazeiro do Norte'!$G$3:$G$65,"17ªVara")</f>
        <v>7</v>
      </c>
      <c r="AF20" s="57">
        <f>COUNTIFS('Subseção de Juazeiro do Norte'!$E$3:$E$65,'SIGLAS CARGOS'!C15,'Subseção de Juazeiro do Norte'!$F$3:$F$65,"EFETIVO",'Subseção de Juazeiro do Norte'!$G$3:$G$65,"30ªVara")</f>
        <v>4</v>
      </c>
      <c r="AG20" s="57">
        <f>COUNTIFS('Subseção de Juazeiro do Norte'!$E$3:$E$65,'SIGLAS CARGOS'!C15,'Subseção de Juazeiro do Norte'!$F$3:$F$65,"EFETIVO",'Subseção de Juazeiro do Norte'!$G$3:$G$65,"SUBDIRFORO")</f>
        <v>2</v>
      </c>
      <c r="AH20" s="60">
        <f>SUM(AD20:AG20)</f>
        <v>20</v>
      </c>
      <c r="AI20" s="57">
        <f>COUNTIFS('Subseção de Sobral'!$E$4:$E$68,'SIGLAS CARGOS'!C15,'Subseção de Sobral'!$F$4:$F$68,"EFETIVO",'Subseção de Sobral'!$G$4:$G$68,"18ªVara")</f>
        <v>8</v>
      </c>
      <c r="AJ20" s="57">
        <f>COUNTIFS('Subseção de Sobral'!$E$4:$E$68,'SIGLAS CARGOS'!C15,'Subseção de Sobral'!$F$4:$F$68,"EFETIVO",'Subseção de Sobral'!$G$4:$G$68,"19ªVara")</f>
        <v>7</v>
      </c>
      <c r="AK20" s="57">
        <f>COUNTIFS('Subseção de Sobral'!$E$4:$E$68,'SIGLAS CARGOS'!C15,'Subseção de Sobral'!$F$4:$F$68,"EFETIVO",'Subseção de Sobral'!$G$4:$G$68,"31ªVara")</f>
        <v>7</v>
      </c>
      <c r="AL20" s="57">
        <f>COUNTIFS('Subseção de Sobral'!$E$4:$E$68,'SIGLAS CARGOS'!$C15,'Subseção de Sobral'!$F$4:$F$68,"EFETIVO",'Subseção de Sobral'!$G$4:$G$68,"SUBDIRFORO")</f>
        <v>1</v>
      </c>
      <c r="AM20" s="60">
        <f>SUM(AI20:AL20)</f>
        <v>23</v>
      </c>
      <c r="AN20" s="61">
        <f>COUNTIFS('Subseção de Crateús'!$E$4:$E$67,'SIGLAS CARGOS'!C15,'Subseção de Crateús'!$F$4:$F$67,"EFETIVO",'Subseção de Crateús'!$G$4:$G$67,"22ªVARA")</f>
        <v>7</v>
      </c>
      <c r="AO20" s="57">
        <f>COUNTIFS('Subseção de Crateús'!$E$4:$E$67,'SIGLAS CARGOS'!C15,'Subseção de Crateús'!$F$4:$F$67,"EFETIVO",'Subseção de Crateús'!$G$4:$G$67,"SUBDIRFORO")</f>
        <v>1</v>
      </c>
      <c r="AP20" s="60">
        <f>SUM(AN20:AO20)</f>
        <v>8</v>
      </c>
      <c r="AQ20" s="57">
        <f>COUNTIFS('23ªVara - Subseção de Quixadá'!$E$4:$E$64,'SIGLAS CARGOS'!C15,'23ªVara - Subseção de Quixadá'!$F$4:$F$64,"EFETIVO",'23ªVara - Subseção de Quixadá'!$G$4:$G$64,"23ªVARA")</f>
        <v>6</v>
      </c>
      <c r="AR20" s="57">
        <f>COUNTIFS('23ªVara - Subseção de Quixadá'!$E$4:$E$64,'SIGLAS CARGOS'!C15,'23ªVara - Subseção de Quixadá'!$F$4:$F$64,"EFETIVO",'23ªVara - Subseção de Quixadá'!$G$4:$G$64,"SUBDIRFORO")</f>
        <v>1</v>
      </c>
      <c r="AS20" s="60">
        <f>SUM(AQ20:AR20)</f>
        <v>7</v>
      </c>
      <c r="AT20" s="57">
        <f>COUNTIFS('24ªVara - Subseção de Tauá'!$E$4:$E$73,'SIGLAS CARGOS'!C15,'24ªVara - Subseção de Tauá'!$F$4:$F$73,"EFETIVO",'24ªVara - Subseção de Tauá'!$G$4:$G$73,"24ªVARA")</f>
        <v>8</v>
      </c>
      <c r="AU20" s="57">
        <f>COUNTIFS('24ªVara - Subseção de Tauá'!$E$4:$E$73,'SIGLAS CARGOS'!C15,'24ªVara - Subseção de Tauá'!$F$4:$F$73,"EFETIVO",'24ªVara - Subseção de Tauá'!$G$4:$G$73,"SUBDIRFORO")</f>
        <v>0</v>
      </c>
      <c r="AV20" s="60">
        <f>SUM(AT20:AU20)</f>
        <v>8</v>
      </c>
      <c r="AW20" s="57">
        <f>COUNTIFS('25ªVara - Subseção de Iguatu'!$E$4:$E$66,'SIGLAS CARGOS'!C15,'25ªVara - Subseção de Iguatu'!$F$4:$F$66,"EFETIVO",'25ªVara - Subseção de Iguatu'!$G$4:$G$66,"25ªVARA")</f>
        <v>7</v>
      </c>
      <c r="AX20" s="57">
        <f>COUNTIFS('25ªVara - Subseção de Iguatu'!$E$4:$E$66,'SIGLAS CARGOS'!C15,'25ªVara - Subseção de Iguatu'!$F$4:$F$66,"EFETIVO",'25ªVara - Subseção de Iguatu'!$G$4:$G$66,"SUBDIRFORO")</f>
        <v>1</v>
      </c>
      <c r="AY20" s="60">
        <f>SUM(AW20:AX20)</f>
        <v>8</v>
      </c>
      <c r="AZ20" s="57">
        <f>COUNTIFS('27ªVara - Subseção de Itapipoca'!$E$4:$E$67,'SIGLAS CARGOS'!C15,'27ªVara - Subseção de Itapipoca'!$F$4:$F$67,"EFETIVO",'27ªVara - Subseção de Itapipoca'!$G$4:$G$67,"27ªVARA")</f>
        <v>7</v>
      </c>
      <c r="BA20" s="57">
        <f>COUNTIFS('27ªVara - Subseção de Itapipoca'!$E$4:$E$67,'SIGLAS CARGOS'!C15,'27ªVara - Subseção de Itapipoca'!$F$4:$F$67,"EFETIVO",'27ªVara - Subseção de Itapipoca'!$G$4:$G$67,"SUBDIRFORO")</f>
        <v>1</v>
      </c>
      <c r="BB20" s="60">
        <f>SUM(AZ20:BA20)</f>
        <v>8</v>
      </c>
      <c r="BC20" s="57">
        <f>COUNTIFS('Subseção de Maracanaú'!$E$4:$E$70,'SIGLAS CARGOS'!C15,'Subseção de Maracanaú'!$F$4:$F$70,"EFETIVO",'Subseção de Maracanaú'!$G$4:$G$70,"34ªVARA")</f>
        <v>6</v>
      </c>
      <c r="BD20" s="57">
        <f>COUNTIFS('Subseção de Maracanaú'!$E$4:$E$70,'SIGLAS CARGOS'!C15,'Subseção de Maracanaú'!$F$4:$F$70,"EFETIVO",'Subseção de Maracanaú'!$G$4:$G$70,"35ªVARA")</f>
        <v>9</v>
      </c>
      <c r="BE20" s="57">
        <f>COUNTIFS('Subseção de Maracanaú'!$E$4:$E$70,'SIGLAS CARGOS'!C15,'Subseção de Maracanaú'!$F$4:$F$70,"EFETIVO",'Subseção de Maracanaú'!$G$4:$G$70,"SUBDIRFORO")</f>
        <v>2</v>
      </c>
      <c r="BF20" s="70">
        <f>SUM(BC20:BE20)</f>
        <v>17</v>
      </c>
      <c r="BG20" s="72">
        <f>SUM(Y20+AC20+AH20+AM20+AP20+AS20+AV20+AY20+BB20+BF20)</f>
        <v>349</v>
      </c>
      <c r="BH20" s="64">
        <f>'Cargos vagos'!C151</f>
        <v>0</v>
      </c>
      <c r="BI20" s="65">
        <f>COUNTIF(Cedidos!$E$4:$E$46,"TJAA")</f>
        <v>17</v>
      </c>
      <c r="BJ20" s="66">
        <f>SUM(BG20+BH20+BI20)</f>
        <v>366</v>
      </c>
      <c r="BK20" s="26"/>
      <c r="BL20" s="67"/>
      <c r="BM20" s="68"/>
    </row>
    <row r="21" spans="1:65" ht="17.75" x14ac:dyDescent="0.35">
      <c r="A21" s="73" t="s">
        <v>73</v>
      </c>
      <c r="B21" s="57">
        <f>COUNTIFS('1ªVara'!$E$4:$E$28,'SIGLAS CARGOS'!C16,'1ªVara'!$F$4:$F$28,"EFETIVO")</f>
        <v>0</v>
      </c>
      <c r="C21" s="57">
        <f>COUNTIFS('2ªVara'!$E$4:$E$18,'SIGLAS CARGOS'!C17,'2ªVara'!$F$4:$F$18,"EFETIVO")</f>
        <v>0</v>
      </c>
      <c r="D21" s="57">
        <f>COUNTIFS('3ªVara'!$E$4:$E$48,'SIGLAS CARGOS'!C16,'3ªVara'!$F$4:$F$48,"EFETIVO")</f>
        <v>0</v>
      </c>
      <c r="E21" s="57">
        <f>COUNTIFS('4ªVara'!$E$4:$E$19,'SIGLAS CARGOS'!C16,'4ªVara'!$F$4:$F$19,"EFETIVO")</f>
        <v>0</v>
      </c>
      <c r="F21" s="57">
        <f>COUNTIFS('5ªVara'!$E$4:$E$20,'SIGLAS CARGOS'!C16,'5ªVara'!$F$4:$F$20,"EFETIVO")</f>
        <v>0</v>
      </c>
      <c r="G21" s="57">
        <f>COUNTIFS('6ªVara'!$E$4:$E$21,'SIGLAS CARGOS'!C16,'6ªVara'!$F$4:$F$21,"EFETIVO")</f>
        <v>0</v>
      </c>
      <c r="H21" s="57">
        <f>COUNTIFS('7ªVara'!$E$4:$E$18,'SIGLAS CARGOS'!C16,'7ªVara'!$F$4:$F$18,"EFETIVO")</f>
        <v>0</v>
      </c>
      <c r="I21" s="57">
        <f>COUNTIFS('8ªVara'!$E$4:$E$21,'SIGLAS CARGOS'!C16,'8ªVara'!$F$4:$F$21,"EFETIVO")</f>
        <v>0</v>
      </c>
      <c r="J21" s="57">
        <f>COUNTIFS('9ªVara'!$E$4:$E$22,'SIGLAS CARGOS'!C16,'9ªVara'!$F$4:$F$22,"EFETIVO")</f>
        <v>0</v>
      </c>
      <c r="K21" s="57">
        <f>COUNTIFS('10ªVara'!$E$4:$E$20,'SIGLAS CARGOS'!C16,'10ªVara'!$G$4:$G$20,"EFETIVO")</f>
        <v>0</v>
      </c>
      <c r="L21" s="57">
        <f>COUNTIFS('11ªVara'!$E$4:$E$21,'SIGLAS CARGOS'!C16,'11ªVara'!$F$4:$F$21,"EFETIVO")</f>
        <v>0</v>
      </c>
      <c r="M21" s="57">
        <f>COUNTIFS('12ªVara'!$E$3:$E$21,'SIGLAS CARGOS'!C16,'12ªVara'!$F$3:$F$21,"EFETIVO")</f>
        <v>0</v>
      </c>
      <c r="N21" s="57">
        <f>COUNTIFS('13ªVara'!$E$3:$E$17,'SIGLAS CARGOS'!C16,'13ªVara'!$F$3:$F$17,"EFETIVO")</f>
        <v>0</v>
      </c>
      <c r="O21" s="57">
        <f>COUNTIFS('14ªVara'!$E$3:$E$21,'SIGLAS CARGOS'!C16,'14ªVara'!$F$3:$F$21,"EFETIVO")</f>
        <v>0</v>
      </c>
      <c r="P21" s="57">
        <f>COUNTIFS('20ªVara'!$E$4:$E$20,'SIGLAS CARGOS'!C16,'20ªVara'!$F$4:$F$20,"EFETIVO")</f>
        <v>0</v>
      </c>
      <c r="Q21" s="57">
        <f>COUNTIFS('21ªVara'!$E$4:$E$26,'SIGLAS CARGOS'!C16,'21ªVara'!$F$4:$F$26,"EFETIVO")</f>
        <v>0</v>
      </c>
      <c r="R21" s="57">
        <f>COUNTIFS('26ªVara'!$E$3:$E$20,'SIGLAS CARGOS'!C16,'26ªVara'!$F$3:$F$20,"EFETIVO")</f>
        <v>0</v>
      </c>
      <c r="S21" s="58">
        <f>COUNTIFS('28ªVara'!$E$4:$E$30,'SIGLAS CARGOS'!C16,'28ªVara'!$F$4:$F$30,"EFETIVO")</f>
        <v>0</v>
      </c>
      <c r="T21" s="57">
        <f>COUNTIFS('32ªVara'!$E$4:$E$20,'SIGLAS CARGOS'!C16,'32ªVara'!$F$4:$F$20,"EFETIVO")</f>
        <v>0</v>
      </c>
      <c r="U21" s="57">
        <f>COUNTIFS('33ªVara'!$E$4:$E$20,'SIGLAS CARGOS'!C16,'33ªVara'!$F$4:$F$20,"EFETIVO")</f>
        <v>0</v>
      </c>
      <c r="V21" s="57">
        <f>COUNTIFS('Turmas Recursais'!$E$4:$E$45,'SIGLAS CARGOS'!C16,'Turmas Recursais'!$F$4:$F$45,"EFETIVO")</f>
        <v>0</v>
      </c>
      <c r="W21" s="57">
        <f>COUNTIFS('Diretoria do Foro'!$E$4:$E$36,'SIGLAS CARGOS'!C16,'Diretoria do Foro'!$I$4:$I$36,"EFETIVO")</f>
        <v>0</v>
      </c>
      <c r="X21" s="57">
        <f>COUNTIFS('Secretaria Administrativa'!$E$3:$E$256,'SIGLAS CARGOS'!C16,'Secretaria Administrativa'!$I$3:$I$256,"EFETIVO")</f>
        <v>1</v>
      </c>
      <c r="Y21" s="59">
        <f t="shared" si="6"/>
        <v>1</v>
      </c>
      <c r="Z21" s="57">
        <f>COUNTIFS('Subseção de Limoeiro do Norte'!$E$4:$E$45,'SIGLAS CARGOS'!C16,'Subseção de Limoeiro do Norte'!$F$4:$F$45,"EFETIVO",'Subseção de Limoeiro do Norte'!$G$4:$G$45,"15ªVARA")</f>
        <v>0</v>
      </c>
      <c r="AA21" s="57">
        <f>COUNTIFS('Subseção de Limoeiro do Norte'!$E$4:$E$45,'SIGLAS CARGOS'!C16,'Subseção de Limoeiro do Norte'!$F$4:$F$45,"EFETIVO",'Subseção de Limoeiro do Norte'!$G$4:$G$45,"29ªVARA")</f>
        <v>0</v>
      </c>
      <c r="AB21" s="57">
        <f>COUNTIFS('Subseção de Limoeiro do Norte'!$E$4:$E$45,'SIGLAS CARGOS'!C16,'Subseção de Limoeiro do Norte'!$F$4:$F$45,"EFETIVO",'Subseção de Limoeiro do Norte'!$G$4:$G$45,"SUBDIRFORO")</f>
        <v>0</v>
      </c>
      <c r="AC21" s="69">
        <f>SUM(Z21:AB21)</f>
        <v>0</v>
      </c>
      <c r="AD21" s="57">
        <f>COUNTIFS('Subseção de Juazeiro do Norte'!$E$3:$E$65,'SIGLAS CARGOS'!C16,'Subseção de Juazeiro do Norte'!$F$3:$F$65,"EFETIVO",'Subseção de Juazeiro do Norte'!$G$3:$G$65,"16ªVara")</f>
        <v>0</v>
      </c>
      <c r="AE21" s="57">
        <f>COUNTIFS('Subseção de Juazeiro do Norte'!$E$3:$E$65,'SIGLAS CARGOS'!C16,'Subseção de Juazeiro do Norte'!$F$3:$F$65,"EFETIVO",'Subseção de Juazeiro do Norte'!$G$3:$G$65,"17ªVara")</f>
        <v>0</v>
      </c>
      <c r="AF21" s="57">
        <f>COUNTIFS('Subseção de Juazeiro do Norte'!$E$3:$E$65,'SIGLAS CARGOS'!C16,'Subseção de Juazeiro do Norte'!$F$3:$F$65,"EFETIVO",'Subseção de Juazeiro do Norte'!$G$3:$G$65,"30ªVara")</f>
        <v>0</v>
      </c>
      <c r="AG21" s="57">
        <f>COUNTIFS('Subseção de Juazeiro do Norte'!$E$3:$E$65,'SIGLAS CARGOS'!C16,'Subseção de Juazeiro do Norte'!$F$3:$F$65,"EFETIVO",'Subseção de Juazeiro do Norte'!$G$3:$G$65,"SUBDIRFORO")</f>
        <v>0</v>
      </c>
      <c r="AH21" s="60">
        <f>SUM(AD21:AG21)</f>
        <v>0</v>
      </c>
      <c r="AI21" s="57">
        <f>COUNTIFS('Subseção de Sobral'!$E$4:$E$68,'SIGLAS CARGOS'!C16,'Subseção de Sobral'!$F$4:$F$68,"EFETIVO",'Subseção de Sobral'!$G$4:$G$68,"18ªVara")</f>
        <v>0</v>
      </c>
      <c r="AJ21" s="57">
        <f>COUNTIFS('Subseção de Sobral'!$E$4:$E$68,'SIGLAS CARGOS'!C16,'Subseção de Sobral'!$F$4:$F$68,"EFETIVO",'Subseção de Sobral'!$G$4:$G$68,"19ªVara")</f>
        <v>0</v>
      </c>
      <c r="AK21" s="57">
        <f>COUNTIFS('Subseção de Sobral'!$E$4:$E$68,'SIGLAS CARGOS'!C16,'Subseção de Sobral'!$F$4:$F$68,"EFETIVO",'Subseção de Sobral'!$G$4:$G$68,"31ªVara")</f>
        <v>0</v>
      </c>
      <c r="AL21" s="57">
        <f>COUNTIFS('Subseção de Sobral'!$E$4:$E$68,'SIGLAS CARGOS'!$C16,'Subseção de Sobral'!$F$4:$F$68,"EFETIVO",'Subseção de Sobral'!$G$4:$G$68,"SUBDIRFORO")</f>
        <v>0</v>
      </c>
      <c r="AM21" s="60">
        <f>SUM(AI21:AL21)</f>
        <v>0</v>
      </c>
      <c r="AN21" s="61">
        <f>COUNTIFS('Subseção de Crateús'!$E$4:$E$67,'SIGLAS CARGOS'!C16,'Subseção de Crateús'!$F$4:$F$67,"EFETIVO",'Subseção de Crateús'!$G$4:$G$67,"22ªVARA")</f>
        <v>0</v>
      </c>
      <c r="AO21" s="57">
        <f>COUNTIFS('Subseção de Crateús'!$E$4:$E$67,'SIGLAS CARGOS'!C16,'Subseção de Crateús'!$F$4:$F$67,"EFETIVO",'Subseção de Crateús'!$G$4:$G$67,"SUBDIRFORO")</f>
        <v>0</v>
      </c>
      <c r="AP21" s="60">
        <f>SUM(AL21:AO21)</f>
        <v>0</v>
      </c>
      <c r="AQ21" s="57">
        <f>COUNTIFS('23ªVara - Subseção de Quixadá'!$E$4:$E$64,'SIGLAS CARGOS'!C16,'23ªVara - Subseção de Quixadá'!$F$4:$F$64,"EFETIVO",'23ªVara - Subseção de Quixadá'!$G$4:$G$64,"23ªVARA")</f>
        <v>0</v>
      </c>
      <c r="AR21" s="57">
        <f>COUNTIFS('23ªVara - Subseção de Quixadá'!$E$4:$E$64,'SIGLAS CARGOS'!C16,'23ªVara - Subseção de Quixadá'!$F$4:$F$64,"EFETIVO",'23ªVara - Subseção de Quixadá'!$G$4:$G$64,"SUBDIRFORO")</f>
        <v>0</v>
      </c>
      <c r="AS21" s="60">
        <f>SUM(AO21:AR21)</f>
        <v>0</v>
      </c>
      <c r="AT21" s="57">
        <f>COUNTIFS('24ªVara - Subseção de Tauá'!$E$4:$E$73,'SIGLAS CARGOS'!C16,'24ªVara - Subseção de Tauá'!$F$4:$F$73,"EFETIVO",'24ªVara - Subseção de Tauá'!$G$4:$G$73,"24ªVARA")</f>
        <v>0</v>
      </c>
      <c r="AU21" s="57">
        <f>COUNTIFS('24ªVara - Subseção de Tauá'!$E$4:$E$73,'SIGLAS CARGOS'!C16,'24ªVara - Subseção de Tauá'!$F$4:$F$73,"EFETIVO",'24ªVara - Subseção de Tauá'!$G$4:$G$73,"SUBDIRFORO")</f>
        <v>0</v>
      </c>
      <c r="AV21" s="60">
        <f>SUM(AR21:AU21)</f>
        <v>0</v>
      </c>
      <c r="AW21" s="57">
        <f>COUNTIFS('25ªVara - Subseção de Iguatu'!$E$4:$E$66,'SIGLAS CARGOS'!C16,'25ªVara - Subseção de Iguatu'!$F$4:$F$66,"EFETIVO",'25ªVara - Subseção de Iguatu'!$G$4:$G$66,"25ªVARA")</f>
        <v>0</v>
      </c>
      <c r="AX21" s="57">
        <f>COUNTIFS('25ªVara - Subseção de Iguatu'!$E$4:$E$66,'SIGLAS CARGOS'!C16,'25ªVara - Subseção de Iguatu'!$F$4:$F$66,"EFETIVO",'25ªVara - Subseção de Iguatu'!$G$4:$G$66,"SUBDIRFORO")</f>
        <v>0</v>
      </c>
      <c r="AY21" s="60">
        <f>SUM(AU21:AX21)</f>
        <v>0</v>
      </c>
      <c r="AZ21" s="57">
        <f>COUNTIFS('27ªVara - Subseção de Itapipoca'!$E$4:$E$67,'SIGLAS CARGOS'!C16,'27ªVara - Subseção de Itapipoca'!$F$4:$F$67,"EFETIVO",'27ªVara - Subseção de Itapipoca'!$G$4:$G$67,"27ªVARA")</f>
        <v>0</v>
      </c>
      <c r="BA21" s="57">
        <f>COUNTIFS('27ªVara - Subseção de Itapipoca'!$E$4:$E$67,'SIGLAS CARGOS'!C16,'27ªVara - Subseção de Itapipoca'!$F$4:$F$67,"EFETIVO",'27ªVara - Subseção de Itapipoca'!$G$4:$G$67,"SUBDIRFORO")</f>
        <v>0</v>
      </c>
      <c r="BB21" s="60">
        <f>SUM(AX21:BA21)</f>
        <v>0</v>
      </c>
      <c r="BC21" s="57">
        <f>COUNTIFS('Subseção de Maracanaú'!$E$4:$E$70,'SIGLAS CARGOS'!C16,'Subseção de Maracanaú'!$F$4:$F$70,"EFETIVO",'Subseção de Maracanaú'!$G$4:$G$70,"34ªVARA")</f>
        <v>0</v>
      </c>
      <c r="BD21" s="57">
        <f>COUNTIFS('Subseção de Maracanaú'!$E$4:$E$70,'SIGLAS CARGOS'!C16,'Subseção de Maracanaú'!$F$4:$F$70,"EFETIVO",'Subseção de Maracanaú'!$G$4:$G$70,"35ªVARA")</f>
        <v>0</v>
      </c>
      <c r="BE21" s="57">
        <f>COUNTIFS('Subseção de Maracanaú'!$E$4:$E$70,'SIGLAS CARGOS'!C16,'Subseção de Maracanaú'!$F$4:$F$70,"EFETIVO",'Subseção de Maracanaú'!$G$4:$G$70,"SUBDIRFORO")</f>
        <v>0</v>
      </c>
      <c r="BF21" s="60">
        <f>SUM(BB21:BE21)</f>
        <v>0</v>
      </c>
      <c r="BG21" s="72">
        <f>SUM(Y21+AC21+AH21+AM21+AP21+AS21+AV21+AY21+BB21+BF21)</f>
        <v>1</v>
      </c>
      <c r="BH21" s="64">
        <f>'Cargos vagos'!C153</f>
        <v>1</v>
      </c>
      <c r="BI21" s="65">
        <v>0</v>
      </c>
      <c r="BJ21" s="66">
        <f>SUM(BG21+BH21+BI21)</f>
        <v>2</v>
      </c>
      <c r="BK21" s="26"/>
      <c r="BL21" s="67"/>
      <c r="BM21" s="68"/>
    </row>
    <row r="22" spans="1:65" ht="17.75" x14ac:dyDescent="0.35">
      <c r="A22" s="75" t="s">
        <v>74</v>
      </c>
      <c r="B22" s="57"/>
      <c r="C22" s="57">
        <f>COUNTIFS('2ªVara'!$E$4:$E$18,'SIGLAS CARGOS'!C18,'2ªVara'!$F$4:$F$18,"EFETIVO")</f>
        <v>0</v>
      </c>
      <c r="D22" s="57"/>
      <c r="E22" s="57"/>
      <c r="F22" s="57"/>
      <c r="G22" s="57"/>
      <c r="H22" s="57"/>
      <c r="I22" s="57"/>
      <c r="J22" s="57"/>
      <c r="K22" s="57"/>
      <c r="L22" s="57"/>
      <c r="M22" s="57"/>
      <c r="N22" s="57"/>
      <c r="O22" s="57"/>
      <c r="P22" s="57"/>
      <c r="Q22" s="57"/>
      <c r="R22" s="57"/>
      <c r="S22" s="58"/>
      <c r="T22" s="57"/>
      <c r="U22" s="57"/>
      <c r="V22" s="57"/>
      <c r="W22" s="57"/>
      <c r="X22" s="57"/>
      <c r="Y22" s="59">
        <f t="shared" si="6"/>
        <v>0</v>
      </c>
      <c r="Z22" s="57"/>
      <c r="AA22" s="57"/>
      <c r="AB22" s="57"/>
      <c r="AC22" s="69"/>
      <c r="AD22" s="57"/>
      <c r="AE22" s="57"/>
      <c r="AF22" s="57"/>
      <c r="AG22" s="57"/>
      <c r="AH22" s="60"/>
      <c r="AI22" s="57"/>
      <c r="AJ22" s="57"/>
      <c r="AK22" s="57"/>
      <c r="AL22" s="57"/>
      <c r="AM22" s="60"/>
      <c r="AN22" s="61"/>
      <c r="AO22" s="57"/>
      <c r="AP22" s="60"/>
      <c r="AQ22" s="57"/>
      <c r="AR22" s="57"/>
      <c r="AS22" s="60"/>
      <c r="AT22" s="57"/>
      <c r="AU22" s="57"/>
      <c r="AV22" s="60"/>
      <c r="AW22" s="57"/>
      <c r="AX22" s="57"/>
      <c r="AY22" s="60"/>
      <c r="AZ22" s="57"/>
      <c r="BA22" s="57"/>
      <c r="BB22" s="60"/>
      <c r="BC22" s="57"/>
      <c r="BD22" s="57"/>
      <c r="BE22" s="57"/>
      <c r="BF22" s="60"/>
      <c r="BG22" s="72"/>
      <c r="BH22" s="64"/>
      <c r="BI22" s="65"/>
      <c r="BJ22" s="66"/>
      <c r="BK22" s="26"/>
      <c r="BL22" s="67"/>
      <c r="BM22" s="68"/>
    </row>
    <row r="23" spans="1:65" ht="17.75" x14ac:dyDescent="0.35">
      <c r="A23" s="75" t="s">
        <v>75</v>
      </c>
      <c r="B23" s="57"/>
      <c r="C23" s="57">
        <f>COUNTIFS('2ªVara'!$E$4:$E$18,'SIGLAS CARGOS'!C19,'2ªVara'!$F$4:$F$18,"EFETIVO")</f>
        <v>0</v>
      </c>
      <c r="D23" s="57"/>
      <c r="E23" s="57"/>
      <c r="F23" s="57"/>
      <c r="G23" s="57"/>
      <c r="H23" s="57"/>
      <c r="I23" s="57"/>
      <c r="J23" s="57"/>
      <c r="K23" s="57"/>
      <c r="L23" s="57"/>
      <c r="M23" s="57"/>
      <c r="N23" s="57"/>
      <c r="O23" s="57"/>
      <c r="P23" s="57"/>
      <c r="Q23" s="57"/>
      <c r="R23" s="57"/>
      <c r="S23" s="58"/>
      <c r="T23" s="57"/>
      <c r="U23" s="57"/>
      <c r="V23" s="57"/>
      <c r="W23" s="57"/>
      <c r="X23" s="57">
        <v>2</v>
      </c>
      <c r="Y23" s="59">
        <f t="shared" si="6"/>
        <v>2</v>
      </c>
      <c r="Z23" s="57"/>
      <c r="AA23" s="57"/>
      <c r="AB23" s="57"/>
      <c r="AC23" s="69"/>
      <c r="AD23" s="57"/>
      <c r="AE23" s="57"/>
      <c r="AF23" s="57"/>
      <c r="AG23" s="57"/>
      <c r="AH23" s="60"/>
      <c r="AI23" s="57"/>
      <c r="AJ23" s="57"/>
      <c r="AK23" s="57"/>
      <c r="AL23" s="57"/>
      <c r="AM23" s="60"/>
      <c r="AN23" s="61"/>
      <c r="AO23" s="57"/>
      <c r="AP23" s="60"/>
      <c r="AQ23" s="57"/>
      <c r="AR23" s="57"/>
      <c r="AS23" s="60"/>
      <c r="AT23" s="57"/>
      <c r="AU23" s="57"/>
      <c r="AV23" s="60"/>
      <c r="AW23" s="57"/>
      <c r="AX23" s="57"/>
      <c r="AY23" s="60"/>
      <c r="AZ23" s="57"/>
      <c r="BA23" s="57"/>
      <c r="BB23" s="60"/>
      <c r="BC23" s="57"/>
      <c r="BD23" s="57"/>
      <c r="BE23" s="57"/>
      <c r="BF23" s="60"/>
      <c r="BG23" s="72"/>
      <c r="BH23" s="64"/>
      <c r="BI23" s="65"/>
      <c r="BJ23" s="66"/>
      <c r="BK23" s="26"/>
      <c r="BL23" s="67"/>
      <c r="BM23" s="68"/>
    </row>
    <row r="24" spans="1:65" ht="17.75" x14ac:dyDescent="0.35">
      <c r="A24" s="56" t="s">
        <v>76</v>
      </c>
      <c r="B24" s="57">
        <f>COUNTIFS('1ªVara'!$E$4:$E$28,'SIGLAS CARGOS'!C17,'1ªVara'!$F$4:$F$28,"EFETIVO")</f>
        <v>1</v>
      </c>
      <c r="C24" s="57">
        <f>COUNTIFS('2ªVara'!$E$4:$E$18,'SIGLAS CARGOS'!C20,'2ªVara'!$F$4:$F$18,"EFETIVO")</f>
        <v>0</v>
      </c>
      <c r="D24" s="57">
        <f>COUNTIFS('3ªVara'!$E$4:$E$48,'SIGLAS CARGOS'!C17,'3ªVara'!$F$4:$F$48,"EFETIVO")</f>
        <v>0</v>
      </c>
      <c r="E24" s="57">
        <f>COUNTIFS('4ªVara'!$E$4:$E$19,'SIGLAS CARGOS'!C17,'4ªVara'!$F$4:$F$19,"EFETIVO")</f>
        <v>0</v>
      </c>
      <c r="F24" s="57">
        <f>COUNTIFS('5ªVara'!$E$4:$E$20,'SIGLAS CARGOS'!C17,'5ªVara'!$F$4:$F$20,"EFETIVO")</f>
        <v>0</v>
      </c>
      <c r="G24" s="57">
        <f>COUNTIFS('6ªVara'!$E$4:$E$21,'SIGLAS CARGOS'!C17,'6ªVara'!$F$4:$F$21,"EFETIVO")</f>
        <v>1</v>
      </c>
      <c r="H24" s="57">
        <f>COUNTIFS('7ªVara'!$E$4:$E$18,'SIGLAS CARGOS'!C17,'7ªVara'!$F$4:$F$18,"EFETIVO")</f>
        <v>1</v>
      </c>
      <c r="I24" s="57">
        <f>COUNTIFS('8ªVara'!$E$4:$E$21,'SIGLAS CARGOS'!C17,'8ªVara'!$F$4:$F$21,"EFETIVO")</f>
        <v>0</v>
      </c>
      <c r="J24" s="57">
        <f>COUNTIFS('9ªVara'!$E$4:$E$22,'SIGLAS CARGOS'!C17,'9ªVara'!$F$4:$F$22,"EFETIVO")</f>
        <v>0</v>
      </c>
      <c r="K24" s="57">
        <f>COUNTIFS('10ªVara'!$E$4:$E$20,'SIGLAS CARGOS'!C17,'10ªVara'!$G$4:$G$20,"EFETIVO")</f>
        <v>0</v>
      </c>
      <c r="L24" s="57">
        <f>COUNTIFS('11ªVara'!$E$4:$E$21,'SIGLAS CARGOS'!C17,'11ªVara'!$F$4:$F$21,"EFETIVO")</f>
        <v>0</v>
      </c>
      <c r="M24" s="57">
        <f>COUNTIFS('12ªVara'!$E$3:$E$21,'SIGLAS CARGOS'!C17,'12ªVara'!$F$3:$F$21,"EFETIVO")</f>
        <v>0</v>
      </c>
      <c r="N24" s="57">
        <f>COUNTIFS('13ªVara'!$E$3:$E$17,'SIGLAS CARGOS'!C17,'13ªVara'!$F$3:$F$17,"EFETIVO")</f>
        <v>0</v>
      </c>
      <c r="O24" s="57">
        <f>COUNTIFS('14ªVara'!$E$3:$E$21,'SIGLAS CARGOS'!C17,'14ªVara'!$F$3:$F$21,"EFETIVO")</f>
        <v>0</v>
      </c>
      <c r="P24" s="57">
        <f>COUNTIFS('20ªVara'!$E$4:$E$20,'SIGLAS CARGOS'!C17,'20ªVara'!$F$4:$F$20,"EFETIVO")</f>
        <v>1</v>
      </c>
      <c r="Q24" s="57">
        <f>COUNTIFS('21ªVara'!$E$4:$E$26,'SIGLAS CARGOS'!C17,'21ªVara'!$F$4:$F$26,"EFETIVO")</f>
        <v>1</v>
      </c>
      <c r="R24" s="57">
        <f>COUNTIFS('26ªVara'!$E$3:$E$20,'SIGLAS CARGOS'!C17,'26ªVara'!$F$3:$F$20,"EFETIVO")</f>
        <v>0</v>
      </c>
      <c r="S24" s="58">
        <f>COUNTIFS('28ªVara'!$E$4:$E$30,'SIGLAS CARGOS'!C17,'28ªVara'!$F$4:$F$30,"EFETIVO")</f>
        <v>0</v>
      </c>
      <c r="T24" s="57">
        <f>COUNTIFS('32ªVara'!$E$4:$E$20,'SIGLAS CARGOS'!C17,'32ªVara'!$F$4:$F$20,"EFETIVO")</f>
        <v>1</v>
      </c>
      <c r="U24" s="57">
        <f>COUNTIFS('33ªVara'!$E$4:$E$20,'SIGLAS CARGOS'!C17,'33ªVara'!$F$4:$F$20,"EFETIVO")</f>
        <v>1</v>
      </c>
      <c r="V24" s="57">
        <f>COUNTIFS('Turmas Recursais'!$E$4:$E$45,'SIGLAS CARGOS'!C17,'Turmas Recursais'!$F$4:$F$45,"EFETIVO")</f>
        <v>0</v>
      </c>
      <c r="W24" s="57">
        <f>COUNTIFS('Diretoria do Foro'!$E$4:$E$36,'SIGLAS CARGOS'!C17,'Diretoria do Foro'!$I$4:$I$36,"EFETIVO")</f>
        <v>1</v>
      </c>
      <c r="X24" s="57">
        <f>COUNTIFS('Secretaria Administrativa'!$E$3:$E$256,'SIGLAS CARGOS'!C17,'Secretaria Administrativa'!$I$3:$I$256,"EFETIVO")</f>
        <v>33</v>
      </c>
      <c r="Y24" s="59">
        <f t="shared" si="6"/>
        <v>41</v>
      </c>
      <c r="Z24" s="57">
        <f>COUNTIFS('Subseção de Limoeiro do Norte'!$E$4:$E$45,'SIGLAS CARGOS'!C17,'Subseção de Limoeiro do Norte'!$F$4:$F$45,"EFETIVO",'Subseção de Limoeiro do Norte'!$G$4:$G$45,"15ªVARA")</f>
        <v>2</v>
      </c>
      <c r="AA24" s="57">
        <f>COUNTIFS('Subseção de Limoeiro do Norte'!$E$4:$E$45,'SIGLAS CARGOS'!C17,'Subseção de Limoeiro do Norte'!$F$4:$F$45,"EFETIVO",'Subseção de Limoeiro do Norte'!$G$4:$G$45,"29ªVARA")</f>
        <v>2</v>
      </c>
      <c r="AB24" s="57">
        <f>COUNTIFS('Subseção de Limoeiro do Norte'!$E$4:$E$45,'SIGLAS CARGOS'!C17,'Subseção de Limoeiro do Norte'!$F$4:$F$45,"EFETIVO",'Subseção de Limoeiro do Norte'!$G$4:$G$45,"SUBDIRFORO")</f>
        <v>0</v>
      </c>
      <c r="AC24" s="69">
        <f t="shared" ref="AC24:AC32" si="7">SUM(Z24:AB24)</f>
        <v>4</v>
      </c>
      <c r="AD24" s="57">
        <f>COUNTIFS('Subseção de Juazeiro do Norte'!$E$3:$E$65,'SIGLAS CARGOS'!C17,'Subseção de Juazeiro do Norte'!$F$3:$F$65,"EFETIVO",'Subseção de Juazeiro do Norte'!$G$3:$G$65,"16ªVara")</f>
        <v>1</v>
      </c>
      <c r="AE24" s="57">
        <f>COUNTIFS('Subseção de Juazeiro do Norte'!$E$3:$E$65,'SIGLAS CARGOS'!C17,'Subseção de Juazeiro do Norte'!$F$3:$F$65,"EFETIVO",'Subseção de Juazeiro do Norte'!$G$3:$G$65,"17ªVara")</f>
        <v>2</v>
      </c>
      <c r="AF24" s="57">
        <f>COUNTIFS('Subseção de Juazeiro do Norte'!$E$3:$E$65,'SIGLAS CARGOS'!C17,'Subseção de Juazeiro do Norte'!$F$3:$F$65,"EFETIVO",'Subseção de Juazeiro do Norte'!$G$3:$G$65,"30ªVara")</f>
        <v>1</v>
      </c>
      <c r="AG24" s="57">
        <f>COUNTIFS('Subseção de Juazeiro do Norte'!$E$3:$E$65,'SIGLAS CARGOS'!C17,'Subseção de Juazeiro do Norte'!$F$3:$F$65,"EFETIVO",'Subseção de Juazeiro do Norte'!$G$3:$G$65,"SUBDIRFORO")</f>
        <v>2</v>
      </c>
      <c r="AH24" s="60">
        <f>SUM(AD24:AG24)</f>
        <v>6</v>
      </c>
      <c r="AI24" s="57">
        <f>COUNTIFS('Subseção de Sobral'!$E$4:$E$68,'SIGLAS CARGOS'!C17,'Subseção de Sobral'!$F$4:$F$68,"EFETIVO",'Subseção de Sobral'!$G$4:$G$68,"18ªVara")</f>
        <v>1</v>
      </c>
      <c r="AJ24" s="57">
        <f>COUNTIFS('Subseção de Sobral'!$E$4:$E$68,'SIGLAS CARGOS'!C17,'Subseção de Sobral'!$F$4:$F$68,"EFETIVO",'Subseção de Sobral'!$G$4:$G$68,"19ªVara")</f>
        <v>2</v>
      </c>
      <c r="AK24" s="57">
        <f>COUNTIFS('Subseção de Sobral'!$E$4:$E$68,'SIGLAS CARGOS'!C17,'Subseção de Sobral'!$F$4:$F$68,"EFETIVO",'Subseção de Sobral'!$G$4:$G$68,"31ªVara")</f>
        <v>2</v>
      </c>
      <c r="AL24" s="57">
        <f>COUNTIFS('Subseção de Sobral'!$E$4:$E$68,'SIGLAS CARGOS'!$C17,'Subseção de Sobral'!$F$4:$F$68,"EFETIVO",'Subseção de Sobral'!$G$4:$G$68,"SUBDIRFORO")</f>
        <v>0</v>
      </c>
      <c r="AM24" s="60">
        <f>SUM(AI24:AL24)</f>
        <v>5</v>
      </c>
      <c r="AN24" s="61">
        <f>COUNTIFS('Subseção de Crateús'!$E$4:$E$67,'SIGLAS CARGOS'!C17,'Subseção de Crateús'!$F$4:$F$67,"EFETIVO",'Subseção de Crateús'!$G$4:$G$67,"22ªVARA")</f>
        <v>1</v>
      </c>
      <c r="AO24" s="57">
        <f>COUNTIFS('Subseção de Crateús'!$E$4:$E$67,'SIGLAS CARGOS'!C17,'Subseção de Crateús'!$F$4:$F$67,"EFETIVO",'Subseção de Crateús'!$G$4:$G$67,"SUBDIRFORO")</f>
        <v>1</v>
      </c>
      <c r="AP24" s="60">
        <f t="shared" ref="AP24:AP30" si="8">SUM(AN24:AO24)</f>
        <v>2</v>
      </c>
      <c r="AQ24" s="57">
        <f>COUNTIFS('23ªVara - Subseção de Quixadá'!$E$4:$E$64,'SIGLAS CARGOS'!C17,'23ªVara - Subseção de Quixadá'!$F$4:$F$64,"EFETIVO",'23ªVara - Subseção de Quixadá'!$G$4:$G$64,"23ªVARA")</f>
        <v>1</v>
      </c>
      <c r="AR24" s="57">
        <f>COUNTIFS('23ªVara - Subseção de Quixadá'!$E$4:$E$64,'SIGLAS CARGOS'!C17,'23ªVara - Subseção de Quixadá'!$F$4:$F$64,"EFETIVO",'23ªVara - Subseção de Quixadá'!$G$4:$G$64,"SUBDIRFORO")</f>
        <v>0</v>
      </c>
      <c r="AS24" s="60">
        <f>SUM(AQ24:AR24)</f>
        <v>1</v>
      </c>
      <c r="AT24" s="57">
        <f>COUNTIFS('24ªVara - Subseção de Tauá'!$E$4:$E$73,'SIGLAS CARGOS'!C17,'24ªVara - Subseção de Tauá'!$F$4:$F$73,"EFETIVO",'24ªVara - Subseção de Tauá'!$G$4:$G$73,"24ªVARA")</f>
        <v>2</v>
      </c>
      <c r="AU24" s="57">
        <f>COUNTIFS('24ªVara - Subseção de Tauá'!$E$4:$E$73,'SIGLAS CARGOS'!C17,'24ªVara - Subseção de Tauá'!$F$4:$F$73,"EFETIVO",'24ªVara - Subseção de Tauá'!$G$4:$G$73,"SUBDIRFORO")</f>
        <v>0</v>
      </c>
      <c r="AV24" s="60">
        <f>SUM(AT24:AU24)</f>
        <v>2</v>
      </c>
      <c r="AW24" s="57">
        <f>COUNTIFS('25ªVara - Subseção de Iguatu'!$E$4:$E$66,'SIGLAS CARGOS'!C17,'25ªVara - Subseção de Iguatu'!$F$4:$F$66,"EFETIVO",'25ªVara - Subseção de Iguatu'!$G$4:$G$66,"25ªVARA")</f>
        <v>0</v>
      </c>
      <c r="AX24" s="57">
        <f>COUNTIFS('25ªVara - Subseção de Iguatu'!$E$4:$E$66,'SIGLAS CARGOS'!C17,'25ªVara - Subseção de Iguatu'!$F$4:$F$66,"EFETIVO",'25ªVara - Subseção de Iguatu'!$G$4:$G$66,"SUBDIRFORO")</f>
        <v>0</v>
      </c>
      <c r="AY24" s="60">
        <f>SUM(AW24:AX24)</f>
        <v>0</v>
      </c>
      <c r="AZ24" s="57">
        <f>COUNTIFS('27ªVara - Subseção de Itapipoca'!$E$4:$E$67,'SIGLAS CARGOS'!C17,'27ªVara - Subseção de Itapipoca'!$F$4:$F$67,"EFETIVO",'27ªVara - Subseção de Itapipoca'!$G$4:$G$67,"27ªVARA")</f>
        <v>2</v>
      </c>
      <c r="BA24" s="57">
        <f>COUNTIFS('27ªVara - Subseção de Itapipoca'!$E$4:$E$67,'SIGLAS CARGOS'!C17,'27ªVara - Subseção de Itapipoca'!$F$4:$F$67,"EFETIVO",'27ªVara - Subseção de Itapipoca'!$G$4:$G$67,"SUBDIRFORO")</f>
        <v>0</v>
      </c>
      <c r="BB24" s="60">
        <f>SUM(AZ24:BA24)</f>
        <v>2</v>
      </c>
      <c r="BC24" s="57">
        <f>COUNTIFS('Subseção de Maracanaú'!$E$4:$E$70,'SIGLAS CARGOS'!C17,'Subseção de Maracanaú'!$F$4:$F$70,"EFETIVO",'Subseção de Maracanaú'!$G$4:$G$70,"34ªVARA")</f>
        <v>2</v>
      </c>
      <c r="BD24" s="57">
        <f>COUNTIFS('Subseção de Maracanaú'!$E$4:$E$70,'SIGLAS CARGOS'!C17,'Subseção de Maracanaú'!$F$4:$F$70,"EFETIVO",'Subseção de Maracanaú'!$G$4:$G$70,"35ªVARA")</f>
        <v>2</v>
      </c>
      <c r="BE24" s="57">
        <f>COUNTIFS('Subseção de Maracanaú'!$E$4:$E$70,'SIGLAS CARGOS'!C17,'Subseção de Maracanaú'!$F$4:$F$70,"EFETIVO",'Subseção de Maracanaú'!$G$4:$G$70,"SUBDIRFORO")</f>
        <v>1</v>
      </c>
      <c r="BF24" s="70">
        <f t="shared" ref="BF24:BF32" si="9">SUM(BC24:BE24)</f>
        <v>5</v>
      </c>
      <c r="BG24" s="72">
        <f>SUM(Y24+AC24+AH24+AM24+AP24+AS24+AV24+AY24+BB24+BF24)</f>
        <v>68</v>
      </c>
      <c r="BH24" s="64">
        <f>'Cargos vagos'!C152</f>
        <v>2</v>
      </c>
      <c r="BI24" s="65">
        <f>COUNTIF(Cedidos!$E$4:$E$44,"TJAS")</f>
        <v>3</v>
      </c>
      <c r="BJ24" s="66">
        <f>SUM(BG24+BH24+BI24)</f>
        <v>73</v>
      </c>
      <c r="BK24" s="26"/>
      <c r="BL24" s="67"/>
      <c r="BM24" s="68"/>
    </row>
    <row r="25" spans="1:65" ht="17.75" x14ac:dyDescent="0.35">
      <c r="A25" s="56" t="s">
        <v>77</v>
      </c>
      <c r="B25" s="57">
        <f>COUNTIFS('1ªVara'!$E$4:$E$28,'SIGLAS CARGOS'!C18,'1ªVara'!$F$4:$F$28,"EFETIVO")</f>
        <v>0</v>
      </c>
      <c r="C25" s="57">
        <f>COUNTIFS('2ªVara'!$E$4:$E$18,'SIGLAS CARGOS'!C21,'2ªVara'!$F$4:$F$18,"EFETIVO")</f>
        <v>0</v>
      </c>
      <c r="D25" s="57">
        <f>COUNTIFS('3ªVara'!$E$4:$E$48,'SIGLAS CARGOS'!C18,'3ªVara'!$F$4:$F$48,"EFETIVO")</f>
        <v>0</v>
      </c>
      <c r="E25" s="57">
        <f>COUNTIFS('4ªVara'!$E$4:$E$19,'SIGLAS CARGOS'!C18,'4ªVara'!$F$4:$F$19,"EFETIVO")</f>
        <v>0</v>
      </c>
      <c r="F25" s="57">
        <f>COUNTIFS('5ªVara'!$E$4:$E$20,'SIGLAS CARGOS'!C18,'5ªVara'!$F$4:$F$20,"EFETIVO")</f>
        <v>0</v>
      </c>
      <c r="G25" s="57">
        <f>COUNTIFS('6ªVara'!$E$4:$E$21,'SIGLAS CARGOS'!C18,'6ªVara'!$F$4:$F$21,"EFETIVO")</f>
        <v>0</v>
      </c>
      <c r="H25" s="57">
        <f>COUNTIFS('7ªVara'!$E$4:$E$18,'SIGLAS CARGOS'!C18,'7ªVara'!$F$4:$F$18,"EFETIVO")</f>
        <v>0</v>
      </c>
      <c r="I25" s="57">
        <f>COUNTIFS('8ªVara'!$E$4:$E$21,'SIGLAS CARGOS'!C18,'8ªVara'!$F$4:$F$21,"EFETIVO")</f>
        <v>0</v>
      </c>
      <c r="J25" s="57">
        <f>COUNTIFS('9ªVara'!$E$4:$E$22,'SIGLAS CARGOS'!C18,'9ªVara'!$F$4:$F$22,"EFETIVO")</f>
        <v>0</v>
      </c>
      <c r="K25" s="57">
        <f>COUNTIFS('10ªVara'!$E$4:$E$20,'SIGLAS CARGOS'!C18,'10ªVara'!$G$4:$G$20,"EFETIVO")</f>
        <v>0</v>
      </c>
      <c r="L25" s="57">
        <f>COUNTIFS('11ªVara'!$E$4:$E$21,'SIGLAS CARGOS'!C18,'11ªVara'!$F$4:$F$21,"EFETIVO")</f>
        <v>0</v>
      </c>
      <c r="M25" s="57">
        <f>COUNTIFS('12ªVara'!$E$3:$E$21,'SIGLAS CARGOS'!C18,'12ªVara'!$F$3:$F$21,"EFETIVO")</f>
        <v>0</v>
      </c>
      <c r="N25" s="57">
        <f>COUNTIFS('13ªVara'!$E$3:$E$17,'SIGLAS CARGOS'!C18,'13ªVara'!$F$3:$F$17,"EFETIVO")</f>
        <v>0</v>
      </c>
      <c r="O25" s="57">
        <f>COUNTIFS('14ªVara'!$E$3:$E$21,'SIGLAS CARGOS'!C18,'14ªVara'!$F$3:$F$21,"EFETIVO")</f>
        <v>0</v>
      </c>
      <c r="P25" s="57">
        <f>COUNTIFS('20ªVara'!$E$4:$E$20,'SIGLAS CARGOS'!C18,'20ªVara'!$F$4:$F$20,"EFETIVO")</f>
        <v>0</v>
      </c>
      <c r="Q25" s="57">
        <f>COUNTIFS('21ªVara'!$E$4:$E$26,'SIGLAS CARGOS'!C18,'21ªVara'!$F$4:$F$26,"EFETIVO")</f>
        <v>0</v>
      </c>
      <c r="R25" s="57">
        <f>COUNTIFS('26ªVara'!$E$3:$E$20,'SIGLAS CARGOS'!C18,'26ªVara'!$F$3:$F$20,"EFETIVO")</f>
        <v>0</v>
      </c>
      <c r="S25" s="58">
        <f>COUNTIFS('28ªVara'!$E$4:$E$30,'SIGLAS CARGOS'!C18,'28ªVara'!$F$4:$F$30,"EFETIVO")</f>
        <v>0</v>
      </c>
      <c r="T25" s="57">
        <f>COUNTIFS('32ªVara'!$E$4:$E$20,'SIGLAS CARGOS'!C18,'32ªVara'!$F$4:$F$20,"EFETIVO")</f>
        <v>0</v>
      </c>
      <c r="U25" s="57">
        <f>COUNTIFS('33ªVara'!$E$4:$E$20,'SIGLAS CARGOS'!C18,'33ªVara'!$F$4:$F$20,"EFETIVO")</f>
        <v>0</v>
      </c>
      <c r="V25" s="57">
        <f>COUNTIFS('Turmas Recursais'!$E$4:$E$45,'SIGLAS CARGOS'!C18,'Turmas Recursais'!$F$4:$F$45,"EFETIVO")</f>
        <v>0</v>
      </c>
      <c r="W25" s="57">
        <f>COUNTIFS('Diretoria do Foro'!$E$4:$E$36,'SIGLAS CARGOS'!C18,'Diretoria do Foro'!$I$4:$I$36,"EFETIVO")</f>
        <v>0</v>
      </c>
      <c r="X25" s="57">
        <f>COUNTIFS('Secretaria Administrativa'!$E$3:$E$256,'SIGLAS CARGOS'!C18,'Secretaria Administrativa'!$I$3:$I$256,"EFETIVO")</f>
        <v>0</v>
      </c>
      <c r="Y25" s="76">
        <f t="shared" si="6"/>
        <v>0</v>
      </c>
      <c r="Z25" s="57">
        <f>COUNTIFS('Subseção de Limoeiro do Norte'!$E$4:$E$45,'SIGLAS CARGOS'!C18,'Subseção de Limoeiro do Norte'!$F$4:$F$45,"EFETIVO",'Subseção de Limoeiro do Norte'!$G$4:$G$45,"15ªVARA")</f>
        <v>0</v>
      </c>
      <c r="AA25" s="57">
        <f>COUNTIFS('Subseção de Limoeiro do Norte'!$E$4:$E$45,'SIGLAS CARGOS'!C18,'Subseção de Limoeiro do Norte'!$F$4:$F$45,"EFETIVO",'Subseção de Limoeiro do Norte'!$G$4:$G$45,"29ªVARA")</f>
        <v>0</v>
      </c>
      <c r="AB25" s="57">
        <f>COUNTIFS('Subseção de Limoeiro do Norte'!$E$4:$E$45,'SIGLAS CARGOS'!C18,'Subseção de Limoeiro do Norte'!$F$4:$F$45,"EFETIVO",'Subseção de Limoeiro do Norte'!$G$4:$G$45,"SUBDIRFORO")</f>
        <v>0</v>
      </c>
      <c r="AC25" s="69">
        <f t="shared" si="7"/>
        <v>0</v>
      </c>
      <c r="AD25" s="57">
        <f>COUNTIFS('Subseção de Juazeiro do Norte'!$E$3:$E$65,'SIGLAS CARGOS'!C18,'Subseção de Juazeiro do Norte'!$F$3:$F$65,"EFETIVO",'Subseção de Juazeiro do Norte'!$G$3:$G$65,"16ªVara")</f>
        <v>0</v>
      </c>
      <c r="AE25" s="57">
        <f>COUNTIFS('Subseção de Juazeiro do Norte'!$E$3:$E$65,'SIGLAS CARGOS'!C18,'Subseção de Juazeiro do Norte'!$F$3:$F$65,"EFETIVO",'Subseção de Juazeiro do Norte'!$G$3:$G$65,"17ªVara")</f>
        <v>0</v>
      </c>
      <c r="AF25" s="57">
        <f>COUNTIFS('Subseção de Juazeiro do Norte'!$E$3:$E$65,'SIGLAS CARGOS'!C18,'Subseção de Juazeiro do Norte'!$F$3:$F$65,"EFETIVO",'Subseção de Juazeiro do Norte'!$G$3:$G$65,"30ªVara")</f>
        <v>0</v>
      </c>
      <c r="AG25" s="57">
        <f>COUNTIFS('Subseção de Juazeiro do Norte'!$E$3:$E$65,'SIGLAS CARGOS'!C18,'Subseção de Juazeiro do Norte'!$F$3:$F$65,"EFETIVO",'Subseção de Juazeiro do Norte'!$G$3:$G$65,"SUBDIRFORO")</f>
        <v>0</v>
      </c>
      <c r="AH25" s="60">
        <f>SUM(AD25:AG25)</f>
        <v>0</v>
      </c>
      <c r="AI25" s="57">
        <f>COUNTIFS('Subseção de Sobral'!$E$4:$E$68,'SIGLAS CARGOS'!C18,'Subseção de Sobral'!$F$4:$F$68,"EFETIVO",'Subseção de Sobral'!$G$4:$G$68,"18ªVara")</f>
        <v>0</v>
      </c>
      <c r="AJ25" s="57">
        <f>COUNTIFS('Subseção de Sobral'!$E$4:$E$68,'SIGLAS CARGOS'!C18,'Subseção de Sobral'!$F$4:$F$68,"EFETIVO",'Subseção de Sobral'!$G$4:$G$68,"19ªVara")</f>
        <v>0</v>
      </c>
      <c r="AK25" s="57">
        <f>COUNTIFS('Subseção de Sobral'!$E$4:$E$68,'SIGLAS CARGOS'!C18,'Subseção de Sobral'!$F$4:$F$68,"EFETIVO",'Subseção de Sobral'!$G$4:$G$68,"31ªVara")</f>
        <v>0</v>
      </c>
      <c r="AL25" s="57">
        <f>COUNTIFS('Subseção de Sobral'!$E$4:$E$68,'SIGLAS CARGOS'!$C18,'Subseção de Sobral'!$F$4:$F$68,"EFETIVO",'Subseção de Sobral'!$G$4:$G$68,"SUBDIRFORO")</f>
        <v>0</v>
      </c>
      <c r="AM25" s="60">
        <f>SUM(AI25:AL25)</f>
        <v>0</v>
      </c>
      <c r="AN25" s="61">
        <f>COUNTIFS('Subseção de Crateús'!$E$4:$E$67,'SIGLAS CARGOS'!C18,'Subseção de Crateús'!$F$4:$F$67,"EFETIVO",'Subseção de Crateús'!$G$4:$G$67,"22ªVARA")</f>
        <v>0</v>
      </c>
      <c r="AO25" s="57">
        <f>COUNTIFS('Subseção de Crateús'!$E$4:$E$67,'SIGLAS CARGOS'!C18,'Subseção de Crateús'!$F$4:$F$67,"EFETIVO",'Subseção de Crateús'!$G$4:$G$67,"SUBDIRFORO")</f>
        <v>0</v>
      </c>
      <c r="AP25" s="60">
        <f t="shared" si="8"/>
        <v>0</v>
      </c>
      <c r="AQ25" s="57">
        <f>COUNTIFS('23ªVara - Subseção de Quixadá'!$E$4:$E$64,'SIGLAS CARGOS'!C18,'23ªVara - Subseção de Quixadá'!$F$4:$F$64,"EFETIVO",'23ªVara - Subseção de Quixadá'!$G$4:$G$64,"23ªVARA")</f>
        <v>0</v>
      </c>
      <c r="AR25" s="57">
        <f>COUNTIFS('23ªVara - Subseção de Quixadá'!$E$4:$E$64,'SIGLAS CARGOS'!C18,'23ªVara - Subseção de Quixadá'!$F$4:$F$64,"EFETIVO",'23ªVara - Subseção de Quixadá'!$G$4:$G$64,"SUBDIRFORO")</f>
        <v>0</v>
      </c>
      <c r="AS25" s="60">
        <f>SUM(AQ25:AR25)</f>
        <v>0</v>
      </c>
      <c r="AT25" s="57">
        <f>COUNTIFS('24ªVara - Subseção de Tauá'!$E$4:$E$73,'SIGLAS CARGOS'!C18,'24ªVara - Subseção de Tauá'!$F$4:$F$73,"EFETIVO",'24ªVara - Subseção de Tauá'!$G$4:$G$73,"24ªVARA")</f>
        <v>0</v>
      </c>
      <c r="AU25" s="57">
        <f>COUNTIFS('24ªVara - Subseção de Tauá'!$E$4:$E$73,'SIGLAS CARGOS'!C18,'24ªVara - Subseção de Tauá'!$F$4:$F$73,"EFETIVO",'24ªVara - Subseção de Tauá'!$G$4:$G$73,"SUBDIRFORO")</f>
        <v>0</v>
      </c>
      <c r="AV25" s="60"/>
      <c r="AW25" s="57">
        <f>COUNTIFS('25ªVara - Subseção de Iguatu'!$E$4:$E$66,'SIGLAS CARGOS'!C18,'25ªVara - Subseção de Iguatu'!$F$4:$F$66,"EFETIVO",'25ªVara - Subseção de Iguatu'!$G$4:$G$66,"25ªVARA")</f>
        <v>0</v>
      </c>
      <c r="AX25" s="57">
        <f>COUNTIFS('25ªVara - Subseção de Iguatu'!$E$4:$E$66,'SIGLAS CARGOS'!C18,'25ªVara - Subseção de Iguatu'!$F$4:$F$66,"EFETIVO",'25ªVara - Subseção de Iguatu'!$G$4:$G$66,"SUBDIRFORO")</f>
        <v>0</v>
      </c>
      <c r="AY25" s="60"/>
      <c r="AZ25" s="57">
        <f>COUNTIFS('27ªVara - Subseção de Itapipoca'!$E$4:$E$67,'SIGLAS CARGOS'!C18,'27ªVara - Subseção de Itapipoca'!$F$4:$F$67,"EFETIVO",'27ªVara - Subseção de Itapipoca'!$G$4:$G$67,"27ªVARA")</f>
        <v>0</v>
      </c>
      <c r="BA25" s="57">
        <f>COUNTIFS('27ªVara - Subseção de Itapipoca'!$E$4:$E$67,'SIGLAS CARGOS'!C18,'27ªVara - Subseção de Itapipoca'!$F$4:$F$67,"EFETIVO",'27ªVara - Subseção de Itapipoca'!$G$4:$G$67,"SUBDIRFORO")</f>
        <v>0</v>
      </c>
      <c r="BB25" s="60"/>
      <c r="BC25" s="57">
        <f>COUNTIFS('Subseção de Maracanaú'!$E$4:$E$70,'SIGLAS CARGOS'!C18,'Subseção de Maracanaú'!$F$4:$F$70,"EFETIVO",'Subseção de Maracanaú'!$G$4:$G$70,"34ªVARA")</f>
        <v>0</v>
      </c>
      <c r="BD25" s="57">
        <f>COUNTIFS('Subseção de Maracanaú'!$E$4:$E$70,'SIGLAS CARGOS'!C18,'Subseção de Maracanaú'!$F$4:$F$70,"EFETIVO",'Subseção de Maracanaú'!$G$4:$G$70,"35ªVARA")</f>
        <v>0</v>
      </c>
      <c r="BE25" s="57">
        <f>COUNTIFS('Subseção de Maracanaú'!$E$4:$E$70,'SIGLAS CARGOS'!C18,'Subseção de Maracanaú'!$F$4:$F$70,"EFETIVO",'Subseção de Maracanaú'!$G$4:$G$70,"SUBDIRFORO")</f>
        <v>0</v>
      </c>
      <c r="BF25" s="70">
        <f t="shared" si="9"/>
        <v>0</v>
      </c>
      <c r="BG25" s="72">
        <f>SUM(Y25+AC25+AH25+AM25+AP25+AS25+AV25+AY25+BB25+BF25)</f>
        <v>0</v>
      </c>
      <c r="BH25" s="64"/>
      <c r="BI25" s="65"/>
      <c r="BJ25" s="66">
        <f>SUM(BG25+BH25+BI25)</f>
        <v>0</v>
      </c>
      <c r="BK25" s="26"/>
      <c r="BL25" s="67"/>
      <c r="BM25" s="68"/>
    </row>
    <row r="26" spans="1:65" ht="15.75" customHeight="1" x14ac:dyDescent="0.35">
      <c r="A26" s="77" t="s">
        <v>78</v>
      </c>
      <c r="B26" s="78">
        <f t="shared" ref="B26:AB26" si="10">SUM(B8:B25)</f>
        <v>12</v>
      </c>
      <c r="C26" s="78">
        <f t="shared" si="10"/>
        <v>10</v>
      </c>
      <c r="D26" s="78">
        <f t="shared" si="10"/>
        <v>19</v>
      </c>
      <c r="E26" s="78">
        <f t="shared" si="10"/>
        <v>15</v>
      </c>
      <c r="F26" s="78">
        <f t="shared" si="10"/>
        <v>11</v>
      </c>
      <c r="G26" s="78">
        <f t="shared" si="10"/>
        <v>12</v>
      </c>
      <c r="H26" s="78">
        <f t="shared" si="10"/>
        <v>12</v>
      </c>
      <c r="I26" s="78">
        <f t="shared" si="10"/>
        <v>14</v>
      </c>
      <c r="J26" s="78">
        <f t="shared" si="10"/>
        <v>14</v>
      </c>
      <c r="K26" s="78">
        <f t="shared" si="10"/>
        <v>12</v>
      </c>
      <c r="L26" s="78">
        <f t="shared" si="10"/>
        <v>13</v>
      </c>
      <c r="M26" s="78">
        <f t="shared" si="10"/>
        <v>11</v>
      </c>
      <c r="N26" s="78">
        <f t="shared" si="10"/>
        <v>10</v>
      </c>
      <c r="O26" s="78">
        <f t="shared" si="10"/>
        <v>13</v>
      </c>
      <c r="P26" s="78">
        <f t="shared" si="10"/>
        <v>13</v>
      </c>
      <c r="Q26" s="78">
        <f t="shared" si="10"/>
        <v>13</v>
      </c>
      <c r="R26" s="78">
        <f t="shared" si="10"/>
        <v>15</v>
      </c>
      <c r="S26" s="78">
        <f t="shared" si="10"/>
        <v>14</v>
      </c>
      <c r="T26" s="78">
        <f t="shared" si="10"/>
        <v>13</v>
      </c>
      <c r="U26" s="78">
        <f t="shared" si="10"/>
        <v>14</v>
      </c>
      <c r="V26" s="79">
        <f t="shared" si="10"/>
        <v>32</v>
      </c>
      <c r="W26" s="80">
        <f t="shared" si="10"/>
        <v>10</v>
      </c>
      <c r="X26" s="80">
        <f t="shared" si="10"/>
        <v>184</v>
      </c>
      <c r="Y26" s="81">
        <f t="shared" si="10"/>
        <v>486</v>
      </c>
      <c r="Z26" s="82">
        <f t="shared" si="10"/>
        <v>17</v>
      </c>
      <c r="AA26" s="82">
        <f t="shared" si="10"/>
        <v>16</v>
      </c>
      <c r="AB26" s="82">
        <f t="shared" si="10"/>
        <v>1</v>
      </c>
      <c r="AC26" s="82">
        <f t="shared" si="7"/>
        <v>34</v>
      </c>
      <c r="AD26" s="83">
        <f t="shared" ref="AD26:AO26" si="11">SUM(AD8:AD25)</f>
        <v>16</v>
      </c>
      <c r="AE26" s="83">
        <f t="shared" si="11"/>
        <v>17</v>
      </c>
      <c r="AF26" s="83">
        <f t="shared" si="11"/>
        <v>12</v>
      </c>
      <c r="AG26" s="83">
        <f t="shared" si="11"/>
        <v>4</v>
      </c>
      <c r="AH26" s="83">
        <f t="shared" si="11"/>
        <v>49</v>
      </c>
      <c r="AI26" s="84">
        <f t="shared" si="11"/>
        <v>19</v>
      </c>
      <c r="AJ26" s="84">
        <f t="shared" si="11"/>
        <v>16</v>
      </c>
      <c r="AK26" s="84">
        <f t="shared" si="11"/>
        <v>15</v>
      </c>
      <c r="AL26" s="84">
        <f t="shared" si="11"/>
        <v>2</v>
      </c>
      <c r="AM26" s="84">
        <f t="shared" si="11"/>
        <v>52</v>
      </c>
      <c r="AN26" s="85">
        <f t="shared" si="11"/>
        <v>15</v>
      </c>
      <c r="AO26" s="85">
        <f t="shared" si="11"/>
        <v>3</v>
      </c>
      <c r="AP26" s="85">
        <f t="shared" si="8"/>
        <v>18</v>
      </c>
      <c r="AQ26" s="86">
        <f>SUM(AQ8:AQ25)</f>
        <v>14</v>
      </c>
      <c r="AR26" s="86">
        <f>SUM(AR8:AR25)</f>
        <v>1</v>
      </c>
      <c r="AS26" s="86">
        <f>SUM(AS8:AS25)</f>
        <v>15</v>
      </c>
      <c r="AT26" s="87">
        <f>SUM(AT8:AT25)</f>
        <v>16</v>
      </c>
      <c r="AU26" s="87">
        <f>SUM(AU8:AU25)</f>
        <v>0</v>
      </c>
      <c r="AV26" s="87">
        <f>SUM(AT26:AU26)</f>
        <v>16</v>
      </c>
      <c r="AW26" s="88">
        <f>SUM(AW8:AW25)</f>
        <v>12</v>
      </c>
      <c r="AX26" s="88">
        <f>SUM(AX8:AX25)</f>
        <v>2</v>
      </c>
      <c r="AY26" s="88">
        <f>SUM(AW26:AX26)</f>
        <v>14</v>
      </c>
      <c r="AZ26" s="89">
        <f>SUM(AZ8:AZ25)</f>
        <v>18</v>
      </c>
      <c r="BA26" s="89">
        <f>SUM(BA8:BA25)</f>
        <v>1</v>
      </c>
      <c r="BB26" s="89">
        <f>SUM(AZ26:BA26)</f>
        <v>19</v>
      </c>
      <c r="BC26" s="82">
        <f>SUM(BC8:BC25)</f>
        <v>16</v>
      </c>
      <c r="BD26" s="82">
        <f>SUM(BD8:BD25)</f>
        <v>16</v>
      </c>
      <c r="BE26" s="82">
        <f>SUM(BE8:BE25)</f>
        <v>3</v>
      </c>
      <c r="BF26" s="82">
        <f t="shared" si="9"/>
        <v>35</v>
      </c>
      <c r="BG26" s="90">
        <f>SUM(BG8:BG25)</f>
        <v>729</v>
      </c>
      <c r="BH26" s="90">
        <f>SUM(BH8:BH25)</f>
        <v>3</v>
      </c>
      <c r="BI26" s="90">
        <f>SUM(BI8:BI25)</f>
        <v>42</v>
      </c>
      <c r="BJ26" s="90">
        <f>SUM(BJ8:BJ25)</f>
        <v>774</v>
      </c>
      <c r="BK26" s="26"/>
      <c r="BL26" s="91"/>
      <c r="BM26" s="68"/>
    </row>
    <row r="27" spans="1:65" ht="15.75" customHeight="1" x14ac:dyDescent="0.3">
      <c r="A27" s="92" t="s">
        <v>79</v>
      </c>
      <c r="B27" s="57">
        <f>COUNTIFS('1ªVara'!$F$4:$F$28,"Requisitado")</f>
        <v>0</v>
      </c>
      <c r="C27" s="57">
        <f>COUNTIFS('2ªVara'!$E$4:$E$18,'SIGLAS CARGOS'!C26,'2ªVara'!$F$4:$F$18,"EFETIVO")</f>
        <v>0</v>
      </c>
      <c r="D27" s="57">
        <f>COUNTIFS('3ªVara'!$F$4:$F$48,"Requisitado")</f>
        <v>0</v>
      </c>
      <c r="E27" s="57">
        <f>COUNTIFS('4ªVara'!$F$4:$F$19,"Requisitado")</f>
        <v>0</v>
      </c>
      <c r="F27" s="57">
        <f>COUNTIFS('5ªVara'!$F$4:$F$20,"Requisitado")</f>
        <v>1</v>
      </c>
      <c r="G27" s="57">
        <f>COUNTIFS('6ªVara'!$F$4:$F$21,"Requisitado")</f>
        <v>2</v>
      </c>
      <c r="H27" s="57">
        <f>COUNTIFS('7ªVara'!$F$4:$F$19,"Requisitado")</f>
        <v>1</v>
      </c>
      <c r="I27" s="57">
        <f>COUNTIFS('8ªVara'!$F$4:$F$22,"Requisitado")</f>
        <v>1</v>
      </c>
      <c r="J27" s="57">
        <f>COUNTIFS('9ªVara'!$F$4:$F$19,"Requisitado")</f>
        <v>1</v>
      </c>
      <c r="K27" s="57">
        <f>COUNTIFS('10ªVara'!$G$4:$G$19,"Requisitado")</f>
        <v>0</v>
      </c>
      <c r="L27" s="57">
        <f>COUNTIFS('11ªVara'!$F$5:$F$21,"Requisitado")</f>
        <v>1</v>
      </c>
      <c r="M27" s="57">
        <f>COUNTIFS('12ªVara'!$F$4:$F$22,"Requisitado")</f>
        <v>3</v>
      </c>
      <c r="N27" s="57">
        <f>COUNTIFS('13ªVara'!$F$4:$F$17,"Requisitado")</f>
        <v>2</v>
      </c>
      <c r="O27" s="57">
        <f>COUNTIFS('14ªVara'!$F$3:$F$20,"Requisitado")</f>
        <v>2</v>
      </c>
      <c r="P27" s="57">
        <f>COUNTIFS('20ªVara'!$F$4:$F$19,"Requisitado")</f>
        <v>1</v>
      </c>
      <c r="Q27" s="57">
        <f>COUNTIFS('21ªVara'!$F$4:$F$26,"Requisitado")</f>
        <v>2</v>
      </c>
      <c r="R27" s="57">
        <f>COUNTIFS('26ªVara'!$F$4:$F$18,"Requisitado")</f>
        <v>0</v>
      </c>
      <c r="S27" s="58">
        <f>COUNTIFS('28ªVara'!$F$4:$F$16,"Requisitado")</f>
        <v>2</v>
      </c>
      <c r="T27" s="57">
        <f>COUNTIFS('32ªVara'!$F$4:$F$21,"Requisitado")</f>
        <v>0</v>
      </c>
      <c r="U27" s="57">
        <f>COUNTIFS('33ªVara'!$F$4:$F$21,"Requisitado")</f>
        <v>1</v>
      </c>
      <c r="V27" s="57">
        <f>COUNTIFS('Turmas Recursais'!$F$4:$F$345,"Requisitado")</f>
        <v>0</v>
      </c>
      <c r="W27" s="57">
        <f>COUNTIFS('Diretoria do Foro'!$I$4:$I$36,"Requisitado")</f>
        <v>4</v>
      </c>
      <c r="X27" s="57">
        <f>COUNTIFS('Secretaria Administrativa'!$I$4:$I$248,"Requisitado")</f>
        <v>23</v>
      </c>
      <c r="Y27" s="59">
        <f t="shared" ref="Y27:Y32" si="12">SUM(B27:X27)</f>
        <v>47</v>
      </c>
      <c r="Z27" s="57">
        <f>COUNTIFS('Subseção de Limoeiro do Norte'!$F$4:$F$60,"Requisitado",'Subseção de Limoeiro do Norte'!$G$4:$G$60,"15ªVara")</f>
        <v>1</v>
      </c>
      <c r="AA27" s="57">
        <f>COUNTIFS('Subseção de Limoeiro do Norte'!$F$4:$F$60,"Requisitado",'Subseção de Limoeiro do Norte'!$G$4:$G$60,"29ªVara")</f>
        <v>1</v>
      </c>
      <c r="AB27" s="57">
        <f>COUNTIFS('Subseção de Limoeiro do Norte'!$F$4:$F$60,"Requisitado",'Subseção de Limoeiro do Norte'!$G$4:$G$60,"SUBDIRFORO")</f>
        <v>2</v>
      </c>
      <c r="AC27" s="69">
        <f t="shared" si="7"/>
        <v>4</v>
      </c>
      <c r="AD27" s="57">
        <f>COUNTIFS('Subseção de Juazeiro do Norte'!$F$4:$F$57,"Requisitado",'Subseção de Juazeiro do Norte'!$G$4:$G$57,"16ªVara")</f>
        <v>0</v>
      </c>
      <c r="AE27" s="57">
        <f>COUNTIFS('Subseção de Juazeiro do Norte'!$F$4:$F$57,"Requisitado",'Subseção de Juazeiro do Norte'!$G$4:$G$57,"17ªVara")</f>
        <v>0</v>
      </c>
      <c r="AF27" s="57">
        <f>COUNTIFS('Subseção de Juazeiro do Norte'!$F$4:$F$66,"Requisitado",'Subseção de Juazeiro do Norte'!$G$4:$G$66,"30ªVara")</f>
        <v>1</v>
      </c>
      <c r="AG27" s="57">
        <f>COUNTIFS('Subseção de Juazeiro do Norte'!$F$4:$F$57,"Requisitado",'Subseção de Juazeiro do Norte'!$G$4:$G$57,"SUBDIRFORO")</f>
        <v>1</v>
      </c>
      <c r="AH27" s="60">
        <f>SUM(AD27:AG27)</f>
        <v>2</v>
      </c>
      <c r="AI27" s="57">
        <f>COUNTIFS('Subseção de Sobral'!$F$4:$F$59,"Requisitado",'Subseção de Sobral'!$G$4:$G$59,"18ªVara")</f>
        <v>0</v>
      </c>
      <c r="AJ27" s="57">
        <f>COUNTIFS('Subseção de Sobral'!$F$4:$F$59,"Requisitado",'Subseção de Sobral'!$G$4:$G$59,"19ªVara")</f>
        <v>2</v>
      </c>
      <c r="AK27" s="57">
        <f>COUNTIFS('Subseção de Sobral'!$F$4:$F$68,"Requisitado",'Subseção de Sobral'!$G$4:$G$68,"31ªVara")</f>
        <v>2</v>
      </c>
      <c r="AL27" s="57">
        <f>COUNTIFS('Subseção de Sobral'!$F$4:$F$59,"Requisitado",'Subseção de Sobral'!$G$4:$G$59,"SUBDIRFORO")</f>
        <v>1</v>
      </c>
      <c r="AM27" s="60">
        <f>SUM(AI27:AL27)</f>
        <v>5</v>
      </c>
      <c r="AN27" s="57">
        <f>COUNTIFS('Subseção de Crateús'!$F$4:$F$62,"Requisitado",'Subseção de Crateús'!$G$4:$G$62,"22ªVara")</f>
        <v>1</v>
      </c>
      <c r="AO27" s="57">
        <f>COUNTIFS('Subseção de Crateús'!$F$4:$F$62,"Requisitado",'Subseção de Crateús'!$G$4:$G$62,"SUBDIRFORO")</f>
        <v>0</v>
      </c>
      <c r="AP27" s="60">
        <f t="shared" si="8"/>
        <v>1</v>
      </c>
      <c r="AQ27" s="57">
        <f>COUNTIFS('23ªVara - Subseção de Quixadá'!$F$4:$F$64,"REQUISITADO",'23ªVara - Subseção de Quixadá'!$G$4:$G$64,"23ªVARA")</f>
        <v>0</v>
      </c>
      <c r="AR27" s="57">
        <f>COUNTIFS('23ªVara - Subseção de Quixadá'!$F$4:$F$64,"REQUISITADO",'23ªVara - Subseção de Quixadá'!$G$4:$G$64,"SUBDIRFORO")</f>
        <v>0</v>
      </c>
      <c r="AS27" s="60">
        <f>SUM(AQ27:AR27)</f>
        <v>0</v>
      </c>
      <c r="AT27" s="57">
        <f>COUNTIFS('24ªVara - Subseção de Tauá'!$F$4:$F$73,"REQUISITADO",'24ªVara - Subseção de Tauá'!$G$4:$G$73,"24ªVARA")</f>
        <v>0</v>
      </c>
      <c r="AU27" s="57">
        <f>COUNTIFS('24ªVara - Subseção de Tauá'!$F$4:$F$73,"REQUISITADO",'24ªVara - Subseção de Tauá'!$G$4:$G$73,"SUBDIRFORO")</f>
        <v>0</v>
      </c>
      <c r="AV27" s="60">
        <f>SUM(AT27:AU27)</f>
        <v>0</v>
      </c>
      <c r="AW27" s="57">
        <f>COUNTIFS('25ªVara - Subseção de Iguatu'!$F$4:$F$66,"REQUISITADO",'25ªVara - Subseção de Iguatu'!$G$4:$G$66,"25ªVARA")</f>
        <v>3</v>
      </c>
      <c r="AX27" s="57">
        <f>COUNTIFS('25ªVara - Subseção de Iguatu'!$F$4:$F$66,"REQUISITADO",'25ªVara - Subseção de Iguatu'!$G$4:$G$66,"SUBDIRFORO")</f>
        <v>0</v>
      </c>
      <c r="AY27" s="60">
        <f>SUM(AW27:AX27)</f>
        <v>3</v>
      </c>
      <c r="AZ27" s="57">
        <f>COUNTIFS('27ªVara - Subseção de Itapipoca'!$F$4:$F$67,"REQUISITADO",'27ªVara - Subseção de Itapipoca'!$G$4:$G$67,"27ªVARA")</f>
        <v>0</v>
      </c>
      <c r="BA27" s="57">
        <f>COUNTIFS('27ªVara - Subseção de Itapipoca'!$F$4:$F$67,"REQUISITADO",'27ªVara - Subseção de Itapipoca'!$G$4:$G$67,"SUBDIRFORO")</f>
        <v>0</v>
      </c>
      <c r="BB27" s="60">
        <f>SUM(AZ27:BA27)</f>
        <v>0</v>
      </c>
      <c r="BC27" s="57">
        <f>COUNTIFS('Subseção de Maracanaú'!$F$4:$F$70,"REQUISITADO",'Subseção de Maracanaú'!$G$4:$G$70,"34ªVARA")</f>
        <v>1</v>
      </c>
      <c r="BD27" s="57">
        <f>COUNTIFS('Subseção de Maracanaú'!$F$4:$F$70,"REQUISITADO",'Subseção de Maracanaú'!$G$4:$G$70,"35ªVARA")</f>
        <v>0</v>
      </c>
      <c r="BE27" s="57">
        <f>COUNTIFS('Subseção de Maracanaú'!$F$4:$F$70,"REQUISITADO",'Subseção de Maracanaú'!$G$4:$G$70,"SUBDIRFORO")</f>
        <v>0</v>
      </c>
      <c r="BF27" s="70">
        <f t="shared" si="9"/>
        <v>1</v>
      </c>
      <c r="BG27" s="72">
        <f>SUM(Y27+AC27+AH27+AM27+AP27+AS27+AV27+AY27+BB27+BF27)</f>
        <v>63</v>
      </c>
      <c r="BH27" s="93"/>
      <c r="BI27" s="94"/>
      <c r="BJ27" s="95"/>
      <c r="BK27" s="26"/>
      <c r="BL27" s="16"/>
      <c r="BM27" s="16"/>
    </row>
    <row r="28" spans="1:65" ht="15.75" customHeight="1" x14ac:dyDescent="0.3">
      <c r="A28" s="92" t="s">
        <v>80</v>
      </c>
      <c r="B28" s="57">
        <f>COUNTIFS('1ªVara'!$F$4:$F$28,"ex. provisório")</f>
        <v>1</v>
      </c>
      <c r="C28" s="57">
        <f>COUNTIFS('2ªVara'!$E$4:$E$18,'SIGLAS CARGOS'!C27,'2ªVara'!$F$4:$F$18,"EFETIVO")</f>
        <v>0</v>
      </c>
      <c r="D28" s="57">
        <f>COUNTIFS('3ªVara'!$F$4:$F$48,"ex. provisório")</f>
        <v>0</v>
      </c>
      <c r="E28" s="57">
        <f>COUNTIFS('4ªVara'!$F$4:$F$19,"ex. provisório")</f>
        <v>0</v>
      </c>
      <c r="F28" s="57">
        <f>COUNTIFS('5ªVara'!$F$4:$F$20,"ex. provisório")</f>
        <v>1</v>
      </c>
      <c r="G28" s="57">
        <f>COUNTIFS('6ªVara'!$F$4:$F$21,"ex. provisório")</f>
        <v>0</v>
      </c>
      <c r="H28" s="57">
        <f>COUNTIFS('7ªVara'!$F$4:$F$19,"ex. provisório")</f>
        <v>0</v>
      </c>
      <c r="I28" s="57">
        <f>COUNTIFS('8ªVara'!$F$4:$F$22,"ex. provisório")</f>
        <v>0</v>
      </c>
      <c r="J28" s="57">
        <f>COUNTIFS('9ªVara'!$F$4:$F$19,"ex. provisório")</f>
        <v>1</v>
      </c>
      <c r="K28" s="57">
        <f>COUNTIFS('10ªVara'!$G$4:$G$19,"ex. provisório")</f>
        <v>0</v>
      </c>
      <c r="L28" s="57">
        <f>COUNTIFS('1ªVara'!$F$4:$F$28,"ex. provisório")</f>
        <v>1</v>
      </c>
      <c r="M28" s="57">
        <f>COUNTIFS('12ªVara'!$F$4:$F$22,"ex. provisório")</f>
        <v>2</v>
      </c>
      <c r="N28" s="57">
        <f>COUNTIFS('13ªVara'!$F$4:$F$17,"ex. provisório")</f>
        <v>1</v>
      </c>
      <c r="O28" s="57">
        <f>COUNTIFS('14ªVara'!$F$3:$F$20,"ex. provisório")</f>
        <v>1</v>
      </c>
      <c r="P28" s="57">
        <f>COUNTIFS('20ªVara'!$F$4:$F$19,"ex. provisório")</f>
        <v>0</v>
      </c>
      <c r="Q28" s="57">
        <f>COUNTIFS('21ªVara'!$F$4:$F$26,"ex. provisório")</f>
        <v>0</v>
      </c>
      <c r="R28" s="57">
        <f>COUNTIFS('26ªVara'!$F$4:$F$18,"ex. provisório")</f>
        <v>0</v>
      </c>
      <c r="S28" s="58">
        <f>COUNTIFS('28ªVara'!$F$4:$F$16,"ex. provisório")</f>
        <v>0</v>
      </c>
      <c r="T28" s="57">
        <f>COUNTIFS('32ªVara'!$F$4:$F$21,"ex. provisório")</f>
        <v>0</v>
      </c>
      <c r="U28" s="57">
        <f>COUNTIFS('33ªVara'!$F$4:$F$21,"ex. provisório")</f>
        <v>0</v>
      </c>
      <c r="V28" s="57">
        <f>COUNTIFS('Turmas Recursais'!$F$4:$F$45,"ex. provisório")</f>
        <v>0</v>
      </c>
      <c r="W28" s="57">
        <f>COUNTIFS('Diretoria do Foro'!$I$4:$I$36,"ex. provisório")</f>
        <v>0</v>
      </c>
      <c r="X28" s="57">
        <f>COUNTIFS('Secretaria Administrativa'!$I$4:$I$248,"EX. PROVISÓRIO")</f>
        <v>3</v>
      </c>
      <c r="Y28" s="59">
        <f t="shared" si="12"/>
        <v>11</v>
      </c>
      <c r="Z28" s="57">
        <f>COUNTIFS('Subseção de Limoeiro do Norte'!$F$4:$F$60,"ex. provisório",'Subseção de Limoeiro do Norte'!$G$4:$G$60,"15ªVara")</f>
        <v>0</v>
      </c>
      <c r="AA28" s="57">
        <f>COUNTIFS('Subseção de Limoeiro do Norte'!$F$4:$F$60,"ex. provisório",'Subseção de Limoeiro do Norte'!$G$4:$G$60,"29ªVara")</f>
        <v>0</v>
      </c>
      <c r="AB28" s="57">
        <f>COUNTIFS('Subseção de Limoeiro do Norte'!$F$4:$F$60,"ex. provisório",'Subseção de Limoeiro do Norte'!$G$4:$G$60,"SUBDIRFORO")</f>
        <v>0</v>
      </c>
      <c r="AC28" s="69">
        <f t="shared" si="7"/>
        <v>0</v>
      </c>
      <c r="AD28" s="57">
        <f>COUNTIFS('Subseção de Juazeiro do Norte'!$F$4:$F$57,"EX. PROVISÓRIO",'Subseção de Juazeiro do Norte'!$G$4:$G$57,"16ªVara")</f>
        <v>0</v>
      </c>
      <c r="AE28" s="57">
        <f>COUNTIFS('Subseção de Juazeiro do Norte'!$F$4:$F$57,"EX. PROVISÓRIO",'Subseção de Juazeiro do Norte'!$G$4:$G$57,"17ªVara")</f>
        <v>1</v>
      </c>
      <c r="AF28" s="57">
        <f>COUNTIFS('Subseção de Juazeiro do Norte'!$F$4:$F$66,"EX. PROVISÓRIO",'Subseção de Juazeiro do Norte'!$G$4:$G$66,"30ªVara")</f>
        <v>0</v>
      </c>
      <c r="AG28" s="57">
        <f>COUNTIFS('Subseção de Juazeiro do Norte'!$F$4:$F$57,"EX. PROVISÓRIO",'Subseção de Juazeiro do Norte'!$G$4:$G$57,"SUBDIRFORO")</f>
        <v>1</v>
      </c>
      <c r="AH28" s="60">
        <f>SUM(AD28:AG28)</f>
        <v>2</v>
      </c>
      <c r="AI28" s="57">
        <f>COUNTIFS('Subseção de Sobral'!$F$4:$F$59,"EX. PROVISÓRIO",'Subseção de Sobral'!$G$4:$G$59,"18ªVara")</f>
        <v>0</v>
      </c>
      <c r="AJ28" s="57">
        <f>COUNTIFS('Subseção de Sobral'!$F$4:$F$59,"EX. PROVISÓRIO",'Subseção de Sobral'!$G$4:$G$59,"19ªVara")</f>
        <v>1</v>
      </c>
      <c r="AK28" s="57">
        <f>COUNTIFS('Subseção de Sobral'!$F$4:$F$68,"EX. PROVISÓRIO",'Subseção de Sobral'!$G$4:$G$68,"31ªVara")</f>
        <v>0</v>
      </c>
      <c r="AL28" s="57">
        <f>COUNTIFS('Subseção de Sobral'!$F$4:$F$59,"EX. PROVISÓRIO",'Subseção de Sobral'!$G$4:$G$59,"SUBDIRFORO")</f>
        <v>0</v>
      </c>
      <c r="AM28" s="60">
        <f>SUM(AI28:AL28)</f>
        <v>1</v>
      </c>
      <c r="AN28" s="57">
        <f>COUNTIFS('Subseção de Crateús'!$F$4:$F$62,"EX. PROVISÓRIO",'Subseção de Crateús'!$G$4:$G$62,"22ªVara")</f>
        <v>0</v>
      </c>
      <c r="AO28" s="57">
        <f>COUNTIFS('Subseção de Crateús'!$F$4:$F$62,"EX. PROVISÓRIO",'Subseção de Crateús'!$G$4:$G$62,"SUBDIRFORO")</f>
        <v>0</v>
      </c>
      <c r="AP28" s="60">
        <f t="shared" si="8"/>
        <v>0</v>
      </c>
      <c r="AQ28" s="57">
        <f>COUNTIFS('23ªVara - Subseção de Quixadá'!$F$4:$F$64,"EX. PROVISÓRIO",'23ªVara - Subseção de Quixadá'!$G$4:$G$64,"23ªVARA")</f>
        <v>0</v>
      </c>
      <c r="AR28" s="57">
        <f>COUNTIFS('23ªVara - Subseção de Quixadá'!$F$4:$F$64,"EX. PROVISÓRIO",'23ªVara - Subseção de Quixadá'!$G$4:$G$64,"SUBDIRFORO")</f>
        <v>0</v>
      </c>
      <c r="AS28" s="60">
        <f>SUM(AQ28:AR28)</f>
        <v>0</v>
      </c>
      <c r="AT28" s="57">
        <f>COUNTIFS('24ªVara - Subseção de Tauá'!$F$4:$F$73,"EX. PROVISÓRIO",'24ªVara - Subseção de Tauá'!$G$4:$G$73,"24ªVARA")</f>
        <v>0</v>
      </c>
      <c r="AU28" s="57">
        <f>COUNTIFS('24ªVara - Subseção de Tauá'!$F$4:$F$73,"EX. PROVISÓRIO",'24ªVara - Subseção de Tauá'!$G$4:$G$73,"SUBDIRFORO")</f>
        <v>0</v>
      </c>
      <c r="AV28" s="60">
        <f>SUM(AT28:AU28)</f>
        <v>0</v>
      </c>
      <c r="AW28" s="57">
        <f>COUNTIFS('25ªVara - Subseção de Iguatu'!$F$4:$F$66,"EX. PROVISÓRIO",'25ªVara - Subseção de Iguatu'!$G$4:$G$66,"25ªVARA")</f>
        <v>0</v>
      </c>
      <c r="AX28" s="57">
        <f>COUNTIFS('25ªVara - Subseção de Iguatu'!$F$4:$F$66,"EX. PROVISÓRIO",'25ªVara - Subseção de Iguatu'!$G$4:$G$66,"SUBDIRFORO")</f>
        <v>0</v>
      </c>
      <c r="AY28" s="60">
        <f>SUM(AW28:AX28)</f>
        <v>0</v>
      </c>
      <c r="AZ28" s="57">
        <f>COUNTIFS('27ªVara - Subseção de Itapipoca'!$F$4:$F$67,"EX. PROVISÓRIO",'27ªVara - Subseção de Itapipoca'!$G$4:$G$67,"27ªVARA")</f>
        <v>0</v>
      </c>
      <c r="BA28" s="57">
        <f>COUNTIFS('27ªVara - Subseção de Itapipoca'!$F$4:$F$67,"EX. PROVISÓRIO",'27ªVara - Subseção de Itapipoca'!$G$4:$G$67,"SUBDIRFORO")</f>
        <v>1</v>
      </c>
      <c r="BB28" s="60">
        <f>SUM(AZ28:BA28)</f>
        <v>1</v>
      </c>
      <c r="BC28" s="57">
        <f>COUNTIFS('Subseção de Maracanaú'!$F$4:$F$70,"EX. PROVISÓRIO",'Subseção de Maracanaú'!$G$4:$G$70,"34ªVARA")</f>
        <v>0</v>
      </c>
      <c r="BD28" s="57">
        <f>COUNTIFS('Subseção de Maracanaú'!$F$4:$F$70,"EX. PROVISÓRIO",'Subseção de Maracanaú'!$G$4:$G$70,"35ªVARA")</f>
        <v>0</v>
      </c>
      <c r="BE28" s="57">
        <f>COUNTIFS('Subseção de Maracanaú'!$F$4:$F$70,"EX. PROVISÓRIO",'Subseção de Maracanaú'!$G$4:$G$70,"SUBDIRFORO")</f>
        <v>0</v>
      </c>
      <c r="BF28" s="70">
        <f t="shared" si="9"/>
        <v>0</v>
      </c>
      <c r="BG28" s="96">
        <f>SUM(Y28+AC28+AH28+AM28+AP28+AS28+AV28+AY28+BB28+BF28)</f>
        <v>15</v>
      </c>
      <c r="BH28" s="97"/>
      <c r="BI28" s="98"/>
      <c r="BJ28" s="99"/>
      <c r="BK28" s="26"/>
      <c r="BM28" s="16"/>
    </row>
    <row r="29" spans="1:65" ht="15.75" customHeight="1" x14ac:dyDescent="0.3">
      <c r="A29" s="92" t="s">
        <v>81</v>
      </c>
      <c r="B29" s="57">
        <f>COUNTIFS('1ªVara'!$F$4:$F$28,"removido")</f>
        <v>2</v>
      </c>
      <c r="C29" s="57">
        <f>COUNTIFS('2ªVara'!$E$4:$E$18,'SIGLAS CARGOS'!C28,'2ªVara'!$F$4:$F$18,"EFETIVO")</f>
        <v>0</v>
      </c>
      <c r="D29" s="57">
        <f>COUNTIFS('3ªVara'!$F$4:$F$48,"removido")</f>
        <v>1</v>
      </c>
      <c r="E29" s="57">
        <f>COUNTIFS('4ªVara'!$F$4:$F$19,"removido")</f>
        <v>1</v>
      </c>
      <c r="F29" s="57">
        <f>COUNTIFS('5ªVara'!$F$4:$F$20,"removido")</f>
        <v>2</v>
      </c>
      <c r="G29" s="57">
        <f>COUNTIFS('6ªVara'!$F$4:$F$21,"removido")</f>
        <v>2</v>
      </c>
      <c r="H29" s="57">
        <f>COUNTIFS('7ªVara'!$F$4:$F$19,"removido")</f>
        <v>1</v>
      </c>
      <c r="I29" s="57">
        <f>COUNTIFS('8ªVara'!$F$4:$F$22,"removido")</f>
        <v>1</v>
      </c>
      <c r="J29" s="57">
        <f>COUNTIFS('9ªVara'!$F$4:$F$19,"removido")</f>
        <v>0</v>
      </c>
      <c r="K29" s="57">
        <f>COUNTIFS('10ªVara'!$G$4:$G$19,"removido")</f>
        <v>1</v>
      </c>
      <c r="L29" s="57">
        <f>COUNTIFS('11ªVara'!$F$5:$F$21,"removido")</f>
        <v>0</v>
      </c>
      <c r="M29" s="57">
        <f>COUNTIFS('12ªVara'!$F$4:$F$22,"removido")</f>
        <v>0</v>
      </c>
      <c r="N29" s="57">
        <f>COUNTIFS('13ªVara'!$F$3:$F$17,"removido")</f>
        <v>2</v>
      </c>
      <c r="O29" s="57">
        <f>COUNTIFS('14ªVara'!$F$3:$F$20,"removido")</f>
        <v>1</v>
      </c>
      <c r="P29" s="57">
        <f>COUNTIFS('20ªVara'!$F$4:$F$19,"removido")</f>
        <v>2</v>
      </c>
      <c r="Q29" s="57">
        <f>COUNTIFS('21ªVara'!$F$4:$F$26,"removido")</f>
        <v>2</v>
      </c>
      <c r="R29" s="57">
        <f>COUNTIFS('26ªVara'!$F$4:$F$18,"removido")</f>
        <v>0</v>
      </c>
      <c r="S29" s="58">
        <f>COUNTIFS('28ªVara'!$F$4:$F$16,"removido")</f>
        <v>1</v>
      </c>
      <c r="T29" s="57">
        <f>COUNTIFS('32ªVara'!$F$4:$F$21,"removido")</f>
        <v>2</v>
      </c>
      <c r="U29" s="57">
        <f>COUNTIFS('33ªVara'!$F$4:$F$21,"removido")</f>
        <v>0</v>
      </c>
      <c r="V29" s="57">
        <f>COUNTIFS('Turmas Recursais'!$F$4:$F$45,"REMOVIDO")</f>
        <v>4</v>
      </c>
      <c r="W29" s="57">
        <f>COUNTIFS('Diretoria do Foro'!$I$4:$I$36,"REMOVIDO")</f>
        <v>2</v>
      </c>
      <c r="X29" s="57">
        <f>COUNTIFS('Secretaria Administrativa'!$I$4:$I$248,"REMOVIDO")</f>
        <v>16</v>
      </c>
      <c r="Y29" s="59">
        <f t="shared" si="12"/>
        <v>43</v>
      </c>
      <c r="Z29" s="57">
        <f>COUNTIFS('Subseção de Limoeiro do Norte'!$F$4:$F$60,"removido",'Subseção de Limoeiro do Norte'!$G$4:$G$60,"15ªVara")</f>
        <v>0</v>
      </c>
      <c r="AA29" s="57">
        <f>COUNTIFS('Subseção de Limoeiro do Norte'!$F$4:$F$60,"removido",'Subseção de Limoeiro do Norte'!$G$4:$G$60,"29ªVara")</f>
        <v>2</v>
      </c>
      <c r="AB29" s="57">
        <f>COUNTIFS('Subseção de Limoeiro do Norte'!$F$4:$F$60,"removido",'Subseção de Limoeiro do Norte'!$G$4:$G$60,"SUBDIRFORO")</f>
        <v>0</v>
      </c>
      <c r="AC29" s="69">
        <f t="shared" si="7"/>
        <v>2</v>
      </c>
      <c r="AD29" s="57">
        <f>COUNTIFS('Subseção de Juazeiro do Norte'!$F$3:$F$57,"REMOVIDO",'Subseção de Juazeiro do Norte'!$G$3:$G$57,"16ªVara")</f>
        <v>2</v>
      </c>
      <c r="AE29" s="57">
        <f>COUNTIFS('Subseção de Juazeiro do Norte'!$F$3:$F$61,"REMOVIDO",'Subseção de Juazeiro do Norte'!$G$3:$G$61,"17ªVara")</f>
        <v>2</v>
      </c>
      <c r="AF29" s="57">
        <f>COUNTIFS('Subseção de Juazeiro do Norte'!$F$3:$F$66,"REMOVIDO",'Subseção de Juazeiro do Norte'!$G$3:$G$66,"30ªVara")</f>
        <v>4</v>
      </c>
      <c r="AG29" s="57">
        <f>COUNTIFS('Subseção de Juazeiro do Norte'!$F$3:$F$57,"REMOVIDO",'Subseção de Juazeiro do Norte'!$G$3:$G$57,"SUBDIRFORO")</f>
        <v>0</v>
      </c>
      <c r="AH29" s="60">
        <f>SUM(AD29:AG29)</f>
        <v>8</v>
      </c>
      <c r="AI29" s="57">
        <f>COUNTIFS('Subseção de Sobral'!$F$4:$F$59,"REMOVIDO",'Subseção de Sobral'!$G$4:$G$59,"18ªVara")</f>
        <v>1</v>
      </c>
      <c r="AJ29" s="57">
        <f>COUNTIFS('Subseção de Sobral'!$F$4:$F$59,"REMOVIDO",'Subseção de Sobral'!$G$4:$G$59,"19ªVara")</f>
        <v>3</v>
      </c>
      <c r="AK29" s="57">
        <f>COUNTIFS('Subseção de Sobral'!$F$4:$F$68,"REMOVIDO",'Subseção de Sobral'!$G$4:$G$68,"31ªVara")</f>
        <v>2</v>
      </c>
      <c r="AL29" s="57">
        <f>COUNTIFS('Subseção de Sobral'!$F$4:$F$59,"REMOVIDO",'Subseção de Sobral'!$G$4:$G$59,"SUBDIRFORO")</f>
        <v>0</v>
      </c>
      <c r="AM29" s="60">
        <f>SUM(AI29:AL29)</f>
        <v>6</v>
      </c>
      <c r="AN29" s="57">
        <f>COUNTIFS('Subseção de Crateús'!$F$4:$F$62,"REMOVIDO",'Subseção de Crateús'!$G$4:$G$62,"22ªVara")</f>
        <v>0</v>
      </c>
      <c r="AO29" s="57">
        <f>COUNTIFS('Subseção de Crateús'!$F$4:$F$62,"REMOVIDO",'Subseção de Crateús'!$G$4:$G$62,"SUBDIRFORO")</f>
        <v>0</v>
      </c>
      <c r="AP29" s="60">
        <f t="shared" si="8"/>
        <v>0</v>
      </c>
      <c r="AQ29" s="57">
        <f>COUNTIFS('23ªVara - Subseção de Quixadá'!$F$4:$F$64,"REMOVIDO",'23ªVara - Subseção de Quixadá'!$G$4:$G$64,"23ªVARA")</f>
        <v>2</v>
      </c>
      <c r="AR29" s="57">
        <f>COUNTIFS('23ªVara - Subseção de Quixadá'!$F$4:$F$64,"REMOVIDO",'23ªVara - Subseção de Quixadá'!$G$4:$G$64,"SUBDIRFORO")</f>
        <v>0</v>
      </c>
      <c r="AS29" s="60">
        <f>SUM(AQ29:AR29)</f>
        <v>2</v>
      </c>
      <c r="AT29" s="57">
        <f>COUNTIFS('24ªVara - Subseção de Tauá'!$F$4:$F$73,"REMOVIDO",'24ªVara - Subseção de Tauá'!$G$4:$G$73,"24ªVARA")</f>
        <v>1</v>
      </c>
      <c r="AU29" s="57">
        <f>COUNTIFS('24ªVara - Subseção de Tauá'!$F$4:$F$73,"REMOVIDO",'24ªVara - Subseção de Tauá'!$G$4:$G$73,"SUBDIRFORO")</f>
        <v>0</v>
      </c>
      <c r="AV29" s="60">
        <f>SUM(AT29:AU29)</f>
        <v>1</v>
      </c>
      <c r="AW29" s="57">
        <f>COUNTIFS('25ªVara - Subseção de Iguatu'!$F$4:$F$66,"REMOVIDO",'25ªVara - Subseção de Iguatu'!$G$4:$G$66,"25ªVARA")</f>
        <v>1</v>
      </c>
      <c r="AX29" s="57">
        <f>COUNTIFS('25ªVara - Subseção de Iguatu'!$F$4:$F$66,"REMOVIDO",'25ªVara - Subseção de Iguatu'!$G$4:$G$66,"SUBDIRFORO")</f>
        <v>0</v>
      </c>
      <c r="AY29" s="60">
        <f>SUM(AW29:AX29)</f>
        <v>1</v>
      </c>
      <c r="AZ29" s="57">
        <f>COUNTIFS('27ªVara - Subseção de Itapipoca'!$F$4:$F$67,"REMOVIDO",'27ªVara - Subseção de Itapipoca'!$G$4:$G$67,"27ªVARA")</f>
        <v>0</v>
      </c>
      <c r="BA29" s="57">
        <f>COUNTIFS('27ªVara - Subseção de Itapipoca'!$F$4:$F$67,"REMOVIDO",'27ªVara - Subseção de Itapipoca'!$G$4:$G$67,"SUBDIRFORO")</f>
        <v>0</v>
      </c>
      <c r="BB29" s="60">
        <f>SUM(AZ29:BA29)</f>
        <v>0</v>
      </c>
      <c r="BC29" s="57">
        <f>COUNTIFS('Subseção de Maracanaú'!$F$4:$F$70,"REMOVIDO",'Subseção de Maracanaú'!$G$4:$G$70,"34ªVARA")</f>
        <v>1</v>
      </c>
      <c r="BD29" s="57">
        <f>COUNTIFS('Subseção de Maracanaú'!$F$4:$F$70,"REMOVIDO",'Subseção de Maracanaú'!$G$4:$G$70,"35ªVARA")</f>
        <v>1</v>
      </c>
      <c r="BE29" s="57">
        <f>COUNTIFS('Subseção de Maracanaú'!$F$4:$F$70,"REMOVIDO",'Subseção de Maracanaú'!$G$4:$G$70,"SUBDIRFORO")</f>
        <v>0</v>
      </c>
      <c r="BF29" s="70">
        <f t="shared" si="9"/>
        <v>2</v>
      </c>
      <c r="BG29" s="72">
        <f>SUM(Y29+AC29+AH29+AM29+AP29+AS29+AV29+AY29+BB29+BF29)</f>
        <v>65</v>
      </c>
      <c r="BH29" s="100"/>
      <c r="BI29" s="94"/>
      <c r="BJ29" s="95"/>
      <c r="BK29" s="26"/>
    </row>
    <row r="30" spans="1:65" ht="15.75" customHeight="1" x14ac:dyDescent="0.3">
      <c r="A30" s="92" t="s">
        <v>82</v>
      </c>
      <c r="B30" s="57">
        <f>COUNTIFS('1ªVara'!$F$4:$F$28,"SEM VÍNCULO")</f>
        <v>0</v>
      </c>
      <c r="C30" s="57">
        <f>COUNTIFS('2ªVara'!$E$4:$E$18,'SIGLAS CARGOS'!C29,'2ªVara'!$F$4:$F$18,"EFETIVO")</f>
        <v>0</v>
      </c>
      <c r="D30" s="57">
        <f>COUNTIFS('3ªVara'!$F$4:$F$48,"SEM VÍNCULO")</f>
        <v>0</v>
      </c>
      <c r="E30" s="57">
        <f>COUNTIFS('4ªVara'!$F$4:$F$19,"SEM VÍNCULO")</f>
        <v>0</v>
      </c>
      <c r="F30" s="57">
        <f>COUNTIFS('5ªVara'!$F$4:$F$20,"SEM VÍNCULO")</f>
        <v>0</v>
      </c>
      <c r="G30" s="57">
        <f>COUNTIFS('6ªVara'!$F$4:$F$21,"SEM VÍNCULO")</f>
        <v>0</v>
      </c>
      <c r="H30" s="57">
        <f>COUNTIFS('7ªVara'!$F$4:$F$19,"SEM VÍNCULO")</f>
        <v>1</v>
      </c>
      <c r="I30" s="57">
        <f>COUNTIFS('8ªVara'!$F$4:$F$22,"SEM VÍNCULO")</f>
        <v>0</v>
      </c>
      <c r="J30" s="57">
        <f>COUNTIFS('9ªVara'!$F$4:$F$19,"SEM VÍNCULO")</f>
        <v>0</v>
      </c>
      <c r="K30" s="57">
        <f>COUNTIFS('10ªVara'!$G$4:$G$19,"SEM VÍNCULO")</f>
        <v>1</v>
      </c>
      <c r="L30" s="57">
        <f>COUNTIFS('11ªVara'!$F$5:$F$21,"SEM VÍNCULO")</f>
        <v>0</v>
      </c>
      <c r="M30" s="57">
        <f>COUNTIFS('12ªVara'!$F$4:$F$22,"SEM VÍNCULO")</f>
        <v>0</v>
      </c>
      <c r="N30" s="57">
        <f>COUNTIFS('13ªVara'!$F$4:$F$17,"SEM VÍNCULO")</f>
        <v>0</v>
      </c>
      <c r="O30" s="57">
        <f>COUNTIFS('14ªVara'!$F$3:$F$20,"SEM VÍNCULO")</f>
        <v>0</v>
      </c>
      <c r="P30" s="57">
        <f>COUNTIFS('20ªVara'!$F$4:$F$19,"SEM VÍNCULO")</f>
        <v>0</v>
      </c>
      <c r="Q30" s="57">
        <f>COUNTIFS('21ªVara'!$F$4:$F$26,"SEM VÍNCULO")</f>
        <v>0</v>
      </c>
      <c r="R30" s="57">
        <f>COUNTIFS('26ªVara'!$F$4:$F$18,"SEM VÍNCULO")</f>
        <v>0</v>
      </c>
      <c r="S30" s="58">
        <f>COUNTIFS('28ªVara'!$F$4:$F$16,"SEM VÍNCULO")</f>
        <v>0</v>
      </c>
      <c r="T30" s="57">
        <f>COUNTIFS('32ªVara'!$F$4:$F$21,"SEM VÍNCULO")</f>
        <v>0</v>
      </c>
      <c r="U30" s="57">
        <f>COUNTIFS('33ªVara'!$F$4:$F$21,"SEM VÍNCULO")</f>
        <v>0</v>
      </c>
      <c r="V30" s="57">
        <f>COUNTIFS('Turmas Recursais'!$F$4:$F$45,"SEM VÍNCULO")</f>
        <v>0</v>
      </c>
      <c r="W30" s="57">
        <f>COUNTIFS('Diretoria do Foro'!$I$4:$I$36,"SEM VÍNCULO")</f>
        <v>0</v>
      </c>
      <c r="X30" s="57">
        <f>COUNTIFS('Secretaria Administrativa'!$I$4:$I$248,"SEM VÍNCULO")</f>
        <v>0</v>
      </c>
      <c r="Y30" s="59">
        <f t="shared" si="12"/>
        <v>2</v>
      </c>
      <c r="Z30" s="57">
        <f>COUNTIFS('Subseção de Limoeiro do Norte'!$F$4:$F$60,"sem vínculo",'Subseção de Limoeiro do Norte'!$G$4:$G$60,"15ªVara")</f>
        <v>1</v>
      </c>
      <c r="AA30" s="57">
        <f>COUNTIFS('Subseção de Limoeiro do Norte'!$F$4:$F$60,"sem vínculo",'Subseção de Limoeiro do Norte'!$G$4:$G$60,"29ªVara")</f>
        <v>0</v>
      </c>
      <c r="AB30" s="57">
        <f>COUNTIFS('Subseção de Limoeiro do Norte'!$F$4:$F$60,"sem vínculo",'Subseção de Limoeiro do Norte'!$G$4:$G$60,"SUBDIRFORO")</f>
        <v>0</v>
      </c>
      <c r="AC30" s="69">
        <f t="shared" si="7"/>
        <v>1</v>
      </c>
      <c r="AD30" s="57">
        <f>COUNTIFS('Subseção de Juazeiro do Norte'!$F$3:$F$57,"SEM VÍNCULO",'Subseção de Juazeiro do Norte'!$G$3:$G$57,"16ªVara")</f>
        <v>0</v>
      </c>
      <c r="AE30" s="57">
        <f>COUNTIFS('Subseção de Juazeiro do Norte'!$F$3:$F$57,"SEM VÍNCULO",'Subseção de Juazeiro do Norte'!$G$3:$G$57,"17ªVara")</f>
        <v>0</v>
      </c>
      <c r="AF30" s="57">
        <f>COUNTIFS('Subseção de Juazeiro do Norte'!$F$3:$F$66,"SEM VÍNCULO",'Subseção de Juazeiro do Norte'!$G$3:$G$66,"30ªVara")</f>
        <v>0</v>
      </c>
      <c r="AG30" s="57">
        <f>COUNTIFS('Subseção de Juazeiro do Norte'!$F$3:$F$57,"SEM VÍNCULO",'Subseção de Juazeiro do Norte'!$G$3:$G$57,"SUBDIRFORO")</f>
        <v>0</v>
      </c>
      <c r="AH30" s="60">
        <f>SUM(AD30:AG30)</f>
        <v>0</v>
      </c>
      <c r="AI30" s="57">
        <f>COUNTIFS('Subseção de Sobral'!$F$4:$F$59,"SEM VÍNCULO",'Subseção de Sobral'!$G$4:$G$59,"18ªVara")</f>
        <v>0</v>
      </c>
      <c r="AJ30" s="57">
        <f>COUNTIFS('Subseção de Sobral'!$F$4:$F$59,"SEM VÍNCULO",'Subseção de Sobral'!$G$4:$G$59,"19ªVara")</f>
        <v>1</v>
      </c>
      <c r="AK30" s="57">
        <f>COUNTIFS('Subseção de Sobral'!$F$4:$F$68,"SEM VÍNCULO",'Subseção de Sobral'!$G$4:$G$68,"31ªVara")</f>
        <v>0</v>
      </c>
      <c r="AL30" s="57">
        <f>COUNTIFS('Subseção de Sobral'!$F$4:$F$59,"SEM VÍNCULO",'Subseção de Sobral'!$G$4:$G$59,"SUBDIRFORO")</f>
        <v>0</v>
      </c>
      <c r="AM30" s="60">
        <f>SUM(AI30:AL30)</f>
        <v>1</v>
      </c>
      <c r="AN30" s="57">
        <f>COUNTIFS('Subseção de Crateús'!$F$4:$F$62,"SEM VÍNCULO",'Subseção de Crateús'!$G$4:$G$62,"22ªVara")</f>
        <v>0</v>
      </c>
      <c r="AO30" s="57">
        <f>COUNTIFS('Subseção de Crateús'!$F$4:$F$62,"SEM VÍNCULO",'Subseção de Crateús'!$G$4:$G$62,"SUBDIRFORO")</f>
        <v>0</v>
      </c>
      <c r="AP30" s="60">
        <f t="shared" si="8"/>
        <v>0</v>
      </c>
      <c r="AQ30" s="57">
        <f>COUNTIFS('23ªVara - Subseção de Quixadá'!$F$4:$F$64,"SEM VÍNCULO",'23ªVara - Subseção de Quixadá'!$G$4:$G$64,"23ªVARA")</f>
        <v>1</v>
      </c>
      <c r="AR30" s="57">
        <f>COUNTIFS('23ªVara - Subseção de Quixadá'!$F$4:$F$64,"SEM VÍNCULO",'23ªVara - Subseção de Quixadá'!$G$4:$G$64,"SUBDIRFORO")</f>
        <v>0</v>
      </c>
      <c r="AS30" s="60">
        <f>SUM(AQ30:AR30)</f>
        <v>1</v>
      </c>
      <c r="AT30" s="57">
        <f>COUNTIFS('24ªVara - Subseção de Tauá'!$F$4:$F$73,"SEM VÍNCULO",'24ªVara - Subseção de Tauá'!$G$4:$G$73,"24ªVARA")</f>
        <v>1</v>
      </c>
      <c r="AU30" s="57">
        <f>COUNTIFS('24ªVara - Subseção de Tauá'!$F$4:$F$73,"SEM VÍNCULO",'24ªVara - Subseção de Tauá'!$G$4:$G$73,"SUBDIRFORO")</f>
        <v>0</v>
      </c>
      <c r="AV30" s="60">
        <f>SUM(AT30:AU30)</f>
        <v>1</v>
      </c>
      <c r="AW30" s="57">
        <f>COUNTIFS('25ªVara - Subseção de Iguatu'!$F$4:$F$66,"SEM VÍNCULO",'25ªVara - Subseção de Iguatu'!$G$4:$G$66,"25ªVARA")</f>
        <v>0</v>
      </c>
      <c r="AX30" s="57">
        <f>COUNTIFS('25ªVara - Subseção de Iguatu'!$F$4:$F$66,"SEM VÍNCULO",'25ªVara - Subseção de Iguatu'!$G$4:$G$66,"SUBDIRFORO")</f>
        <v>0</v>
      </c>
      <c r="AY30" s="60">
        <f>SUM(AW30:AX30)</f>
        <v>0</v>
      </c>
      <c r="AZ30" s="57">
        <f>COUNTIFS('27ªVara - Subseção de Itapipoca'!$F$4:$F$67,"SEM VÍNCULO",'27ªVara - Subseção de Itapipoca'!$G$4:$G$67,"27ªVARA")</f>
        <v>0</v>
      </c>
      <c r="BA30" s="57">
        <f>COUNTIFS('27ªVara - Subseção de Itapipoca'!$F$4:$F$67,"SEM VÍNCULO",'27ªVara - Subseção de Itapipoca'!$G$4:$G$67,"SUBDIRFORO")</f>
        <v>0</v>
      </c>
      <c r="BB30" s="60">
        <f>SUM(AZ30:BA30)</f>
        <v>0</v>
      </c>
      <c r="BC30" s="57">
        <f>COUNTIFS('Subseção de Maracanaú'!$F$4:$F$70,"SEM VÍNCULO",'Subseção de Maracanaú'!$G$4:$G$70,"34ªVARA")</f>
        <v>0</v>
      </c>
      <c r="BD30" s="57">
        <f>COUNTIFS('Subseção de Maracanaú'!$F$4:$F$70,"SEM VÍNCULO",'Subseção de Maracanaú'!$G$4:$G$70,"35ªVARA")</f>
        <v>0</v>
      </c>
      <c r="BE30" s="57">
        <f>COUNTIFS('Subseção de Maracanaú'!$F$4:$F$70,"SEM VÍNCULO",'Subseção de Maracanaú'!$G$4:$G$70,"SUBDIRFORO")</f>
        <v>0</v>
      </c>
      <c r="BF30" s="70">
        <f t="shared" si="9"/>
        <v>0</v>
      </c>
      <c r="BG30" s="72">
        <f>SUM(Y30+AC30+AH30+AM30+AP30+AS30+AV30+AY30+BB30+BF30)</f>
        <v>6</v>
      </c>
      <c r="BH30" s="93"/>
      <c r="BI30" s="94"/>
      <c r="BJ30" s="95"/>
      <c r="BK30" s="26"/>
    </row>
    <row r="31" spans="1:65" ht="15.75" customHeight="1" x14ac:dyDescent="0.3">
      <c r="A31" s="101" t="s">
        <v>83</v>
      </c>
      <c r="B31" s="102">
        <f t="shared" ref="B31:X31" si="13">SUM(B27:B30)</f>
        <v>3</v>
      </c>
      <c r="C31" s="102">
        <f t="shared" si="13"/>
        <v>0</v>
      </c>
      <c r="D31" s="102">
        <f t="shared" si="13"/>
        <v>1</v>
      </c>
      <c r="E31" s="102">
        <f t="shared" si="13"/>
        <v>1</v>
      </c>
      <c r="F31" s="103">
        <f t="shared" si="13"/>
        <v>4</v>
      </c>
      <c r="G31" s="103">
        <f t="shared" si="13"/>
        <v>4</v>
      </c>
      <c r="H31" s="103">
        <f t="shared" si="13"/>
        <v>3</v>
      </c>
      <c r="I31" s="103">
        <f t="shared" si="13"/>
        <v>2</v>
      </c>
      <c r="J31" s="103">
        <f t="shared" si="13"/>
        <v>2</v>
      </c>
      <c r="K31" s="103">
        <f t="shared" si="13"/>
        <v>2</v>
      </c>
      <c r="L31" s="103">
        <f t="shared" si="13"/>
        <v>2</v>
      </c>
      <c r="M31" s="103">
        <f t="shared" si="13"/>
        <v>5</v>
      </c>
      <c r="N31" s="103">
        <f t="shared" si="13"/>
        <v>5</v>
      </c>
      <c r="O31" s="103">
        <f t="shared" si="13"/>
        <v>4</v>
      </c>
      <c r="P31" s="103">
        <f t="shared" si="13"/>
        <v>3</v>
      </c>
      <c r="Q31" s="103">
        <f t="shared" si="13"/>
        <v>4</v>
      </c>
      <c r="R31" s="103">
        <f t="shared" si="13"/>
        <v>0</v>
      </c>
      <c r="S31" s="103">
        <f t="shared" si="13"/>
        <v>3</v>
      </c>
      <c r="T31" s="103">
        <f t="shared" si="13"/>
        <v>2</v>
      </c>
      <c r="U31" s="103">
        <f t="shared" si="13"/>
        <v>1</v>
      </c>
      <c r="V31" s="104">
        <f t="shared" si="13"/>
        <v>4</v>
      </c>
      <c r="W31" s="103">
        <f t="shared" si="13"/>
        <v>6</v>
      </c>
      <c r="X31" s="103">
        <f t="shared" si="13"/>
        <v>42</v>
      </c>
      <c r="Y31" s="105">
        <f t="shared" si="12"/>
        <v>103</v>
      </c>
      <c r="Z31" s="106">
        <f>SUM(Z27:Z30)</f>
        <v>2</v>
      </c>
      <c r="AA31" s="107">
        <f>SUM(AA27:AA30)</f>
        <v>3</v>
      </c>
      <c r="AB31" s="107">
        <f>SUM(AB27:AB30)</f>
        <v>2</v>
      </c>
      <c r="AC31" s="107">
        <f t="shared" si="7"/>
        <v>7</v>
      </c>
      <c r="AD31" s="108">
        <f>SUM(AD27:AD30)</f>
        <v>2</v>
      </c>
      <c r="AE31" s="108">
        <f>SUM(AE27:AE30)</f>
        <v>3</v>
      </c>
      <c r="AF31" s="108">
        <f>SUM(AF27:AF30)</f>
        <v>5</v>
      </c>
      <c r="AG31" s="109">
        <f>SUM(AG27:AG30)</f>
        <v>2</v>
      </c>
      <c r="AH31" s="109">
        <f>SUM(AH27:AH30)</f>
        <v>12</v>
      </c>
      <c r="AI31" s="110">
        <v>2</v>
      </c>
      <c r="AJ31" s="110">
        <f>SUM(AJ27:AJ30)</f>
        <v>7</v>
      </c>
      <c r="AK31" s="110">
        <f>SUM(AK27:AK30)</f>
        <v>4</v>
      </c>
      <c r="AL31" s="110">
        <f>SUM(AL27:AL30)</f>
        <v>1</v>
      </c>
      <c r="AM31" s="110">
        <f>SUM(AM27:AM30)</f>
        <v>13</v>
      </c>
      <c r="AN31" s="111">
        <f>SUM(AN27:AN30)</f>
        <v>1</v>
      </c>
      <c r="AO31" s="111">
        <v>0</v>
      </c>
      <c r="AP31" s="111">
        <f>SUM(AP27:AP30)</f>
        <v>1</v>
      </c>
      <c r="AQ31" s="112">
        <f>SUM(AQ27:AQ30)</f>
        <v>3</v>
      </c>
      <c r="AR31" s="112">
        <f>SUM(AR27:AR30)</f>
        <v>0</v>
      </c>
      <c r="AS31" s="112">
        <f>SUM(AS27:AS30)</f>
        <v>3</v>
      </c>
      <c r="AT31" s="113">
        <f>SUM(AT27:AT30)</f>
        <v>2</v>
      </c>
      <c r="AU31" s="113">
        <v>0</v>
      </c>
      <c r="AV31" s="113">
        <f t="shared" ref="AV31:BE31" si="14">SUM(AV27:AV30)</f>
        <v>2</v>
      </c>
      <c r="AW31" s="114">
        <f t="shared" si="14"/>
        <v>4</v>
      </c>
      <c r="AX31" s="114">
        <f t="shared" si="14"/>
        <v>0</v>
      </c>
      <c r="AY31" s="114">
        <f t="shared" si="14"/>
        <v>4</v>
      </c>
      <c r="AZ31" s="115">
        <f t="shared" si="14"/>
        <v>0</v>
      </c>
      <c r="BA31" s="115">
        <f t="shared" si="14"/>
        <v>1</v>
      </c>
      <c r="BB31" s="115">
        <f t="shared" si="14"/>
        <v>1</v>
      </c>
      <c r="BC31" s="107">
        <f t="shared" si="14"/>
        <v>2</v>
      </c>
      <c r="BD31" s="107">
        <f t="shared" si="14"/>
        <v>1</v>
      </c>
      <c r="BE31" s="107">
        <f t="shared" si="14"/>
        <v>0</v>
      </c>
      <c r="BF31" s="116">
        <f t="shared" si="9"/>
        <v>3</v>
      </c>
      <c r="BG31" s="117">
        <f>SUM(BG27:BG30)</f>
        <v>149</v>
      </c>
      <c r="BH31" s="118"/>
      <c r="BI31" s="119"/>
      <c r="BJ31" s="120"/>
      <c r="BK31" s="26"/>
    </row>
    <row r="32" spans="1:65" ht="15.75" customHeight="1" x14ac:dyDescent="0.3">
      <c r="A32" s="121" t="s">
        <v>84</v>
      </c>
      <c r="B32" s="122">
        <f t="shared" ref="B32:X32" si="15">B26+B31</f>
        <v>15</v>
      </c>
      <c r="C32" s="122">
        <f t="shared" si="15"/>
        <v>10</v>
      </c>
      <c r="D32" s="122">
        <f t="shared" si="15"/>
        <v>20</v>
      </c>
      <c r="E32" s="122">
        <f t="shared" si="15"/>
        <v>16</v>
      </c>
      <c r="F32" s="122">
        <f t="shared" si="15"/>
        <v>15</v>
      </c>
      <c r="G32" s="122">
        <f t="shared" si="15"/>
        <v>16</v>
      </c>
      <c r="H32" s="122">
        <f t="shared" si="15"/>
        <v>15</v>
      </c>
      <c r="I32" s="122">
        <f t="shared" si="15"/>
        <v>16</v>
      </c>
      <c r="J32" s="122">
        <f t="shared" si="15"/>
        <v>16</v>
      </c>
      <c r="K32" s="122">
        <f t="shared" si="15"/>
        <v>14</v>
      </c>
      <c r="L32" s="122">
        <f t="shared" si="15"/>
        <v>15</v>
      </c>
      <c r="M32" s="122">
        <f t="shared" si="15"/>
        <v>16</v>
      </c>
      <c r="N32" s="123">
        <f t="shared" si="15"/>
        <v>15</v>
      </c>
      <c r="O32" s="123">
        <f t="shared" si="15"/>
        <v>17</v>
      </c>
      <c r="P32" s="122">
        <f t="shared" si="15"/>
        <v>16</v>
      </c>
      <c r="Q32" s="123">
        <f t="shared" si="15"/>
        <v>17</v>
      </c>
      <c r="R32" s="123">
        <f t="shared" si="15"/>
        <v>15</v>
      </c>
      <c r="S32" s="123">
        <f t="shared" si="15"/>
        <v>17</v>
      </c>
      <c r="T32" s="122">
        <f t="shared" si="15"/>
        <v>15</v>
      </c>
      <c r="U32" s="122">
        <f t="shared" si="15"/>
        <v>15</v>
      </c>
      <c r="V32" s="124">
        <f t="shared" si="15"/>
        <v>36</v>
      </c>
      <c r="W32" s="122">
        <f t="shared" si="15"/>
        <v>16</v>
      </c>
      <c r="X32" s="122">
        <f t="shared" si="15"/>
        <v>226</v>
      </c>
      <c r="Y32" s="125">
        <f t="shared" si="12"/>
        <v>589</v>
      </c>
      <c r="Z32" s="126">
        <f>Z26+Z31</f>
        <v>19</v>
      </c>
      <c r="AA32" s="127">
        <f>AA26+AA31</f>
        <v>19</v>
      </c>
      <c r="AB32" s="127">
        <f>AB26+AB31</f>
        <v>3</v>
      </c>
      <c r="AC32" s="127">
        <f t="shared" si="7"/>
        <v>41</v>
      </c>
      <c r="AD32" s="128">
        <f>AD26+AD31</f>
        <v>18</v>
      </c>
      <c r="AE32" s="128">
        <f>AE26+AE31</f>
        <v>20</v>
      </c>
      <c r="AF32" s="128">
        <f>AF26+AF31</f>
        <v>17</v>
      </c>
      <c r="AG32" s="129">
        <f>AG26+AG31</f>
        <v>6</v>
      </c>
      <c r="AH32" s="129">
        <f>SUM(AD32:AG32)</f>
        <v>61</v>
      </c>
      <c r="AI32" s="130">
        <f>AI26+AI31</f>
        <v>21</v>
      </c>
      <c r="AJ32" s="131">
        <f>AJ26+AJ31</f>
        <v>23</v>
      </c>
      <c r="AK32" s="132">
        <f>AK26+AK31</f>
        <v>19</v>
      </c>
      <c r="AL32" s="133">
        <f>AL26+AL31</f>
        <v>3</v>
      </c>
      <c r="AM32" s="130">
        <f>SUM(AI32:AL32)</f>
        <v>66</v>
      </c>
      <c r="AN32" s="134">
        <f t="shared" ref="AN32:AT32" si="16">AN26+AN31</f>
        <v>16</v>
      </c>
      <c r="AO32" s="134">
        <f t="shared" si="16"/>
        <v>3</v>
      </c>
      <c r="AP32" s="134">
        <f t="shared" si="16"/>
        <v>19</v>
      </c>
      <c r="AQ32" s="135">
        <f t="shared" si="16"/>
        <v>17</v>
      </c>
      <c r="AR32" s="135">
        <f t="shared" si="16"/>
        <v>1</v>
      </c>
      <c r="AS32" s="135">
        <f t="shared" si="16"/>
        <v>18</v>
      </c>
      <c r="AT32" s="136">
        <f t="shared" si="16"/>
        <v>18</v>
      </c>
      <c r="AU32" s="136">
        <f>SUM(AU25:AU31)</f>
        <v>0</v>
      </c>
      <c r="AV32" s="136">
        <f t="shared" ref="AV32:BE32" si="17">AV26+AV31</f>
        <v>18</v>
      </c>
      <c r="AW32" s="137">
        <f t="shared" si="17"/>
        <v>16</v>
      </c>
      <c r="AX32" s="138">
        <f t="shared" si="17"/>
        <v>2</v>
      </c>
      <c r="AY32" s="139">
        <f t="shared" si="17"/>
        <v>18</v>
      </c>
      <c r="AZ32" s="140">
        <f t="shared" si="17"/>
        <v>18</v>
      </c>
      <c r="BA32" s="140">
        <f t="shared" si="17"/>
        <v>2</v>
      </c>
      <c r="BB32" s="141">
        <f t="shared" si="17"/>
        <v>20</v>
      </c>
      <c r="BC32" s="127">
        <f t="shared" si="17"/>
        <v>18</v>
      </c>
      <c r="BD32" s="127">
        <f t="shared" si="17"/>
        <v>17</v>
      </c>
      <c r="BE32" s="127">
        <f t="shared" si="17"/>
        <v>3</v>
      </c>
      <c r="BF32" s="142">
        <f t="shared" si="9"/>
        <v>38</v>
      </c>
      <c r="BG32" s="143">
        <f>SUM(BG26+BG31)</f>
        <v>878</v>
      </c>
      <c r="BH32" s="144"/>
      <c r="BI32" s="145"/>
      <c r="BJ32" s="146"/>
      <c r="BK32" s="26"/>
    </row>
    <row r="33" spans="1:63" ht="168.2" x14ac:dyDescent="0.3">
      <c r="A33" s="147" t="s">
        <v>85</v>
      </c>
      <c r="B33" s="148"/>
      <c r="C33" s="148"/>
      <c r="D33" s="148"/>
      <c r="E33" s="148"/>
      <c r="F33" s="148"/>
      <c r="G33" s="148"/>
      <c r="H33" s="149"/>
      <c r="I33" s="149"/>
      <c r="J33" s="150"/>
      <c r="K33" s="149"/>
      <c r="L33" s="149"/>
      <c r="M33" s="150"/>
      <c r="N33" s="149"/>
      <c r="O33" s="149"/>
      <c r="P33" s="149"/>
      <c r="Q33" s="149"/>
      <c r="R33" s="149"/>
      <c r="S33" s="151"/>
      <c r="T33" s="149"/>
      <c r="U33" s="149"/>
      <c r="V33" s="149"/>
      <c r="W33" s="152"/>
      <c r="X33" s="152"/>
      <c r="Y33" s="16"/>
      <c r="Z33" s="153"/>
      <c r="AA33" s="153"/>
      <c r="AB33" s="16"/>
      <c r="AC33" s="16"/>
      <c r="AD33" s="16"/>
      <c r="AE33" s="16"/>
      <c r="AF33" s="16"/>
      <c r="AG33" s="16"/>
      <c r="AH33" s="16"/>
      <c r="AI33" s="16"/>
      <c r="AJ33" s="16"/>
      <c r="AK33" s="16"/>
      <c r="AL33" s="16"/>
      <c r="AM33" s="16"/>
      <c r="AN33" s="16"/>
      <c r="AO33" s="16"/>
      <c r="AP33" s="16"/>
      <c r="AQ33" s="154"/>
      <c r="AR33" s="154"/>
      <c r="AS33" s="154"/>
      <c r="AT33" s="154"/>
      <c r="AU33" s="154"/>
      <c r="AV33" s="154"/>
      <c r="AW33" s="19"/>
      <c r="AX33" s="19"/>
      <c r="AY33" s="19"/>
      <c r="AZ33" s="154"/>
      <c r="BA33" s="16"/>
      <c r="BC33" s="153"/>
      <c r="BD33" s="16"/>
      <c r="BE33" s="16"/>
      <c r="BF33" s="16"/>
      <c r="BG33">
        <f>SUM(BG20:BG25,BI20:BI25)</f>
        <v>438</v>
      </c>
      <c r="BH33" s="155"/>
      <c r="BI33" s="22"/>
      <c r="BK33" s="26"/>
    </row>
    <row r="34" spans="1:63" ht="15.75" customHeight="1" x14ac:dyDescent="0.3">
      <c r="A34" s="154"/>
      <c r="B34" s="22"/>
      <c r="C34" s="22"/>
      <c r="D34" s="22"/>
      <c r="E34" s="22"/>
      <c r="F34" s="22"/>
      <c r="G34" s="22"/>
      <c r="H34" s="22"/>
      <c r="I34" s="16"/>
      <c r="J34" s="16"/>
      <c r="K34" s="156"/>
      <c r="L34" s="156"/>
      <c r="M34" s="156"/>
      <c r="N34" s="16"/>
      <c r="O34" s="16"/>
      <c r="P34" s="149"/>
      <c r="Q34" s="149"/>
      <c r="R34" s="149"/>
      <c r="S34" s="151"/>
      <c r="T34" s="149"/>
      <c r="U34" s="149"/>
      <c r="V34" s="149"/>
      <c r="W34" s="152"/>
      <c r="X34" s="152"/>
      <c r="Y34" s="16"/>
      <c r="Z34" s="16"/>
      <c r="AA34" s="16"/>
      <c r="AB34" s="16"/>
      <c r="AC34" s="16"/>
      <c r="AD34" s="16"/>
      <c r="AE34" s="16"/>
      <c r="AF34" s="16"/>
      <c r="AG34" s="16"/>
      <c r="AH34" s="16"/>
      <c r="AI34" s="16"/>
      <c r="AJ34" s="16"/>
      <c r="AK34" s="16"/>
      <c r="AL34" s="16"/>
      <c r="AM34" s="16"/>
      <c r="AN34" s="17"/>
      <c r="AQ34" s="17"/>
      <c r="AW34" s="19"/>
      <c r="BH34" s="155"/>
      <c r="BI34" s="22"/>
    </row>
    <row r="35" spans="1:63" ht="15.75" customHeight="1" x14ac:dyDescent="0.3">
      <c r="A35" s="15" t="s">
        <v>86</v>
      </c>
      <c r="B35" s="149"/>
      <c r="C35" s="149"/>
      <c r="D35" s="149"/>
      <c r="E35" s="149"/>
      <c r="F35" s="149"/>
      <c r="G35" s="149"/>
      <c r="H35" s="149"/>
      <c r="I35" s="149"/>
      <c r="J35" s="149"/>
      <c r="K35" s="149"/>
      <c r="L35" s="149"/>
      <c r="M35" s="149"/>
      <c r="N35" s="149"/>
      <c r="O35" s="149"/>
      <c r="P35" s="149"/>
      <c r="Q35" s="149"/>
      <c r="R35" s="149"/>
      <c r="S35" s="151"/>
      <c r="T35" s="149"/>
      <c r="U35" s="149"/>
      <c r="V35" s="149"/>
      <c r="W35" s="152"/>
      <c r="X35" s="152"/>
      <c r="Y35" s="16"/>
      <c r="Z35" s="16"/>
      <c r="AA35" s="16"/>
      <c r="AB35" s="16"/>
      <c r="AC35" s="16"/>
      <c r="AD35" s="16"/>
      <c r="AE35" s="16"/>
      <c r="AF35" s="16"/>
      <c r="AG35" s="16"/>
      <c r="AH35" s="16"/>
      <c r="AI35" s="16"/>
      <c r="AJ35" s="16"/>
      <c r="AK35" s="16"/>
      <c r="AL35" s="16"/>
      <c r="AM35" s="16"/>
      <c r="AN35" s="17"/>
      <c r="AQ35" s="17"/>
      <c r="AW35" s="19"/>
      <c r="AX35" s="602"/>
      <c r="BH35" s="155"/>
      <c r="BI35" s="22"/>
    </row>
    <row r="36" spans="1:63" ht="15.75" customHeight="1" x14ac:dyDescent="0.4">
      <c r="A36" s="157"/>
      <c r="B36" s="148"/>
      <c r="C36" s="148"/>
      <c r="D36" s="148"/>
      <c r="E36" s="148"/>
      <c r="F36" s="148"/>
      <c r="G36" s="148"/>
      <c r="H36" s="148"/>
      <c r="I36" s="148"/>
      <c r="J36" s="148"/>
      <c r="K36" s="148"/>
      <c r="L36" s="148"/>
      <c r="M36" s="158"/>
      <c r="N36" s="158"/>
      <c r="O36" s="158"/>
      <c r="P36" s="148"/>
      <c r="Q36" s="148"/>
      <c r="R36" s="148"/>
      <c r="S36" s="159"/>
      <c r="T36" s="148"/>
      <c r="U36" s="148"/>
      <c r="V36" s="149"/>
      <c r="W36" s="152"/>
      <c r="X36" s="152"/>
      <c r="Y36" s="16"/>
      <c r="Z36" s="16"/>
      <c r="AA36" s="149"/>
      <c r="AB36" s="16"/>
      <c r="AC36" s="16"/>
      <c r="AD36" s="16"/>
      <c r="AE36" s="16"/>
      <c r="AF36" s="16"/>
      <c r="AG36" s="16"/>
      <c r="AH36" s="16"/>
      <c r="AI36" s="16"/>
      <c r="AJ36" s="16"/>
      <c r="AK36" s="16"/>
      <c r="AL36" s="16"/>
      <c r="AM36" s="16"/>
      <c r="AN36" s="17"/>
      <c r="AQ36" s="17"/>
      <c r="AW36" s="19"/>
      <c r="AX36" s="602"/>
      <c r="BA36" s="160"/>
      <c r="BH36" s="155"/>
      <c r="BI36" s="161"/>
    </row>
    <row r="37" spans="1:63" ht="15.75" customHeight="1" x14ac:dyDescent="0.3">
      <c r="A37" s="16" t="s">
        <v>87</v>
      </c>
      <c r="B37" s="162"/>
      <c r="C37" s="162"/>
      <c r="D37" s="162"/>
      <c r="E37" s="162"/>
      <c r="F37" s="162"/>
      <c r="G37" s="162"/>
      <c r="H37" s="162"/>
      <c r="I37" s="162"/>
      <c r="J37" s="162"/>
      <c r="K37" s="148"/>
      <c r="L37" s="148"/>
      <c r="M37" s="158"/>
      <c r="N37" s="158"/>
      <c r="O37" s="158"/>
      <c r="P37" s="158"/>
      <c r="Q37" s="158"/>
      <c r="R37" s="158"/>
      <c r="S37" s="163"/>
      <c r="T37" s="158"/>
      <c r="U37" s="158"/>
      <c r="W37" s="164"/>
      <c r="X37" s="152"/>
      <c r="Y37" s="16"/>
      <c r="Z37" s="16"/>
      <c r="AA37" s="149"/>
      <c r="AB37" s="16"/>
      <c r="AC37" s="16"/>
      <c r="AD37" s="16"/>
      <c r="AE37" s="16"/>
      <c r="AF37" s="16"/>
      <c r="AG37" s="16"/>
      <c r="AH37" s="16"/>
      <c r="AI37" s="16"/>
      <c r="AJ37" s="16"/>
      <c r="AK37" s="16"/>
      <c r="AL37" s="16"/>
      <c r="AM37" s="16"/>
      <c r="AN37" s="17"/>
      <c r="AQ37" s="17"/>
      <c r="AW37" s="19"/>
      <c r="BA37" s="162"/>
      <c r="BG37" s="16"/>
      <c r="BH37" s="16"/>
      <c r="BI37" s="16"/>
      <c r="BJ37" s="16"/>
    </row>
    <row r="38" spans="1:63" ht="15.75" customHeight="1" x14ac:dyDescent="0.3">
      <c r="A38" s="15"/>
      <c r="B38" s="162"/>
      <c r="C38" s="162"/>
      <c r="D38" s="162"/>
      <c r="E38" s="162"/>
      <c r="F38" s="162"/>
      <c r="G38" s="162"/>
      <c r="H38" s="162"/>
      <c r="I38" s="162"/>
      <c r="J38" s="162"/>
      <c r="K38" s="148"/>
      <c r="L38" s="148"/>
      <c r="M38" s="158"/>
      <c r="N38" s="158"/>
      <c r="O38" s="158"/>
      <c r="P38" s="158"/>
      <c r="Q38" s="158"/>
      <c r="R38" s="158"/>
      <c r="S38" s="163"/>
      <c r="T38" s="158"/>
      <c r="U38" s="158"/>
      <c r="W38" s="164"/>
      <c r="X38" s="152"/>
      <c r="Y38" s="16"/>
      <c r="Z38" s="16"/>
      <c r="AA38" s="149"/>
      <c r="AB38" s="16"/>
      <c r="AC38" s="16"/>
      <c r="AD38" s="16"/>
      <c r="AE38" s="16"/>
      <c r="AF38" s="16"/>
      <c r="AG38" s="16"/>
      <c r="AH38" s="16"/>
      <c r="AI38" s="16"/>
      <c r="AJ38" s="16"/>
      <c r="AK38" s="16"/>
      <c r="AL38" s="16"/>
      <c r="AM38" s="16"/>
      <c r="AN38" s="17"/>
      <c r="AQ38" s="17"/>
      <c r="AW38" s="19"/>
      <c r="BA38" s="162"/>
      <c r="BG38" s="16"/>
      <c r="BH38" s="16"/>
      <c r="BI38" s="16"/>
      <c r="BJ38" s="16"/>
    </row>
    <row r="39" spans="1:63" ht="15.75" customHeight="1" x14ac:dyDescent="0.3">
      <c r="A39" s="15" t="s">
        <v>88</v>
      </c>
      <c r="B39" s="148"/>
      <c r="C39" s="148"/>
      <c r="D39" s="148"/>
      <c r="E39" s="148"/>
      <c r="F39" s="148"/>
      <c r="G39" s="148"/>
      <c r="H39" s="162"/>
      <c r="I39" s="162"/>
      <c r="J39" s="162"/>
      <c r="K39" s="148"/>
      <c r="L39" s="148"/>
      <c r="M39" s="158"/>
      <c r="N39" s="158"/>
      <c r="O39" s="158"/>
      <c r="P39" s="158"/>
      <c r="Q39" s="158"/>
      <c r="R39" s="158"/>
      <c r="S39" s="163"/>
      <c r="T39" s="158"/>
      <c r="U39" s="158"/>
      <c r="W39" s="164"/>
      <c r="X39" s="152"/>
      <c r="Y39" s="16"/>
      <c r="Z39" s="16"/>
      <c r="AA39" s="149"/>
      <c r="AB39" s="16"/>
      <c r="AC39" s="16"/>
      <c r="AD39" s="16"/>
      <c r="AE39" s="16"/>
      <c r="AF39" s="16"/>
      <c r="AG39" s="16"/>
      <c r="AH39" s="16"/>
      <c r="AI39" s="16"/>
      <c r="AJ39" s="16"/>
      <c r="AK39" s="16"/>
      <c r="AL39" s="16"/>
      <c r="AM39" s="16"/>
      <c r="AN39" s="17"/>
      <c r="AQ39" s="17"/>
      <c r="AW39" s="19"/>
      <c r="BA39" s="162"/>
      <c r="BG39" s="16"/>
      <c r="BH39" s="16"/>
      <c r="BI39" s="16"/>
      <c r="BJ39" s="16"/>
    </row>
    <row r="40" spans="1:63" ht="15.75" customHeight="1" x14ac:dyDescent="0.3">
      <c r="A40" s="15"/>
      <c r="B40" s="148"/>
      <c r="C40" s="148"/>
      <c r="D40" s="148"/>
      <c r="E40" s="148"/>
      <c r="F40" s="148"/>
      <c r="G40" s="148"/>
      <c r="H40" s="162"/>
      <c r="I40" s="162"/>
      <c r="J40" s="162"/>
      <c r="K40" s="148"/>
      <c r="L40" s="148"/>
      <c r="M40" s="158"/>
      <c r="N40" s="158"/>
      <c r="O40" s="158"/>
      <c r="P40" s="158"/>
      <c r="Q40" s="158"/>
      <c r="R40" s="158"/>
      <c r="S40" s="163"/>
      <c r="T40" s="158"/>
      <c r="U40" s="158"/>
      <c r="W40" s="164"/>
      <c r="X40" s="152"/>
      <c r="Y40" s="16"/>
      <c r="Z40" s="16"/>
      <c r="AA40" s="149"/>
      <c r="AB40" s="16"/>
      <c r="AC40" s="16"/>
      <c r="AD40" s="16"/>
      <c r="AE40" s="16"/>
      <c r="AF40" s="16"/>
      <c r="AG40" s="16"/>
      <c r="AH40" s="16"/>
      <c r="AI40" s="16"/>
      <c r="AJ40" s="16"/>
      <c r="AK40" s="16"/>
      <c r="AL40" s="16"/>
      <c r="AM40" s="16"/>
      <c r="AN40" s="17"/>
      <c r="AQ40" s="17"/>
      <c r="AW40" s="19"/>
      <c r="BA40" s="162"/>
      <c r="BG40" s="16"/>
      <c r="BH40" s="16"/>
      <c r="BI40" s="16"/>
      <c r="BJ40" s="16"/>
    </row>
    <row r="41" spans="1:63" ht="24.75" customHeight="1" x14ac:dyDescent="0.3">
      <c r="A41" s="15" t="s">
        <v>89</v>
      </c>
      <c r="B41" s="148"/>
      <c r="C41" s="148"/>
      <c r="D41" s="148"/>
      <c r="E41" s="148"/>
      <c r="F41" s="148"/>
      <c r="G41" s="148"/>
      <c r="H41" s="162"/>
      <c r="I41" s="162"/>
      <c r="J41" s="162"/>
      <c r="K41" s="148"/>
      <c r="L41" s="148"/>
      <c r="M41" s="158"/>
      <c r="N41" s="158"/>
      <c r="O41" s="158"/>
      <c r="P41" s="158"/>
      <c r="Q41" s="158"/>
      <c r="R41" s="158"/>
      <c r="S41" s="163"/>
      <c r="T41" s="158"/>
      <c r="U41" s="158"/>
      <c r="W41" s="164"/>
      <c r="X41" s="152"/>
      <c r="Y41" s="16"/>
      <c r="Z41" s="16"/>
      <c r="AA41" s="149"/>
      <c r="AB41" s="16"/>
      <c r="AC41" s="16"/>
      <c r="AD41" s="16"/>
      <c r="AE41" s="16"/>
      <c r="AF41" s="16"/>
      <c r="AG41" s="16"/>
      <c r="AH41" s="16"/>
      <c r="AI41" s="16"/>
      <c r="AJ41" s="16"/>
      <c r="AK41" s="16"/>
      <c r="AL41" s="16"/>
      <c r="AM41" s="16"/>
      <c r="AN41" s="17"/>
      <c r="AQ41" s="17"/>
      <c r="AW41" s="19"/>
      <c r="BA41" s="162"/>
      <c r="BG41" s="16"/>
      <c r="BH41" s="16"/>
      <c r="BI41" s="16"/>
      <c r="BJ41" s="16"/>
    </row>
    <row r="42" spans="1:63" ht="15.75" customHeight="1" x14ac:dyDescent="0.3">
      <c r="A42" s="15"/>
      <c r="B42" s="19"/>
      <c r="C42" s="19"/>
      <c r="D42" s="19"/>
      <c r="E42" s="19"/>
      <c r="F42" s="19"/>
      <c r="G42" s="19"/>
      <c r="H42" s="154"/>
      <c r="I42" s="154"/>
      <c r="J42" s="162"/>
      <c r="K42" s="19"/>
      <c r="L42" s="19"/>
      <c r="M42" s="158"/>
      <c r="N42" s="158"/>
      <c r="O42" s="158"/>
      <c r="P42" s="158"/>
      <c r="Q42" s="158"/>
      <c r="R42" s="158"/>
      <c r="S42" s="163"/>
      <c r="T42" s="158"/>
      <c r="U42" s="158"/>
      <c r="W42" s="164"/>
      <c r="X42" s="152"/>
      <c r="Y42" s="16"/>
      <c r="Z42" s="16"/>
      <c r="AA42" s="165"/>
      <c r="AB42" s="16"/>
      <c r="AC42" s="16"/>
      <c r="AD42" s="16"/>
      <c r="AE42" s="16"/>
      <c r="AF42" s="16"/>
      <c r="AG42" s="16"/>
      <c r="AH42" s="16"/>
      <c r="AI42" s="16"/>
      <c r="AJ42" s="16"/>
      <c r="AK42" s="16"/>
      <c r="AL42" s="16"/>
      <c r="AM42" s="16"/>
      <c r="AN42" s="17"/>
      <c r="AQ42" s="17"/>
      <c r="AW42" s="19"/>
      <c r="BA42" s="162"/>
      <c r="BG42" s="16"/>
      <c r="BH42" s="16"/>
      <c r="BI42" s="16"/>
      <c r="BJ42" s="16"/>
    </row>
    <row r="43" spans="1:63" ht="15.75" customHeight="1" x14ac:dyDescent="0.3">
      <c r="A43" s="15" t="s">
        <v>90</v>
      </c>
      <c r="B43" s="158"/>
      <c r="C43" s="158"/>
      <c r="D43" s="19"/>
      <c r="E43" s="158"/>
      <c r="F43" s="158"/>
      <c r="G43" s="158"/>
      <c r="H43" s="163"/>
      <c r="I43" s="158"/>
      <c r="J43" s="148"/>
      <c r="S43" s="17"/>
      <c r="W43" s="18"/>
      <c r="X43" s="152"/>
      <c r="Y43" s="16"/>
      <c r="Z43" s="17"/>
      <c r="AJ43" s="17"/>
      <c r="AK43" s="17"/>
      <c r="AN43" s="17"/>
      <c r="AQ43" s="17"/>
      <c r="AW43" s="19"/>
      <c r="BG43" s="16"/>
      <c r="BH43" s="16"/>
      <c r="BI43" s="16"/>
      <c r="BJ43" s="16"/>
    </row>
    <row r="44" spans="1:63" ht="15.75" customHeight="1" x14ac:dyDescent="0.3">
      <c r="A44" s="157"/>
      <c r="B44" s="158"/>
      <c r="C44" s="158"/>
      <c r="D44" s="19"/>
      <c r="E44" s="158"/>
      <c r="F44" s="158"/>
      <c r="G44" s="158"/>
      <c r="H44" s="163"/>
      <c r="I44" s="158"/>
      <c r="J44" s="148"/>
      <c r="S44" s="17"/>
      <c r="W44" s="18"/>
      <c r="X44" s="152"/>
      <c r="Y44" s="16"/>
      <c r="Z44" s="17"/>
      <c r="AJ44" s="17"/>
      <c r="AK44" s="17"/>
      <c r="AN44" s="17"/>
      <c r="AQ44" s="17"/>
      <c r="AW44" s="19"/>
      <c r="BG44" s="16"/>
      <c r="BH44" s="16"/>
      <c r="BI44" s="16"/>
      <c r="BJ44" s="16"/>
    </row>
    <row r="45" spans="1:63" ht="15.75" customHeight="1" x14ac:dyDescent="0.3">
      <c r="A45" s="157"/>
      <c r="B45" s="158"/>
      <c r="C45" s="158"/>
      <c r="D45" s="19"/>
      <c r="E45" s="158"/>
      <c r="F45" s="158"/>
      <c r="G45" s="158"/>
      <c r="H45" s="163"/>
      <c r="I45" s="158"/>
      <c r="J45" s="148"/>
      <c r="S45" s="17"/>
      <c r="W45" s="18"/>
      <c r="X45" s="152"/>
      <c r="Y45" s="16"/>
      <c r="Z45" s="17"/>
      <c r="AJ45" s="17"/>
      <c r="AK45" s="17"/>
      <c r="AN45" s="17"/>
      <c r="AQ45" s="17"/>
      <c r="AW45" s="19"/>
      <c r="BG45" s="16"/>
      <c r="BH45" s="16"/>
      <c r="BI45" s="16"/>
      <c r="BJ45" s="16"/>
    </row>
    <row r="46" spans="1:63" ht="15.75" customHeight="1" x14ac:dyDescent="0.3">
      <c r="A46" s="157"/>
      <c r="B46" s="158"/>
      <c r="C46" s="158"/>
      <c r="D46" s="19"/>
      <c r="E46" s="158"/>
      <c r="F46" s="158"/>
      <c r="G46" s="158"/>
      <c r="H46" s="163"/>
      <c r="I46" s="158"/>
      <c r="J46" s="148"/>
      <c r="S46" s="17"/>
      <c r="W46" s="18"/>
      <c r="X46" s="152"/>
      <c r="Y46" s="16"/>
      <c r="Z46" s="17"/>
      <c r="AJ46" s="17"/>
      <c r="AK46" s="17"/>
      <c r="AN46" s="17"/>
      <c r="AQ46" s="17"/>
      <c r="AW46" s="19"/>
      <c r="BG46" s="16"/>
      <c r="BH46" s="16"/>
      <c r="BI46" s="16"/>
      <c r="BJ46" s="16"/>
    </row>
    <row r="47" spans="1:63" ht="15.75" customHeight="1" x14ac:dyDescent="0.3">
      <c r="A47" s="157"/>
      <c r="B47" s="158"/>
      <c r="C47" s="158"/>
      <c r="D47" s="19"/>
      <c r="E47" s="158"/>
      <c r="F47" s="158"/>
      <c r="G47" s="158"/>
      <c r="H47" s="163"/>
      <c r="I47" s="158"/>
      <c r="J47" s="148"/>
      <c r="S47" s="17"/>
      <c r="W47" s="18"/>
      <c r="X47" s="152"/>
      <c r="Y47" s="16"/>
      <c r="Z47" s="17"/>
      <c r="AJ47" s="17"/>
      <c r="AK47" s="17"/>
      <c r="AN47" s="17"/>
      <c r="AQ47" s="17"/>
      <c r="AW47" s="19"/>
      <c r="BG47" s="16"/>
      <c r="BH47" s="16"/>
      <c r="BI47" s="16"/>
      <c r="BJ47" s="16"/>
    </row>
    <row r="48" spans="1:63" ht="15.75" customHeight="1" x14ac:dyDescent="0.3">
      <c r="A48" s="157"/>
      <c r="B48" s="158"/>
      <c r="C48" s="158"/>
      <c r="D48" s="19"/>
      <c r="E48" s="158"/>
      <c r="F48" s="158"/>
      <c r="G48" s="158"/>
      <c r="H48" s="163"/>
      <c r="I48" s="158"/>
      <c r="J48" s="148"/>
      <c r="S48" s="17"/>
      <c r="W48" s="18"/>
      <c r="X48" s="152"/>
      <c r="Y48" s="16"/>
      <c r="Z48" s="17"/>
      <c r="AJ48" s="17"/>
      <c r="AK48" s="17"/>
      <c r="AN48" s="17"/>
      <c r="AQ48" s="17"/>
      <c r="AW48" s="19"/>
      <c r="BG48" s="16"/>
      <c r="BH48" s="16"/>
      <c r="BI48" s="16"/>
      <c r="BJ48" s="16"/>
    </row>
    <row r="49" spans="1:62" ht="15.75" customHeight="1" x14ac:dyDescent="0.3">
      <c r="H49" s="17"/>
      <c r="J49" s="149"/>
      <c r="S49" s="17"/>
      <c r="W49" s="18"/>
      <c r="X49" s="152"/>
      <c r="Y49" s="16"/>
      <c r="Z49" s="17"/>
      <c r="AJ49" s="17"/>
      <c r="AK49" s="17"/>
      <c r="AN49" s="17"/>
      <c r="AQ49" s="17"/>
      <c r="AW49" s="19"/>
      <c r="BG49" s="16"/>
      <c r="BH49" s="16"/>
      <c r="BI49" s="16"/>
      <c r="BJ49" s="16"/>
    </row>
    <row r="50" spans="1:62" ht="15.75" customHeight="1" x14ac:dyDescent="0.3">
      <c r="A50" s="166" t="s">
        <v>91</v>
      </c>
      <c r="B50" s="167" t="s">
        <v>92</v>
      </c>
      <c r="H50" s="17"/>
      <c r="J50" s="165"/>
      <c r="S50" s="17"/>
      <c r="W50" s="18"/>
      <c r="X50" s="152"/>
      <c r="Y50" s="16"/>
      <c r="Z50" s="17"/>
      <c r="AJ50" s="17"/>
      <c r="AK50" s="17"/>
      <c r="AN50" s="17"/>
      <c r="AQ50" s="17"/>
      <c r="AW50" s="19"/>
      <c r="BG50" s="16"/>
      <c r="BH50" s="16"/>
      <c r="BI50" s="16"/>
      <c r="BJ50" s="16"/>
    </row>
    <row r="51" spans="1:62" ht="15.75" customHeight="1" x14ac:dyDescent="0.3">
      <c r="A51" s="168" t="s">
        <v>93</v>
      </c>
      <c r="B51" s="169">
        <f>SUM(B32:I32,K32,N32,O32,S32,T32,V32,W32,X32)</f>
        <v>479</v>
      </c>
      <c r="H51" s="17"/>
      <c r="J51" s="165"/>
      <c r="S51" s="17"/>
      <c r="W51" s="18"/>
      <c r="X51" s="152"/>
      <c r="Y51" s="16"/>
      <c r="Z51" s="17"/>
      <c r="AJ51" s="17"/>
      <c r="AK51" s="17"/>
      <c r="AN51" s="17"/>
      <c r="AQ51" s="17"/>
      <c r="AW51" s="19"/>
      <c r="BG51" s="16"/>
      <c r="BH51" s="16"/>
      <c r="BI51" s="16"/>
      <c r="BJ51" s="16"/>
    </row>
    <row r="52" spans="1:62" ht="15.75" customHeight="1" x14ac:dyDescent="0.3">
      <c r="A52" s="168" t="s">
        <v>94</v>
      </c>
      <c r="B52" s="169">
        <f>SUM(J32,L32,M32,P32,T32,U32)</f>
        <v>93</v>
      </c>
      <c r="H52" s="17"/>
      <c r="S52" s="17"/>
      <c r="W52" s="18"/>
      <c r="X52" s="152"/>
      <c r="Y52" s="16"/>
      <c r="Z52" s="17"/>
      <c r="AJ52" s="17"/>
      <c r="AK52" s="17"/>
      <c r="AN52" s="17"/>
      <c r="AQ52" s="17"/>
      <c r="AW52" s="19"/>
      <c r="BG52" s="16"/>
      <c r="BH52" s="16"/>
      <c r="BI52" s="16"/>
      <c r="BJ52" s="16"/>
    </row>
    <row r="53" spans="1:62" ht="15.75" customHeight="1" x14ac:dyDescent="0.3">
      <c r="H53" s="17"/>
      <c r="S53" s="17"/>
      <c r="W53" s="18"/>
      <c r="X53" s="18"/>
      <c r="Z53" s="17"/>
      <c r="AJ53" s="17"/>
      <c r="AK53" s="17"/>
      <c r="AN53" s="17"/>
      <c r="AQ53" s="17"/>
      <c r="AW53" s="19"/>
    </row>
    <row r="54" spans="1:62" ht="15.75" customHeight="1" x14ac:dyDescent="0.3">
      <c r="A54" s="170" t="s">
        <v>95</v>
      </c>
      <c r="H54" s="17"/>
      <c r="S54" s="17"/>
      <c r="W54" s="18"/>
      <c r="X54" s="18"/>
      <c r="Z54" s="17"/>
      <c r="AJ54" s="17"/>
      <c r="AK54" s="17"/>
      <c r="AN54" s="17"/>
      <c r="AQ54" s="17"/>
      <c r="AW54" s="19"/>
    </row>
    <row r="55" spans="1:62" ht="15.75" customHeight="1" x14ac:dyDescent="0.3">
      <c r="A55" s="16" t="s">
        <v>96</v>
      </c>
      <c r="H55" s="17"/>
      <c r="S55" s="17"/>
      <c r="W55" s="18"/>
      <c r="X55" s="18"/>
      <c r="Z55" s="17"/>
      <c r="AJ55" s="17"/>
      <c r="AK55" s="17"/>
      <c r="AN55" s="17"/>
      <c r="AQ55" s="17"/>
      <c r="AW55" s="19"/>
    </row>
    <row r="56" spans="1:62" ht="15.75" customHeight="1" x14ac:dyDescent="0.3">
      <c r="A56" s="16" t="s">
        <v>97</v>
      </c>
      <c r="H56" s="17"/>
      <c r="S56" s="17"/>
      <c r="W56" s="18"/>
      <c r="X56" s="18"/>
      <c r="Z56" s="17"/>
      <c r="AJ56" s="17"/>
      <c r="AK56" s="17"/>
      <c r="AN56" s="17"/>
      <c r="AQ56" s="17"/>
      <c r="AW56" s="19"/>
    </row>
    <row r="57" spans="1:62" ht="15.75" customHeight="1" x14ac:dyDescent="0.3">
      <c r="A57" s="16" t="s">
        <v>98</v>
      </c>
      <c r="H57" s="17"/>
      <c r="S57" s="17"/>
      <c r="W57" s="18"/>
      <c r="X57" s="18"/>
      <c r="Z57" s="17"/>
      <c r="AJ57" s="17"/>
      <c r="AK57" s="17"/>
      <c r="AN57" s="17"/>
      <c r="AQ57" s="17"/>
      <c r="AW57" s="19"/>
    </row>
    <row r="58" spans="1:62" ht="15.75" customHeight="1" x14ac:dyDescent="0.3">
      <c r="A58" s="16" t="s">
        <v>99</v>
      </c>
      <c r="H58" s="17"/>
      <c r="S58" s="17"/>
      <c r="W58" s="18"/>
      <c r="X58" s="18"/>
      <c r="Z58" s="17"/>
      <c r="AJ58" s="17"/>
      <c r="AK58" s="17"/>
      <c r="AN58" s="17"/>
      <c r="AQ58" s="17"/>
      <c r="AW58" s="19"/>
    </row>
    <row r="59" spans="1:62" ht="15.75" customHeight="1" x14ac:dyDescent="0.3">
      <c r="A59" s="16" t="s">
        <v>100</v>
      </c>
      <c r="H59" s="17"/>
      <c r="S59" s="17"/>
      <c r="W59" s="18"/>
      <c r="X59" s="18"/>
      <c r="Z59" s="17"/>
      <c r="AJ59" s="17"/>
      <c r="AK59" s="17"/>
      <c r="AN59" s="17"/>
      <c r="AQ59" s="17"/>
      <c r="AW59" s="19"/>
    </row>
    <row r="60" spans="1:62" ht="15.75" customHeight="1" x14ac:dyDescent="0.3">
      <c r="A60" s="16" t="s">
        <v>101</v>
      </c>
      <c r="H60" s="17"/>
      <c r="S60" s="17"/>
      <c r="W60" s="18"/>
      <c r="X60" s="18"/>
      <c r="Z60" s="17"/>
      <c r="AJ60" s="17"/>
      <c r="AK60" s="17"/>
      <c r="AN60" s="17"/>
      <c r="AQ60" s="17"/>
      <c r="AW60" s="19"/>
    </row>
    <row r="61" spans="1:62" ht="15.75" customHeight="1" x14ac:dyDescent="0.3">
      <c r="A61" s="16" t="s">
        <v>102</v>
      </c>
      <c r="H61" s="17"/>
      <c r="S61" s="17"/>
      <c r="W61" s="18"/>
      <c r="X61" s="18"/>
      <c r="Z61" s="17"/>
      <c r="AJ61" s="17"/>
      <c r="AK61" s="17"/>
      <c r="AN61" s="17"/>
      <c r="AQ61" s="17"/>
      <c r="AW61" s="19"/>
    </row>
    <row r="62" spans="1:62" ht="15.75" customHeight="1" x14ac:dyDescent="0.25"/>
    <row r="63" spans="1:62" ht="15.75" customHeight="1" x14ac:dyDescent="0.3">
      <c r="A63" s="171" t="s">
        <v>103</v>
      </c>
      <c r="H63" s="17"/>
      <c r="S63" s="17"/>
      <c r="W63" s="18"/>
      <c r="X63" s="18"/>
      <c r="Z63" s="17"/>
      <c r="AJ63" s="17"/>
      <c r="AK63" s="17"/>
      <c r="AN63" s="17"/>
      <c r="AQ63" s="17"/>
      <c r="AW63" s="19"/>
    </row>
    <row r="64" spans="1:62" ht="15.75" customHeight="1" x14ac:dyDescent="0.3">
      <c r="A64" s="172" t="s">
        <v>104</v>
      </c>
      <c r="H64" s="17"/>
      <c r="S64" s="17"/>
      <c r="W64" s="18"/>
      <c r="X64" s="18"/>
      <c r="Z64" s="17"/>
      <c r="AJ64" s="17"/>
      <c r="AK64" s="17"/>
      <c r="AN64" s="17"/>
      <c r="AQ64" s="17"/>
      <c r="AW64" s="19"/>
    </row>
    <row r="65" spans="1:49" ht="15.75" customHeight="1" x14ac:dyDescent="0.3">
      <c r="A65" s="172" t="s">
        <v>105</v>
      </c>
      <c r="H65" s="17"/>
      <c r="S65" s="17"/>
      <c r="W65" s="18"/>
      <c r="X65" s="18"/>
      <c r="Z65" s="17"/>
      <c r="AJ65" s="17"/>
      <c r="AK65" s="17"/>
      <c r="AN65" s="17"/>
      <c r="AQ65" s="17"/>
      <c r="AW65" s="19"/>
    </row>
    <row r="66" spans="1:49" ht="15.75" customHeight="1" x14ac:dyDescent="0.3">
      <c r="A66" s="172" t="s">
        <v>106</v>
      </c>
      <c r="H66" s="17"/>
      <c r="S66" s="17"/>
      <c r="W66" s="18"/>
      <c r="X66" s="18"/>
      <c r="Z66" s="17"/>
      <c r="AJ66" s="17"/>
      <c r="AK66" s="17"/>
      <c r="AN66" s="17"/>
      <c r="AQ66" s="17"/>
      <c r="AW66" s="19"/>
    </row>
    <row r="67" spans="1:49" ht="15.75" customHeight="1" x14ac:dyDescent="0.3">
      <c r="A67" s="173" t="s">
        <v>107</v>
      </c>
      <c r="H67" s="17"/>
      <c r="S67" s="17"/>
      <c r="W67" s="18"/>
      <c r="X67" s="18"/>
      <c r="Z67" s="17"/>
      <c r="AJ67" s="17"/>
      <c r="AK67" s="17"/>
      <c r="AN67" s="17"/>
      <c r="AQ67" s="17"/>
      <c r="AW67" s="19"/>
    </row>
    <row r="68" spans="1:49" ht="15.75" customHeight="1" x14ac:dyDescent="0.3">
      <c r="H68" s="17"/>
      <c r="S68" s="17"/>
      <c r="W68" s="18"/>
      <c r="X68" s="18"/>
      <c r="Z68" s="17"/>
      <c r="AJ68" s="17"/>
      <c r="AK68" s="17"/>
      <c r="AN68" s="17"/>
      <c r="AQ68" s="17"/>
      <c r="AW68" s="19"/>
    </row>
    <row r="69" spans="1:49" ht="15.75" customHeight="1" x14ac:dyDescent="0.3">
      <c r="H69" s="17"/>
      <c r="S69" s="17"/>
      <c r="W69" s="18"/>
      <c r="X69" s="18"/>
      <c r="Z69" s="17"/>
      <c r="AJ69" s="17"/>
      <c r="AK69" s="17"/>
      <c r="AN69" s="17"/>
      <c r="AQ69" s="17"/>
      <c r="AW69" s="19"/>
    </row>
    <row r="70" spans="1:49" ht="15.75" customHeight="1" x14ac:dyDescent="0.3">
      <c r="H70" s="17"/>
      <c r="S70" s="17"/>
      <c r="W70" s="18"/>
      <c r="X70" s="18"/>
      <c r="Z70" s="17"/>
      <c r="AJ70" s="17"/>
      <c r="AK70" s="17"/>
      <c r="AN70" s="17"/>
      <c r="AQ70" s="17"/>
      <c r="AW70" s="19"/>
    </row>
    <row r="71" spans="1:49" ht="15.75" customHeight="1" x14ac:dyDescent="0.3">
      <c r="H71" s="17"/>
      <c r="S71" s="17"/>
      <c r="W71" s="18"/>
      <c r="X71" s="18"/>
      <c r="Z71" s="17"/>
      <c r="AJ71" s="17"/>
      <c r="AK71" s="17"/>
      <c r="AN71" s="17"/>
      <c r="AQ71" s="17"/>
      <c r="AW71" s="19"/>
    </row>
    <row r="72" spans="1:49" ht="15.75" customHeight="1" x14ac:dyDescent="0.3">
      <c r="H72" s="17"/>
      <c r="S72" s="17"/>
      <c r="W72" s="18"/>
      <c r="X72" s="18"/>
      <c r="Z72" s="17"/>
      <c r="AJ72" s="17"/>
      <c r="AK72" s="17"/>
      <c r="AN72" s="17"/>
      <c r="AQ72" s="17"/>
      <c r="AW72" s="19"/>
    </row>
    <row r="73" spans="1:49" ht="15.75" customHeight="1" x14ac:dyDescent="0.3">
      <c r="H73" s="17"/>
      <c r="S73" s="17"/>
      <c r="W73" s="18"/>
      <c r="X73" s="18"/>
      <c r="Z73" s="17"/>
      <c r="AJ73" s="17"/>
      <c r="AK73" s="17"/>
      <c r="AN73" s="17"/>
      <c r="AQ73" s="17"/>
      <c r="AW73" s="19"/>
    </row>
    <row r="74" spans="1:49" ht="15.75" customHeight="1" x14ac:dyDescent="0.3">
      <c r="H74" s="17"/>
      <c r="S74" s="17"/>
      <c r="W74" s="18"/>
      <c r="X74" s="18"/>
      <c r="Z74" s="17"/>
      <c r="AJ74" s="17"/>
      <c r="AK74" s="17"/>
      <c r="AN74" s="17"/>
      <c r="AQ74" s="17"/>
      <c r="AW74" s="19"/>
    </row>
    <row r="75" spans="1:49" ht="15.75" customHeight="1" x14ac:dyDescent="0.3">
      <c r="H75" s="17"/>
      <c r="S75" s="17"/>
      <c r="W75" s="18"/>
      <c r="X75" s="18"/>
      <c r="Z75" s="17"/>
      <c r="AJ75" s="17"/>
      <c r="AK75" s="17"/>
      <c r="AN75" s="17"/>
      <c r="AQ75" s="17"/>
      <c r="AW75" s="19"/>
    </row>
    <row r="76" spans="1:49" ht="15.75" customHeight="1" x14ac:dyDescent="0.3">
      <c r="H76" s="17"/>
      <c r="S76" s="17"/>
      <c r="W76" s="18"/>
      <c r="X76" s="18"/>
      <c r="Z76" s="17"/>
      <c r="AJ76" s="17"/>
      <c r="AK76" s="17"/>
      <c r="AN76" s="17"/>
      <c r="AQ76" s="17"/>
      <c r="AW76" s="19"/>
    </row>
    <row r="77" spans="1:49" ht="15.75" customHeight="1" x14ac:dyDescent="0.3">
      <c r="H77" s="17"/>
      <c r="S77" s="17"/>
      <c r="W77" s="18"/>
      <c r="X77" s="18"/>
      <c r="Z77" s="17"/>
      <c r="AJ77" s="17"/>
      <c r="AK77" s="17"/>
      <c r="AN77" s="17"/>
      <c r="AQ77" s="17"/>
      <c r="AW77" s="19"/>
    </row>
    <row r="78" spans="1:49" ht="15.75" customHeight="1" x14ac:dyDescent="0.3">
      <c r="H78" s="17"/>
      <c r="S78" s="17"/>
      <c r="W78" s="18"/>
      <c r="X78" s="18"/>
      <c r="Z78" s="17"/>
      <c r="AJ78" s="17"/>
      <c r="AK78" s="17"/>
      <c r="AN78" s="17"/>
      <c r="AQ78" s="17"/>
      <c r="AW78" s="19"/>
    </row>
    <row r="79" spans="1:49" ht="15.75" customHeight="1" x14ac:dyDescent="0.3">
      <c r="H79" s="17"/>
      <c r="S79" s="17"/>
      <c r="W79" s="18"/>
      <c r="X79" s="18"/>
      <c r="Z79" s="17"/>
      <c r="AJ79" s="17"/>
      <c r="AK79" s="17"/>
      <c r="AN79" s="17"/>
      <c r="AQ79" s="17"/>
      <c r="AW79" s="19"/>
    </row>
    <row r="80" spans="1:49" ht="15.75" customHeight="1" x14ac:dyDescent="0.3">
      <c r="H80" s="17"/>
      <c r="S80" s="17"/>
      <c r="W80" s="18"/>
      <c r="X80" s="18"/>
      <c r="Z80" s="17"/>
      <c r="AJ80" s="17"/>
      <c r="AK80" s="17"/>
      <c r="AN80" s="17"/>
      <c r="AQ80" s="17"/>
      <c r="AW80" s="19"/>
    </row>
    <row r="81" spans="8:49" ht="15.75" customHeight="1" x14ac:dyDescent="0.3">
      <c r="H81" s="17"/>
      <c r="S81" s="17"/>
      <c r="W81" s="18"/>
      <c r="X81" s="18"/>
      <c r="Z81" s="17"/>
      <c r="AJ81" s="17"/>
      <c r="AK81" s="17"/>
      <c r="AN81" s="17"/>
      <c r="AQ81" s="17"/>
      <c r="AW81" s="19"/>
    </row>
    <row r="82" spans="8:49" ht="15.75" customHeight="1" x14ac:dyDescent="0.3">
      <c r="H82" s="17"/>
      <c r="S82" s="17"/>
      <c r="W82" s="18"/>
      <c r="X82" s="18"/>
      <c r="Z82" s="17"/>
      <c r="AJ82" s="17"/>
      <c r="AK82" s="17"/>
      <c r="AN82" s="17"/>
      <c r="AQ82" s="17"/>
      <c r="AW82" s="19"/>
    </row>
    <row r="83" spans="8:49" ht="15.75" customHeight="1" x14ac:dyDescent="0.3">
      <c r="H83" s="17"/>
      <c r="S83" s="17"/>
      <c r="W83" s="18"/>
      <c r="X83" s="18"/>
      <c r="Z83" s="17"/>
      <c r="AJ83" s="17"/>
      <c r="AK83" s="17"/>
      <c r="AN83" s="17"/>
      <c r="AQ83" s="17"/>
      <c r="AW83" s="19"/>
    </row>
    <row r="84" spans="8:49" ht="15.75" customHeight="1" x14ac:dyDescent="0.3">
      <c r="H84" s="17"/>
      <c r="S84" s="17"/>
      <c r="W84" s="18"/>
      <c r="X84" s="18"/>
      <c r="Z84" s="17"/>
      <c r="AJ84" s="17"/>
      <c r="AK84" s="17"/>
      <c r="AN84" s="17"/>
      <c r="AQ84" s="17"/>
      <c r="AW84" s="19"/>
    </row>
    <row r="85" spans="8:49" ht="15.75" customHeight="1" x14ac:dyDescent="0.3">
      <c r="H85" s="17"/>
      <c r="S85" s="17"/>
      <c r="W85" s="18"/>
      <c r="X85" s="18"/>
      <c r="Z85" s="17"/>
      <c r="AJ85" s="17"/>
      <c r="AK85" s="17"/>
      <c r="AN85" s="17"/>
      <c r="AQ85" s="17"/>
      <c r="AW85" s="19"/>
    </row>
    <row r="86" spans="8:49" ht="15.75" customHeight="1" x14ac:dyDescent="0.3">
      <c r="H86" s="17"/>
      <c r="S86" s="17"/>
      <c r="W86" s="18"/>
      <c r="X86" s="18"/>
      <c r="Z86" s="17"/>
      <c r="AJ86" s="17"/>
      <c r="AK86" s="17"/>
      <c r="AN86" s="17"/>
      <c r="AQ86" s="17"/>
      <c r="AW86" s="19"/>
    </row>
    <row r="87" spans="8:49" ht="15.75" customHeight="1" x14ac:dyDescent="0.3">
      <c r="H87" s="17"/>
      <c r="S87" s="17"/>
      <c r="W87" s="18"/>
      <c r="X87" s="18"/>
      <c r="Z87" s="17"/>
      <c r="AJ87" s="17"/>
      <c r="AK87" s="17"/>
      <c r="AN87" s="17"/>
      <c r="AQ87" s="17"/>
      <c r="AW87" s="19"/>
    </row>
    <row r="88" spans="8:49" ht="15.75" customHeight="1" x14ac:dyDescent="0.3">
      <c r="H88" s="17"/>
      <c r="S88" s="17"/>
      <c r="W88" s="18"/>
      <c r="X88" s="18"/>
      <c r="Z88" s="17"/>
      <c r="AJ88" s="17"/>
      <c r="AK88" s="17"/>
      <c r="AN88" s="17"/>
      <c r="AQ88" s="17"/>
      <c r="AW88" s="19"/>
    </row>
    <row r="89" spans="8:49" ht="15.75" customHeight="1" x14ac:dyDescent="0.3">
      <c r="H89" s="17"/>
      <c r="S89" s="17"/>
      <c r="W89" s="18"/>
      <c r="X89" s="18"/>
      <c r="Z89" s="17"/>
      <c r="AJ89" s="17"/>
      <c r="AK89" s="17"/>
      <c r="AN89" s="17"/>
      <c r="AQ89" s="17"/>
      <c r="AW89" s="19"/>
    </row>
    <row r="90" spans="8:49" ht="15.75" customHeight="1" x14ac:dyDescent="0.3">
      <c r="H90" s="17"/>
      <c r="S90" s="17"/>
      <c r="W90" s="18"/>
      <c r="X90" s="18"/>
      <c r="Z90" s="17"/>
      <c r="AJ90" s="17"/>
      <c r="AK90" s="17"/>
      <c r="AN90" s="17"/>
      <c r="AQ90" s="17"/>
      <c r="AW90" s="19"/>
    </row>
    <row r="91" spans="8:49" ht="15.75" customHeight="1" x14ac:dyDescent="0.3">
      <c r="H91" s="17"/>
      <c r="S91" s="17"/>
      <c r="W91" s="18"/>
      <c r="X91" s="18"/>
      <c r="Z91" s="17"/>
      <c r="AJ91" s="17"/>
      <c r="AK91" s="17"/>
      <c r="AN91" s="17"/>
      <c r="AQ91" s="17"/>
      <c r="AW91" s="19"/>
    </row>
    <row r="92" spans="8:49" ht="15.75" customHeight="1" x14ac:dyDescent="0.3">
      <c r="H92" s="17"/>
      <c r="S92" s="17"/>
      <c r="W92" s="18"/>
      <c r="X92" s="18"/>
      <c r="Z92" s="17"/>
      <c r="AJ92" s="17"/>
      <c r="AK92" s="17"/>
      <c r="AN92" s="17"/>
      <c r="AQ92" s="17"/>
      <c r="AW92" s="19"/>
    </row>
    <row r="93" spans="8:49" ht="15.75" customHeight="1" x14ac:dyDescent="0.3">
      <c r="H93" s="17"/>
      <c r="S93" s="17"/>
      <c r="W93" s="18"/>
      <c r="X93" s="18"/>
      <c r="Z93" s="17"/>
      <c r="AJ93" s="17"/>
      <c r="AK93" s="17"/>
      <c r="AN93" s="17"/>
      <c r="AQ93" s="17"/>
      <c r="AW93" s="19"/>
    </row>
    <row r="94" spans="8:49" ht="15.75" customHeight="1" x14ac:dyDescent="0.3">
      <c r="H94" s="17"/>
      <c r="S94" s="17"/>
      <c r="W94" s="18"/>
      <c r="X94" s="18"/>
      <c r="Z94" s="17"/>
      <c r="AJ94" s="17"/>
      <c r="AK94" s="17"/>
      <c r="AN94" s="17"/>
      <c r="AQ94" s="17"/>
      <c r="AW94" s="19"/>
    </row>
    <row r="95" spans="8:49" ht="15.75" customHeight="1" x14ac:dyDescent="0.3">
      <c r="H95" s="17"/>
      <c r="S95" s="17"/>
      <c r="W95" s="18"/>
      <c r="X95" s="18"/>
      <c r="Z95" s="17"/>
      <c r="AJ95" s="17"/>
      <c r="AK95" s="17"/>
      <c r="AN95" s="17"/>
      <c r="AQ95" s="17"/>
      <c r="AW95" s="19"/>
    </row>
    <row r="96" spans="8:49" ht="15.75" customHeight="1" x14ac:dyDescent="0.3">
      <c r="H96" s="17"/>
      <c r="S96" s="17"/>
      <c r="W96" s="18"/>
      <c r="X96" s="18"/>
      <c r="Z96" s="17"/>
      <c r="AJ96" s="17"/>
      <c r="AK96" s="17"/>
      <c r="AN96" s="17"/>
      <c r="AQ96" s="17"/>
      <c r="AW96" s="19"/>
    </row>
    <row r="97" spans="8:49" ht="15.75" customHeight="1" x14ac:dyDescent="0.3">
      <c r="H97" s="17"/>
      <c r="S97" s="17"/>
      <c r="W97" s="18"/>
      <c r="X97" s="18"/>
      <c r="Z97" s="17"/>
      <c r="AJ97" s="17"/>
      <c r="AK97" s="17"/>
      <c r="AN97" s="17"/>
      <c r="AQ97" s="17"/>
      <c r="AW97" s="19"/>
    </row>
    <row r="98" spans="8:49" ht="15.75" customHeight="1" x14ac:dyDescent="0.3">
      <c r="H98" s="17"/>
      <c r="S98" s="17"/>
      <c r="W98" s="18"/>
      <c r="X98" s="18"/>
      <c r="Z98" s="17"/>
      <c r="AJ98" s="17"/>
      <c r="AK98" s="17"/>
      <c r="AN98" s="17"/>
      <c r="AQ98" s="17"/>
      <c r="AW98" s="19"/>
    </row>
    <row r="99" spans="8:49" ht="15.75" customHeight="1" x14ac:dyDescent="0.3">
      <c r="H99" s="17"/>
      <c r="S99" s="17"/>
      <c r="W99" s="18"/>
      <c r="X99" s="18"/>
      <c r="Z99" s="17"/>
      <c r="AJ99" s="17"/>
      <c r="AK99" s="17"/>
      <c r="AN99" s="17"/>
      <c r="AQ99" s="17"/>
      <c r="AW99" s="19"/>
    </row>
    <row r="100" spans="8:49" ht="15.75" customHeight="1" x14ac:dyDescent="0.3">
      <c r="H100" s="17"/>
      <c r="S100" s="17"/>
      <c r="W100" s="18"/>
      <c r="X100" s="18"/>
      <c r="Z100" s="17"/>
      <c r="AJ100" s="17"/>
      <c r="AK100" s="17"/>
      <c r="AN100" s="17"/>
      <c r="AQ100" s="17"/>
      <c r="AW100" s="19"/>
    </row>
    <row r="101" spans="8:49" ht="15.75" customHeight="1" x14ac:dyDescent="0.3">
      <c r="H101" s="17"/>
      <c r="S101" s="17"/>
      <c r="W101" s="18"/>
      <c r="X101" s="18"/>
      <c r="Z101" s="17"/>
      <c r="AJ101" s="17"/>
      <c r="AK101" s="17"/>
      <c r="AN101" s="17"/>
      <c r="AQ101" s="17"/>
      <c r="AW101" s="19"/>
    </row>
    <row r="102" spans="8:49" ht="15.75" customHeight="1" x14ac:dyDescent="0.3">
      <c r="H102" s="17"/>
      <c r="S102" s="17"/>
      <c r="W102" s="18"/>
      <c r="X102" s="18"/>
      <c r="Z102" s="17"/>
      <c r="AJ102" s="17"/>
      <c r="AK102" s="17"/>
      <c r="AN102" s="17"/>
      <c r="AQ102" s="17"/>
      <c r="AW102" s="19"/>
    </row>
    <row r="103" spans="8:49" ht="15.75" customHeight="1" x14ac:dyDescent="0.3">
      <c r="H103" s="17"/>
      <c r="S103" s="17"/>
      <c r="W103" s="18"/>
      <c r="X103" s="18"/>
      <c r="Z103" s="17"/>
      <c r="AJ103" s="17"/>
      <c r="AK103" s="17"/>
      <c r="AN103" s="17"/>
      <c r="AQ103" s="17"/>
      <c r="AW103" s="19"/>
    </row>
    <row r="104" spans="8:49" ht="15.75" customHeight="1" x14ac:dyDescent="0.3">
      <c r="H104" s="17"/>
      <c r="S104" s="17"/>
      <c r="W104" s="18"/>
      <c r="X104" s="18"/>
      <c r="Z104" s="17"/>
      <c r="AJ104" s="17"/>
      <c r="AK104" s="17"/>
      <c r="AN104" s="17"/>
      <c r="AQ104" s="17"/>
      <c r="AW104" s="19"/>
    </row>
    <row r="105" spans="8:49" ht="15.75" customHeight="1" x14ac:dyDescent="0.3">
      <c r="H105" s="17"/>
      <c r="S105" s="17"/>
      <c r="W105" s="18"/>
      <c r="X105" s="18"/>
      <c r="Z105" s="17"/>
      <c r="AJ105" s="17"/>
      <c r="AK105" s="17"/>
      <c r="AN105" s="17"/>
      <c r="AQ105" s="17"/>
      <c r="AW105" s="19"/>
    </row>
    <row r="106" spans="8:49" ht="15.75" customHeight="1" x14ac:dyDescent="0.3">
      <c r="H106" s="17"/>
      <c r="S106" s="17"/>
      <c r="W106" s="18"/>
      <c r="X106" s="18"/>
      <c r="Z106" s="17"/>
      <c r="AJ106" s="17"/>
      <c r="AK106" s="17"/>
      <c r="AN106" s="17"/>
      <c r="AQ106" s="17"/>
      <c r="AW106" s="19"/>
    </row>
    <row r="107" spans="8:49" ht="15.75" customHeight="1" x14ac:dyDescent="0.3">
      <c r="H107" s="17"/>
      <c r="S107" s="17"/>
      <c r="W107" s="18"/>
      <c r="X107" s="18"/>
      <c r="Z107" s="17"/>
      <c r="AJ107" s="17"/>
      <c r="AK107" s="17"/>
      <c r="AN107" s="17"/>
      <c r="AQ107" s="17"/>
      <c r="AW107" s="19"/>
    </row>
    <row r="108" spans="8:49" ht="15.75" customHeight="1" x14ac:dyDescent="0.3">
      <c r="H108" s="17"/>
      <c r="S108" s="17"/>
      <c r="W108" s="18"/>
      <c r="X108" s="18"/>
      <c r="Z108" s="17"/>
      <c r="AJ108" s="17"/>
      <c r="AK108" s="17"/>
      <c r="AN108" s="17"/>
      <c r="AQ108" s="17"/>
      <c r="AW108" s="19"/>
    </row>
    <row r="109" spans="8:49" ht="15.75" customHeight="1" x14ac:dyDescent="0.3">
      <c r="H109" s="17"/>
      <c r="S109" s="17"/>
      <c r="W109" s="18"/>
      <c r="X109" s="18"/>
      <c r="Z109" s="17"/>
      <c r="AJ109" s="17"/>
      <c r="AK109" s="17"/>
      <c r="AN109" s="17"/>
      <c r="AQ109" s="17"/>
      <c r="AW109" s="19"/>
    </row>
    <row r="110" spans="8:49" ht="15.75" customHeight="1" x14ac:dyDescent="0.3">
      <c r="H110" s="17"/>
      <c r="S110" s="17"/>
      <c r="W110" s="18"/>
      <c r="X110" s="18"/>
      <c r="Z110" s="17"/>
      <c r="AJ110" s="17"/>
      <c r="AK110" s="17"/>
      <c r="AN110" s="17"/>
      <c r="AQ110" s="17"/>
      <c r="AW110" s="19"/>
    </row>
    <row r="111" spans="8:49" ht="15.75" customHeight="1" x14ac:dyDescent="0.3">
      <c r="H111" s="17"/>
      <c r="S111" s="17"/>
      <c r="W111" s="18"/>
      <c r="X111" s="18"/>
      <c r="Z111" s="17"/>
      <c r="AJ111" s="17"/>
      <c r="AK111" s="17"/>
      <c r="AN111" s="17"/>
      <c r="AQ111" s="17"/>
      <c r="AW111" s="19"/>
    </row>
    <row r="112" spans="8:49" ht="15.75" customHeight="1" x14ac:dyDescent="0.3">
      <c r="H112" s="17"/>
      <c r="S112" s="17"/>
      <c r="W112" s="18"/>
      <c r="X112" s="18"/>
      <c r="Z112" s="17"/>
      <c r="AJ112" s="17"/>
      <c r="AK112" s="17"/>
      <c r="AN112" s="17"/>
      <c r="AQ112" s="17"/>
      <c r="AW112" s="19"/>
    </row>
    <row r="113" spans="8:49" ht="15.75" customHeight="1" x14ac:dyDescent="0.3">
      <c r="H113" s="17"/>
      <c r="S113" s="17"/>
      <c r="W113" s="18"/>
      <c r="X113" s="18"/>
      <c r="Z113" s="17"/>
      <c r="AJ113" s="17"/>
      <c r="AK113" s="17"/>
      <c r="AN113" s="17"/>
      <c r="AQ113" s="17"/>
      <c r="AW113" s="19"/>
    </row>
    <row r="114" spans="8:49" ht="15.75" customHeight="1" x14ac:dyDescent="0.3">
      <c r="H114" s="17"/>
      <c r="S114" s="17"/>
      <c r="W114" s="18"/>
      <c r="X114" s="18"/>
      <c r="Z114" s="17"/>
      <c r="AJ114" s="17"/>
      <c r="AK114" s="17"/>
      <c r="AN114" s="17"/>
      <c r="AQ114" s="17"/>
      <c r="AW114" s="19"/>
    </row>
    <row r="115" spans="8:49" ht="15.75" customHeight="1" x14ac:dyDescent="0.3">
      <c r="H115" s="17"/>
      <c r="S115" s="17"/>
      <c r="W115" s="18"/>
      <c r="X115" s="18"/>
      <c r="Z115" s="17"/>
      <c r="AJ115" s="17"/>
      <c r="AK115" s="17"/>
      <c r="AN115" s="17"/>
      <c r="AQ115" s="17"/>
      <c r="AW115" s="19"/>
    </row>
    <row r="116" spans="8:49" ht="15.75" customHeight="1" x14ac:dyDescent="0.3">
      <c r="H116" s="17"/>
      <c r="S116" s="17"/>
      <c r="W116" s="18"/>
      <c r="X116" s="18"/>
      <c r="Z116" s="17"/>
      <c r="AJ116" s="17"/>
      <c r="AK116" s="17"/>
      <c r="AN116" s="17"/>
      <c r="AQ116" s="17"/>
      <c r="AW116" s="19"/>
    </row>
    <row r="117" spans="8:49" ht="15.75" customHeight="1" x14ac:dyDescent="0.3">
      <c r="H117" s="17"/>
      <c r="S117" s="17"/>
      <c r="W117" s="18"/>
      <c r="X117" s="18"/>
      <c r="Z117" s="17"/>
      <c r="AJ117" s="17"/>
      <c r="AK117" s="17"/>
      <c r="AN117" s="17"/>
      <c r="AQ117" s="17"/>
      <c r="AW117" s="19"/>
    </row>
    <row r="118" spans="8:49" ht="15.75" customHeight="1" x14ac:dyDescent="0.3">
      <c r="H118" s="17"/>
      <c r="S118" s="17"/>
      <c r="W118" s="18"/>
      <c r="X118" s="18"/>
      <c r="Z118" s="17"/>
      <c r="AJ118" s="17"/>
      <c r="AK118" s="17"/>
      <c r="AN118" s="17"/>
      <c r="AQ118" s="17"/>
      <c r="AW118" s="19"/>
    </row>
    <row r="119" spans="8:49" ht="15.75" customHeight="1" x14ac:dyDescent="0.3">
      <c r="H119" s="17"/>
      <c r="S119" s="17"/>
      <c r="W119" s="18"/>
      <c r="X119" s="18"/>
      <c r="Z119" s="17"/>
      <c r="AJ119" s="17"/>
      <c r="AK119" s="17"/>
      <c r="AN119" s="17"/>
      <c r="AQ119" s="17"/>
      <c r="AW119" s="19"/>
    </row>
    <row r="120" spans="8:49" ht="15.75" customHeight="1" x14ac:dyDescent="0.3">
      <c r="H120" s="17"/>
      <c r="S120" s="17"/>
      <c r="W120" s="18"/>
      <c r="X120" s="18"/>
      <c r="Z120" s="17"/>
      <c r="AJ120" s="17"/>
      <c r="AK120" s="17"/>
      <c r="AN120" s="17"/>
      <c r="AQ120" s="17"/>
      <c r="AW120" s="19"/>
    </row>
    <row r="121" spans="8:49" ht="15.75" customHeight="1" x14ac:dyDescent="0.3">
      <c r="H121" s="17"/>
      <c r="S121" s="17"/>
      <c r="W121" s="18"/>
      <c r="X121" s="18"/>
      <c r="Z121" s="17"/>
      <c r="AJ121" s="17"/>
      <c r="AK121" s="17"/>
      <c r="AN121" s="17"/>
      <c r="AQ121" s="17"/>
      <c r="AW121" s="19"/>
    </row>
    <row r="122" spans="8:49" ht="15.75" customHeight="1" x14ac:dyDescent="0.3">
      <c r="H122" s="17"/>
      <c r="S122" s="17"/>
      <c r="W122" s="18"/>
      <c r="X122" s="18"/>
      <c r="Z122" s="17"/>
      <c r="AJ122" s="17"/>
      <c r="AK122" s="17"/>
      <c r="AN122" s="17"/>
      <c r="AQ122" s="17"/>
      <c r="AW122" s="19"/>
    </row>
    <row r="123" spans="8:49" ht="15.75" customHeight="1" x14ac:dyDescent="0.3">
      <c r="H123" s="17"/>
      <c r="S123" s="17"/>
      <c r="W123" s="18"/>
      <c r="X123" s="18"/>
      <c r="Z123" s="17"/>
      <c r="AJ123" s="17"/>
      <c r="AK123" s="17"/>
      <c r="AN123" s="17"/>
      <c r="AQ123" s="17"/>
      <c r="AW123" s="19"/>
    </row>
    <row r="124" spans="8:49" ht="15.75" customHeight="1" x14ac:dyDescent="0.3">
      <c r="H124" s="17"/>
      <c r="S124" s="17"/>
      <c r="W124" s="18"/>
      <c r="X124" s="18"/>
      <c r="Z124" s="17"/>
      <c r="AJ124" s="17"/>
      <c r="AK124" s="17"/>
      <c r="AN124" s="17"/>
      <c r="AQ124" s="17"/>
      <c r="AW124" s="19"/>
    </row>
    <row r="125" spans="8:49" ht="15.75" customHeight="1" x14ac:dyDescent="0.3">
      <c r="H125" s="17"/>
      <c r="S125" s="17"/>
      <c r="W125" s="18"/>
      <c r="X125" s="18"/>
      <c r="Z125" s="17"/>
      <c r="AJ125" s="17"/>
      <c r="AK125" s="17"/>
      <c r="AN125" s="17"/>
      <c r="AQ125" s="17"/>
      <c r="AW125" s="19"/>
    </row>
    <row r="126" spans="8:49" ht="15.75" customHeight="1" x14ac:dyDescent="0.3">
      <c r="H126" s="17"/>
      <c r="S126" s="17"/>
      <c r="W126" s="18"/>
      <c r="X126" s="18"/>
      <c r="Z126" s="17"/>
      <c r="AJ126" s="17"/>
      <c r="AK126" s="17"/>
      <c r="AN126" s="17"/>
      <c r="AQ126" s="17"/>
      <c r="AW126" s="19"/>
    </row>
    <row r="127" spans="8:49" ht="15.75" customHeight="1" x14ac:dyDescent="0.3">
      <c r="H127" s="17"/>
      <c r="S127" s="17"/>
      <c r="W127" s="18"/>
      <c r="X127" s="18"/>
      <c r="Z127" s="17"/>
      <c r="AJ127" s="17"/>
      <c r="AK127" s="17"/>
      <c r="AN127" s="17"/>
      <c r="AQ127" s="17"/>
      <c r="AW127" s="19"/>
    </row>
    <row r="128" spans="8:49" ht="15.75" customHeight="1" x14ac:dyDescent="0.3">
      <c r="H128" s="17"/>
      <c r="S128" s="17"/>
      <c r="W128" s="18"/>
      <c r="X128" s="18"/>
      <c r="Z128" s="17"/>
      <c r="AJ128" s="17"/>
      <c r="AK128" s="17"/>
      <c r="AN128" s="17"/>
      <c r="AQ128" s="17"/>
      <c r="AW128" s="19"/>
    </row>
    <row r="129" spans="8:49" ht="15.75" customHeight="1" x14ac:dyDescent="0.3">
      <c r="H129" s="17"/>
      <c r="S129" s="17"/>
      <c r="W129" s="18"/>
      <c r="X129" s="18"/>
      <c r="Z129" s="17"/>
      <c r="AJ129" s="17"/>
      <c r="AK129" s="17"/>
      <c r="AN129" s="17"/>
      <c r="AQ129" s="17"/>
      <c r="AW129" s="19"/>
    </row>
    <row r="130" spans="8:49" ht="15.75" customHeight="1" x14ac:dyDescent="0.3">
      <c r="H130" s="17"/>
      <c r="S130" s="17"/>
      <c r="W130" s="18"/>
      <c r="X130" s="18"/>
      <c r="Z130" s="17"/>
      <c r="AJ130" s="17"/>
      <c r="AK130" s="17"/>
      <c r="AN130" s="17"/>
      <c r="AQ130" s="17"/>
      <c r="AW130" s="19"/>
    </row>
    <row r="131" spans="8:49" ht="15.75" customHeight="1" x14ac:dyDescent="0.3">
      <c r="H131" s="17"/>
      <c r="S131" s="17"/>
      <c r="W131" s="18"/>
      <c r="X131" s="18"/>
      <c r="Z131" s="17"/>
      <c r="AJ131" s="17"/>
      <c r="AK131" s="17"/>
      <c r="AN131" s="17"/>
      <c r="AQ131" s="17"/>
      <c r="AW131" s="19"/>
    </row>
    <row r="132" spans="8:49" ht="15.75" customHeight="1" x14ac:dyDescent="0.3">
      <c r="H132" s="17"/>
      <c r="S132" s="17"/>
      <c r="W132" s="18"/>
      <c r="X132" s="18"/>
      <c r="Z132" s="17"/>
      <c r="AJ132" s="17"/>
      <c r="AK132" s="17"/>
      <c r="AN132" s="17"/>
      <c r="AQ132" s="17"/>
      <c r="AW132" s="19"/>
    </row>
    <row r="133" spans="8:49" ht="15.75" customHeight="1" x14ac:dyDescent="0.3">
      <c r="H133" s="17"/>
      <c r="S133" s="17"/>
      <c r="W133" s="18"/>
      <c r="X133" s="18"/>
      <c r="Z133" s="17"/>
      <c r="AJ133" s="17"/>
      <c r="AK133" s="17"/>
      <c r="AN133" s="17"/>
      <c r="AQ133" s="17"/>
      <c r="AW133" s="19"/>
    </row>
    <row r="134" spans="8:49" ht="15.75" customHeight="1" x14ac:dyDescent="0.3">
      <c r="H134" s="17"/>
      <c r="S134" s="17"/>
      <c r="W134" s="18"/>
      <c r="X134" s="18"/>
      <c r="Z134" s="17"/>
      <c r="AJ134" s="17"/>
      <c r="AK134" s="17"/>
      <c r="AN134" s="17"/>
      <c r="AQ134" s="17"/>
      <c r="AW134" s="19"/>
    </row>
    <row r="135" spans="8:49" ht="15.75" customHeight="1" x14ac:dyDescent="0.3">
      <c r="H135" s="17"/>
      <c r="S135" s="17"/>
      <c r="W135" s="18"/>
      <c r="X135" s="18"/>
      <c r="Z135" s="17"/>
      <c r="AJ135" s="17"/>
      <c r="AK135" s="17"/>
      <c r="AN135" s="17"/>
      <c r="AQ135" s="17"/>
      <c r="AW135" s="19"/>
    </row>
    <row r="136" spans="8:49" ht="15.75" customHeight="1" x14ac:dyDescent="0.3">
      <c r="H136" s="17"/>
      <c r="S136" s="17"/>
      <c r="W136" s="18"/>
      <c r="X136" s="18"/>
      <c r="Z136" s="17"/>
      <c r="AJ136" s="17"/>
      <c r="AK136" s="17"/>
      <c r="AN136" s="17"/>
      <c r="AQ136" s="17"/>
      <c r="AW136" s="19"/>
    </row>
    <row r="137" spans="8:49" ht="15.75" customHeight="1" x14ac:dyDescent="0.3">
      <c r="H137" s="17"/>
      <c r="S137" s="17"/>
      <c r="W137" s="18"/>
      <c r="X137" s="18"/>
      <c r="Z137" s="17"/>
      <c r="AJ137" s="17"/>
      <c r="AK137" s="17"/>
      <c r="AN137" s="17"/>
      <c r="AQ137" s="17"/>
      <c r="AW137" s="19"/>
    </row>
    <row r="138" spans="8:49" ht="15.75" customHeight="1" x14ac:dyDescent="0.3">
      <c r="H138" s="17"/>
      <c r="S138" s="17"/>
      <c r="W138" s="18"/>
      <c r="X138" s="18"/>
      <c r="Z138" s="17"/>
      <c r="AJ138" s="17"/>
      <c r="AK138" s="17"/>
      <c r="AN138" s="17"/>
      <c r="AQ138" s="17"/>
      <c r="AW138" s="19"/>
    </row>
    <row r="139" spans="8:49" ht="15.75" customHeight="1" x14ac:dyDescent="0.3">
      <c r="H139" s="17"/>
      <c r="S139" s="17"/>
      <c r="W139" s="18"/>
      <c r="X139" s="18"/>
      <c r="Z139" s="17"/>
      <c r="AJ139" s="17"/>
      <c r="AK139" s="17"/>
      <c r="AN139" s="17"/>
      <c r="AQ139" s="17"/>
      <c r="AW139" s="19"/>
    </row>
    <row r="140" spans="8:49" ht="15.75" customHeight="1" x14ac:dyDescent="0.3">
      <c r="H140" s="17"/>
      <c r="S140" s="17"/>
      <c r="W140" s="18"/>
      <c r="X140" s="18"/>
      <c r="Z140" s="17"/>
      <c r="AJ140" s="17"/>
      <c r="AK140" s="17"/>
      <c r="AN140" s="17"/>
      <c r="AQ140" s="17"/>
      <c r="AW140" s="19"/>
    </row>
    <row r="141" spans="8:49" ht="15.75" customHeight="1" x14ac:dyDescent="0.3">
      <c r="H141" s="17"/>
      <c r="S141" s="17"/>
      <c r="W141" s="18"/>
      <c r="X141" s="18"/>
      <c r="Z141" s="17"/>
      <c r="AJ141" s="17"/>
      <c r="AK141" s="17"/>
      <c r="AN141" s="17"/>
      <c r="AQ141" s="17"/>
      <c r="AW141" s="19"/>
    </row>
    <row r="142" spans="8:49" ht="15.75" customHeight="1" x14ac:dyDescent="0.3">
      <c r="H142" s="17"/>
      <c r="S142" s="17"/>
      <c r="W142" s="18"/>
      <c r="X142" s="18"/>
      <c r="Z142" s="17"/>
      <c r="AJ142" s="17"/>
      <c r="AK142" s="17"/>
      <c r="AN142" s="17"/>
      <c r="AQ142" s="17"/>
      <c r="AW142" s="19"/>
    </row>
    <row r="143" spans="8:49" ht="15.75" customHeight="1" x14ac:dyDescent="0.3">
      <c r="H143" s="17"/>
      <c r="S143" s="17"/>
      <c r="W143" s="18"/>
      <c r="X143" s="18"/>
      <c r="Z143" s="17"/>
      <c r="AJ143" s="17"/>
      <c r="AK143" s="17"/>
      <c r="AN143" s="17"/>
      <c r="AQ143" s="17"/>
      <c r="AW143" s="19"/>
    </row>
    <row r="144" spans="8:49" ht="15.75" customHeight="1" x14ac:dyDescent="0.3">
      <c r="H144" s="17"/>
      <c r="S144" s="17"/>
      <c r="W144" s="18"/>
      <c r="X144" s="18"/>
      <c r="Z144" s="17"/>
      <c r="AJ144" s="17"/>
      <c r="AK144" s="17"/>
      <c r="AN144" s="17"/>
      <c r="AQ144" s="17"/>
      <c r="AW144" s="19"/>
    </row>
    <row r="145" spans="8:49" ht="15.75" customHeight="1" x14ac:dyDescent="0.3">
      <c r="H145" s="17"/>
      <c r="S145" s="17"/>
      <c r="W145" s="18"/>
      <c r="X145" s="18"/>
      <c r="Z145" s="17"/>
      <c r="AJ145" s="17"/>
      <c r="AK145" s="17"/>
      <c r="AN145" s="17"/>
      <c r="AQ145" s="17"/>
      <c r="AW145" s="19"/>
    </row>
    <row r="146" spans="8:49" ht="15.75" customHeight="1" x14ac:dyDescent="0.3">
      <c r="H146" s="17"/>
      <c r="S146" s="17"/>
      <c r="W146" s="18"/>
      <c r="X146" s="18"/>
      <c r="Z146" s="17"/>
      <c r="AJ146" s="17"/>
      <c r="AK146" s="17"/>
      <c r="AN146" s="17"/>
      <c r="AQ146" s="17"/>
      <c r="AW146" s="19"/>
    </row>
    <row r="147" spans="8:49" ht="15.75" customHeight="1" x14ac:dyDescent="0.3">
      <c r="H147" s="17"/>
      <c r="S147" s="17"/>
      <c r="W147" s="18"/>
      <c r="X147" s="18"/>
      <c r="Z147" s="17"/>
      <c r="AJ147" s="17"/>
      <c r="AK147" s="17"/>
      <c r="AN147" s="17"/>
      <c r="AQ147" s="17"/>
      <c r="AW147" s="19"/>
    </row>
    <row r="148" spans="8:49" ht="15.75" customHeight="1" x14ac:dyDescent="0.3">
      <c r="H148" s="17"/>
      <c r="S148" s="17"/>
      <c r="W148" s="18"/>
      <c r="X148" s="18"/>
      <c r="Z148" s="17"/>
      <c r="AJ148" s="17"/>
      <c r="AK148" s="17"/>
      <c r="AN148" s="17"/>
      <c r="AQ148" s="17"/>
      <c r="AW148" s="19"/>
    </row>
    <row r="149" spans="8:49" ht="15.75" customHeight="1" x14ac:dyDescent="0.3">
      <c r="H149" s="17"/>
      <c r="S149" s="17"/>
      <c r="W149" s="18"/>
      <c r="X149" s="18"/>
      <c r="Z149" s="17"/>
      <c r="AJ149" s="17"/>
      <c r="AK149" s="17"/>
      <c r="AN149" s="17"/>
      <c r="AQ149" s="17"/>
      <c r="AW149" s="19"/>
    </row>
    <row r="150" spans="8:49" ht="15.75" customHeight="1" x14ac:dyDescent="0.3">
      <c r="H150" s="17"/>
      <c r="S150" s="17"/>
      <c r="W150" s="18"/>
      <c r="X150" s="18"/>
      <c r="Z150" s="17"/>
      <c r="AJ150" s="17"/>
      <c r="AK150" s="17"/>
      <c r="AN150" s="17"/>
      <c r="AQ150" s="17"/>
      <c r="AW150" s="19"/>
    </row>
    <row r="151" spans="8:49" ht="15.75" customHeight="1" x14ac:dyDescent="0.3">
      <c r="H151" s="17"/>
      <c r="S151" s="17"/>
      <c r="W151" s="18"/>
      <c r="X151" s="18"/>
      <c r="Z151" s="17"/>
      <c r="AJ151" s="17"/>
      <c r="AK151" s="17"/>
      <c r="AN151" s="17"/>
      <c r="AQ151" s="17"/>
      <c r="AW151" s="19"/>
    </row>
    <row r="152" spans="8:49" ht="15.75" customHeight="1" x14ac:dyDescent="0.3">
      <c r="H152" s="17"/>
      <c r="S152" s="17"/>
      <c r="W152" s="18"/>
      <c r="X152" s="18"/>
      <c r="Z152" s="17"/>
      <c r="AJ152" s="17"/>
      <c r="AK152" s="17"/>
      <c r="AN152" s="17"/>
      <c r="AQ152" s="17"/>
      <c r="AW152" s="19"/>
    </row>
    <row r="153" spans="8:49" ht="15.75" customHeight="1" x14ac:dyDescent="0.3">
      <c r="H153" s="17"/>
      <c r="S153" s="17"/>
      <c r="W153" s="18"/>
      <c r="X153" s="18"/>
      <c r="Z153" s="17"/>
      <c r="AJ153" s="17"/>
      <c r="AK153" s="17"/>
      <c r="AN153" s="17"/>
      <c r="AQ153" s="17"/>
      <c r="AW153" s="19"/>
    </row>
    <row r="154" spans="8:49" ht="15.75" customHeight="1" x14ac:dyDescent="0.3">
      <c r="H154" s="17"/>
      <c r="S154" s="17"/>
      <c r="W154" s="18"/>
      <c r="X154" s="18"/>
      <c r="Z154" s="17"/>
      <c r="AJ154" s="17"/>
      <c r="AK154" s="17"/>
      <c r="AN154" s="17"/>
      <c r="AQ154" s="17"/>
      <c r="AW154" s="19"/>
    </row>
    <row r="155" spans="8:49" ht="15.75" customHeight="1" x14ac:dyDescent="0.3">
      <c r="H155" s="17"/>
      <c r="S155" s="17"/>
      <c r="W155" s="18"/>
      <c r="X155" s="18"/>
      <c r="Z155" s="17"/>
      <c r="AJ155" s="17"/>
      <c r="AK155" s="17"/>
      <c r="AN155" s="17"/>
      <c r="AQ155" s="17"/>
      <c r="AW155" s="19"/>
    </row>
    <row r="156" spans="8:49" ht="15.75" customHeight="1" x14ac:dyDescent="0.3">
      <c r="H156" s="17"/>
      <c r="S156" s="17"/>
      <c r="W156" s="18"/>
      <c r="X156" s="18"/>
      <c r="Z156" s="17"/>
      <c r="AJ156" s="17"/>
      <c r="AK156" s="17"/>
      <c r="AN156" s="17"/>
      <c r="AQ156" s="17"/>
      <c r="AW156" s="19"/>
    </row>
    <row r="157" spans="8:49" ht="15.75" customHeight="1" x14ac:dyDescent="0.3">
      <c r="H157" s="17"/>
      <c r="S157" s="17"/>
      <c r="W157" s="18"/>
      <c r="X157" s="18"/>
      <c r="Z157" s="17"/>
      <c r="AJ157" s="17"/>
      <c r="AK157" s="17"/>
      <c r="AN157" s="17"/>
      <c r="AQ157" s="17"/>
      <c r="AW157" s="19"/>
    </row>
    <row r="158" spans="8:49" ht="15.75" customHeight="1" x14ac:dyDescent="0.3">
      <c r="H158" s="17"/>
      <c r="S158" s="17"/>
      <c r="W158" s="18"/>
      <c r="X158" s="18"/>
      <c r="Z158" s="17"/>
      <c r="AJ158" s="17"/>
      <c r="AK158" s="17"/>
      <c r="AN158" s="17"/>
      <c r="AQ158" s="17"/>
      <c r="AW158" s="19"/>
    </row>
    <row r="159" spans="8:49" ht="15.75" customHeight="1" x14ac:dyDescent="0.3">
      <c r="H159" s="17"/>
      <c r="S159" s="17"/>
      <c r="W159" s="18"/>
      <c r="X159" s="18"/>
      <c r="Z159" s="17"/>
      <c r="AJ159" s="17"/>
      <c r="AK159" s="17"/>
      <c r="AN159" s="17"/>
      <c r="AQ159" s="17"/>
      <c r="AW159" s="19"/>
    </row>
    <row r="160" spans="8:49" ht="15.75" customHeight="1" x14ac:dyDescent="0.3">
      <c r="H160" s="17"/>
      <c r="S160" s="17"/>
      <c r="W160" s="18"/>
      <c r="X160" s="18"/>
      <c r="Z160" s="17"/>
      <c r="AJ160" s="17"/>
      <c r="AK160" s="17"/>
      <c r="AN160" s="17"/>
      <c r="AQ160" s="17"/>
      <c r="AW160" s="19"/>
    </row>
    <row r="161" spans="8:49" ht="15.75" customHeight="1" x14ac:dyDescent="0.3">
      <c r="H161" s="17"/>
      <c r="S161" s="17"/>
      <c r="W161" s="18"/>
      <c r="X161" s="18"/>
      <c r="Z161" s="17"/>
      <c r="AJ161" s="17"/>
      <c r="AK161" s="17"/>
      <c r="AN161" s="17"/>
      <c r="AQ161" s="17"/>
      <c r="AW161" s="19"/>
    </row>
    <row r="162" spans="8:49" ht="15.75" customHeight="1" x14ac:dyDescent="0.3">
      <c r="H162" s="17"/>
      <c r="S162" s="17"/>
      <c r="W162" s="18"/>
      <c r="X162" s="18"/>
      <c r="Z162" s="17"/>
      <c r="AJ162" s="17"/>
      <c r="AK162" s="17"/>
      <c r="AN162" s="17"/>
      <c r="AQ162" s="17"/>
      <c r="AW162" s="19"/>
    </row>
    <row r="163" spans="8:49" ht="15.75" customHeight="1" x14ac:dyDescent="0.3">
      <c r="H163" s="17"/>
      <c r="S163" s="17"/>
      <c r="W163" s="18"/>
      <c r="X163" s="18"/>
      <c r="Z163" s="17"/>
      <c r="AJ163" s="17"/>
      <c r="AK163" s="17"/>
      <c r="AN163" s="17"/>
      <c r="AQ163" s="17"/>
      <c r="AW163" s="19"/>
    </row>
    <row r="164" spans="8:49" ht="15.75" customHeight="1" x14ac:dyDescent="0.3">
      <c r="H164" s="17"/>
      <c r="S164" s="17"/>
      <c r="W164" s="18"/>
      <c r="X164" s="18"/>
      <c r="Z164" s="17"/>
      <c r="AJ164" s="17"/>
      <c r="AK164" s="17"/>
      <c r="AN164" s="17"/>
      <c r="AQ164" s="17"/>
      <c r="AW164" s="19"/>
    </row>
    <row r="165" spans="8:49" ht="15.75" customHeight="1" x14ac:dyDescent="0.3">
      <c r="H165" s="17"/>
      <c r="S165" s="17"/>
      <c r="W165" s="18"/>
      <c r="X165" s="18"/>
      <c r="Z165" s="17"/>
      <c r="AJ165" s="17"/>
      <c r="AK165" s="17"/>
      <c r="AN165" s="17"/>
      <c r="AQ165" s="17"/>
      <c r="AW165" s="19"/>
    </row>
    <row r="166" spans="8:49" ht="15.75" customHeight="1" x14ac:dyDescent="0.3">
      <c r="H166" s="17"/>
      <c r="S166" s="17"/>
      <c r="W166" s="18"/>
      <c r="X166" s="18"/>
      <c r="Z166" s="17"/>
      <c r="AJ166" s="17"/>
      <c r="AK166" s="17"/>
      <c r="AN166" s="17"/>
      <c r="AQ166" s="17"/>
      <c r="AW166" s="19"/>
    </row>
    <row r="167" spans="8:49" ht="15.75" customHeight="1" x14ac:dyDescent="0.3">
      <c r="H167" s="17"/>
      <c r="S167" s="17"/>
      <c r="W167" s="18"/>
      <c r="X167" s="18"/>
      <c r="Z167" s="17"/>
      <c r="AJ167" s="17"/>
      <c r="AK167" s="17"/>
      <c r="AN167" s="17"/>
      <c r="AQ167" s="17"/>
      <c r="AW167" s="19"/>
    </row>
    <row r="168" spans="8:49" ht="15.75" customHeight="1" x14ac:dyDescent="0.3">
      <c r="H168" s="17"/>
      <c r="S168" s="17"/>
      <c r="W168" s="18"/>
      <c r="X168" s="18"/>
      <c r="Z168" s="17"/>
      <c r="AJ168" s="17"/>
      <c r="AK168" s="17"/>
      <c r="AN168" s="17"/>
      <c r="AQ168" s="17"/>
      <c r="AW168" s="19"/>
    </row>
    <row r="169" spans="8:49" ht="15.75" customHeight="1" x14ac:dyDescent="0.3">
      <c r="H169" s="17"/>
      <c r="S169" s="17"/>
      <c r="W169" s="18"/>
      <c r="X169" s="18"/>
      <c r="Z169" s="17"/>
      <c r="AJ169" s="17"/>
      <c r="AK169" s="17"/>
      <c r="AN169" s="17"/>
      <c r="AQ169" s="17"/>
      <c r="AW169" s="19"/>
    </row>
    <row r="170" spans="8:49" ht="15.75" customHeight="1" x14ac:dyDescent="0.3">
      <c r="H170" s="17"/>
      <c r="S170" s="17"/>
      <c r="W170" s="18"/>
      <c r="X170" s="18"/>
      <c r="Z170" s="17"/>
      <c r="AJ170" s="17"/>
      <c r="AK170" s="17"/>
      <c r="AN170" s="17"/>
      <c r="AQ170" s="17"/>
      <c r="AW170" s="19"/>
    </row>
    <row r="171" spans="8:49" ht="15.75" customHeight="1" x14ac:dyDescent="0.3">
      <c r="H171" s="17"/>
      <c r="S171" s="17"/>
      <c r="W171" s="18"/>
      <c r="X171" s="18"/>
      <c r="Z171" s="17"/>
      <c r="AJ171" s="17"/>
      <c r="AK171" s="17"/>
      <c r="AN171" s="17"/>
      <c r="AQ171" s="17"/>
      <c r="AW171" s="19"/>
    </row>
    <row r="172" spans="8:49" ht="15.75" customHeight="1" x14ac:dyDescent="0.3">
      <c r="H172" s="17"/>
      <c r="S172" s="17"/>
      <c r="W172" s="18"/>
      <c r="X172" s="18"/>
      <c r="Z172" s="17"/>
      <c r="AJ172" s="17"/>
      <c r="AK172" s="17"/>
      <c r="AN172" s="17"/>
      <c r="AQ172" s="17"/>
      <c r="AW172" s="19"/>
    </row>
    <row r="173" spans="8:49" ht="15.75" customHeight="1" x14ac:dyDescent="0.3">
      <c r="H173" s="17"/>
      <c r="S173" s="17"/>
      <c r="W173" s="18"/>
      <c r="X173" s="18"/>
      <c r="Z173" s="17"/>
      <c r="AJ173" s="17"/>
      <c r="AK173" s="17"/>
      <c r="AN173" s="17"/>
      <c r="AQ173" s="17"/>
      <c r="AW173" s="19"/>
    </row>
    <row r="174" spans="8:49" ht="15.75" customHeight="1" x14ac:dyDescent="0.3">
      <c r="H174" s="17"/>
      <c r="S174" s="17"/>
      <c r="W174" s="18"/>
      <c r="X174" s="18"/>
      <c r="Z174" s="17"/>
      <c r="AJ174" s="17"/>
      <c r="AK174" s="17"/>
      <c r="AN174" s="17"/>
      <c r="AQ174" s="17"/>
      <c r="AW174" s="19"/>
    </row>
    <row r="175" spans="8:49" ht="15.75" customHeight="1" x14ac:dyDescent="0.3">
      <c r="H175" s="17"/>
      <c r="S175" s="17"/>
      <c r="W175" s="18"/>
      <c r="X175" s="18"/>
      <c r="Z175" s="17"/>
      <c r="AJ175" s="17"/>
      <c r="AK175" s="17"/>
      <c r="AN175" s="17"/>
      <c r="AQ175" s="17"/>
      <c r="AW175" s="19"/>
    </row>
    <row r="176" spans="8:49" ht="15.75" customHeight="1" x14ac:dyDescent="0.3">
      <c r="H176" s="17"/>
      <c r="S176" s="17"/>
      <c r="W176" s="18"/>
      <c r="X176" s="18"/>
      <c r="Z176" s="17"/>
      <c r="AJ176" s="17"/>
      <c r="AK176" s="17"/>
      <c r="AN176" s="17"/>
      <c r="AQ176" s="17"/>
      <c r="AW176" s="19"/>
    </row>
    <row r="177" spans="8:49" ht="15.75" customHeight="1" x14ac:dyDescent="0.3">
      <c r="H177" s="17"/>
      <c r="S177" s="17"/>
      <c r="W177" s="18"/>
      <c r="X177" s="18"/>
      <c r="Z177" s="17"/>
      <c r="AJ177" s="17"/>
      <c r="AK177" s="17"/>
      <c r="AN177" s="17"/>
      <c r="AQ177" s="17"/>
      <c r="AW177" s="19"/>
    </row>
    <row r="178" spans="8:49" ht="15.75" customHeight="1" x14ac:dyDescent="0.3">
      <c r="H178" s="17"/>
      <c r="S178" s="17"/>
      <c r="W178" s="18"/>
      <c r="X178" s="18"/>
      <c r="Z178" s="17"/>
      <c r="AJ178" s="17"/>
      <c r="AK178" s="17"/>
      <c r="AN178" s="17"/>
      <c r="AQ178" s="17"/>
      <c r="AW178" s="19"/>
    </row>
    <row r="179" spans="8:49" ht="15.75" customHeight="1" x14ac:dyDescent="0.3">
      <c r="H179" s="17"/>
      <c r="S179" s="17"/>
      <c r="W179" s="18"/>
      <c r="X179" s="18"/>
      <c r="Z179" s="17"/>
      <c r="AJ179" s="17"/>
      <c r="AK179" s="17"/>
      <c r="AN179" s="17"/>
      <c r="AQ179" s="17"/>
      <c r="AW179" s="19"/>
    </row>
    <row r="180" spans="8:49" ht="15.75" customHeight="1" x14ac:dyDescent="0.3">
      <c r="H180" s="17"/>
      <c r="S180" s="17"/>
      <c r="W180" s="18"/>
      <c r="X180" s="18"/>
      <c r="Z180" s="17"/>
      <c r="AJ180" s="17"/>
      <c r="AK180" s="17"/>
      <c r="AN180" s="17"/>
      <c r="AQ180" s="17"/>
      <c r="AW180" s="19"/>
    </row>
    <row r="181" spans="8:49" ht="15.75" customHeight="1" x14ac:dyDescent="0.3">
      <c r="H181" s="17"/>
      <c r="S181" s="17"/>
      <c r="W181" s="18"/>
      <c r="X181" s="18"/>
      <c r="Z181" s="17"/>
      <c r="AJ181" s="17"/>
      <c r="AK181" s="17"/>
      <c r="AN181" s="17"/>
      <c r="AQ181" s="17"/>
      <c r="AW181" s="19"/>
    </row>
    <row r="182" spans="8:49" ht="15.75" customHeight="1" x14ac:dyDescent="0.3">
      <c r="H182" s="17"/>
      <c r="S182" s="17"/>
      <c r="W182" s="18"/>
      <c r="X182" s="18"/>
      <c r="Z182" s="17"/>
      <c r="AJ182" s="17"/>
      <c r="AK182" s="17"/>
      <c r="AN182" s="17"/>
      <c r="AQ182" s="17"/>
      <c r="AW182" s="19"/>
    </row>
    <row r="183" spans="8:49" ht="15.75" customHeight="1" x14ac:dyDescent="0.3">
      <c r="H183" s="17"/>
      <c r="S183" s="17"/>
      <c r="W183" s="18"/>
      <c r="X183" s="18"/>
      <c r="Z183" s="17"/>
      <c r="AJ183" s="17"/>
      <c r="AK183" s="17"/>
      <c r="AN183" s="17"/>
      <c r="AQ183" s="17"/>
      <c r="AW183" s="19"/>
    </row>
    <row r="184" spans="8:49" ht="15.75" customHeight="1" x14ac:dyDescent="0.3">
      <c r="H184" s="17"/>
      <c r="S184" s="17"/>
      <c r="W184" s="18"/>
      <c r="X184" s="18"/>
      <c r="Z184" s="17"/>
      <c r="AJ184" s="17"/>
      <c r="AK184" s="17"/>
      <c r="AN184" s="17"/>
      <c r="AQ184" s="17"/>
      <c r="AW184" s="19"/>
    </row>
    <row r="185" spans="8:49" ht="15.75" customHeight="1" x14ac:dyDescent="0.3">
      <c r="H185" s="17"/>
      <c r="S185" s="17"/>
      <c r="W185" s="18"/>
      <c r="X185" s="18"/>
      <c r="Z185" s="17"/>
      <c r="AJ185" s="17"/>
      <c r="AK185" s="17"/>
      <c r="AN185" s="17"/>
      <c r="AQ185" s="17"/>
      <c r="AW185" s="19"/>
    </row>
    <row r="186" spans="8:49" ht="15.75" customHeight="1" x14ac:dyDescent="0.3">
      <c r="H186" s="17"/>
      <c r="S186" s="17"/>
      <c r="W186" s="18"/>
      <c r="X186" s="18"/>
      <c r="Z186" s="17"/>
      <c r="AJ186" s="17"/>
      <c r="AK186" s="17"/>
      <c r="AN186" s="17"/>
      <c r="AQ186" s="17"/>
      <c r="AW186" s="19"/>
    </row>
    <row r="187" spans="8:49" ht="15.75" customHeight="1" x14ac:dyDescent="0.3">
      <c r="H187" s="17"/>
      <c r="S187" s="17"/>
      <c r="W187" s="18"/>
      <c r="X187" s="18"/>
      <c r="Z187" s="17"/>
      <c r="AJ187" s="17"/>
      <c r="AK187" s="17"/>
      <c r="AN187" s="17"/>
      <c r="AQ187" s="17"/>
      <c r="AW187" s="19"/>
    </row>
    <row r="188" spans="8:49" ht="15.75" customHeight="1" x14ac:dyDescent="0.3">
      <c r="H188" s="17"/>
      <c r="S188" s="17"/>
      <c r="W188" s="18"/>
      <c r="X188" s="18"/>
      <c r="Z188" s="17"/>
      <c r="AJ188" s="17"/>
      <c r="AK188" s="17"/>
      <c r="AN188" s="17"/>
      <c r="AQ188" s="17"/>
      <c r="AW188" s="19"/>
    </row>
    <row r="189" spans="8:49" ht="15.75" customHeight="1" x14ac:dyDescent="0.3">
      <c r="H189" s="17"/>
      <c r="S189" s="17"/>
      <c r="W189" s="18"/>
      <c r="X189" s="18"/>
      <c r="Z189" s="17"/>
      <c r="AJ189" s="17"/>
      <c r="AK189" s="17"/>
      <c r="AN189" s="17"/>
      <c r="AQ189" s="17"/>
      <c r="AW189" s="19"/>
    </row>
    <row r="190" spans="8:49" ht="15.75" customHeight="1" x14ac:dyDescent="0.3">
      <c r="H190" s="17"/>
      <c r="S190" s="17"/>
      <c r="W190" s="18"/>
      <c r="X190" s="18"/>
      <c r="Z190" s="17"/>
      <c r="AJ190" s="17"/>
      <c r="AK190" s="17"/>
      <c r="AN190" s="17"/>
      <c r="AQ190" s="17"/>
      <c r="AW190" s="19"/>
    </row>
    <row r="191" spans="8:49" ht="15.75" customHeight="1" x14ac:dyDescent="0.3">
      <c r="H191" s="17"/>
      <c r="S191" s="17"/>
      <c r="W191" s="18"/>
      <c r="X191" s="18"/>
      <c r="Z191" s="17"/>
      <c r="AJ191" s="17"/>
      <c r="AK191" s="17"/>
      <c r="AN191" s="17"/>
      <c r="AQ191" s="17"/>
      <c r="AW191" s="19"/>
    </row>
    <row r="192" spans="8:49" ht="15.75" customHeight="1" x14ac:dyDescent="0.3">
      <c r="H192" s="17"/>
      <c r="S192" s="17"/>
      <c r="W192" s="18"/>
      <c r="X192" s="18"/>
      <c r="Z192" s="17"/>
      <c r="AJ192" s="17"/>
      <c r="AK192" s="17"/>
      <c r="AN192" s="17"/>
      <c r="AQ192" s="17"/>
      <c r="AW192" s="19"/>
    </row>
    <row r="193" spans="8:49" ht="15.75" customHeight="1" x14ac:dyDescent="0.3">
      <c r="H193" s="17"/>
      <c r="S193" s="17"/>
      <c r="W193" s="18"/>
      <c r="X193" s="18"/>
      <c r="Z193" s="17"/>
      <c r="AJ193" s="17"/>
      <c r="AK193" s="17"/>
      <c r="AN193" s="17"/>
      <c r="AQ193" s="17"/>
      <c r="AW193" s="19"/>
    </row>
    <row r="194" spans="8:49" ht="15.75" customHeight="1" x14ac:dyDescent="0.3">
      <c r="H194" s="17"/>
      <c r="S194" s="17"/>
      <c r="W194" s="18"/>
      <c r="X194" s="18"/>
      <c r="Z194" s="17"/>
      <c r="AJ194" s="17"/>
      <c r="AK194" s="17"/>
      <c r="AN194" s="17"/>
      <c r="AQ194" s="17"/>
      <c r="AW194" s="19"/>
    </row>
    <row r="195" spans="8:49" ht="15.75" customHeight="1" x14ac:dyDescent="0.3">
      <c r="H195" s="17"/>
      <c r="S195" s="17"/>
      <c r="W195" s="18"/>
      <c r="X195" s="18"/>
      <c r="Z195" s="17"/>
      <c r="AJ195" s="17"/>
      <c r="AK195" s="17"/>
      <c r="AN195" s="17"/>
      <c r="AQ195" s="17"/>
      <c r="AW195" s="19"/>
    </row>
    <row r="196" spans="8:49" ht="15.75" customHeight="1" x14ac:dyDescent="0.3">
      <c r="H196" s="17"/>
      <c r="S196" s="17"/>
      <c r="W196" s="18"/>
      <c r="X196" s="18"/>
      <c r="Z196" s="17"/>
      <c r="AJ196" s="17"/>
      <c r="AK196" s="17"/>
      <c r="AN196" s="17"/>
      <c r="AQ196" s="17"/>
      <c r="AW196" s="19"/>
    </row>
    <row r="197" spans="8:49" ht="15.75" customHeight="1" x14ac:dyDescent="0.3">
      <c r="H197" s="17"/>
      <c r="S197" s="17"/>
      <c r="W197" s="18"/>
      <c r="X197" s="18"/>
      <c r="Z197" s="17"/>
      <c r="AJ197" s="17"/>
      <c r="AK197" s="17"/>
      <c r="AN197" s="17"/>
      <c r="AQ197" s="17"/>
      <c r="AW197" s="19"/>
    </row>
    <row r="198" spans="8:49" ht="15.75" customHeight="1" x14ac:dyDescent="0.3">
      <c r="H198" s="17"/>
      <c r="S198" s="17"/>
      <c r="W198" s="18"/>
      <c r="X198" s="18"/>
      <c r="Z198" s="17"/>
      <c r="AJ198" s="17"/>
      <c r="AK198" s="17"/>
      <c r="AN198" s="17"/>
      <c r="AQ198" s="17"/>
      <c r="AW198" s="19"/>
    </row>
    <row r="199" spans="8:49" ht="15.75" customHeight="1" x14ac:dyDescent="0.3">
      <c r="H199" s="17"/>
      <c r="S199" s="17"/>
      <c r="W199" s="18"/>
      <c r="X199" s="18"/>
      <c r="Z199" s="17"/>
      <c r="AJ199" s="17"/>
      <c r="AK199" s="17"/>
      <c r="AN199" s="17"/>
      <c r="AQ199" s="17"/>
      <c r="AW199" s="19"/>
    </row>
    <row r="200" spans="8:49" ht="15.75" customHeight="1" x14ac:dyDescent="0.3">
      <c r="H200" s="17"/>
      <c r="S200" s="17"/>
      <c r="W200" s="18"/>
      <c r="X200" s="18"/>
      <c r="Z200" s="17"/>
      <c r="AJ200" s="17"/>
      <c r="AK200" s="17"/>
      <c r="AN200" s="17"/>
      <c r="AQ200" s="17"/>
      <c r="AW200" s="19"/>
    </row>
    <row r="201" spans="8:49" ht="15.75" customHeight="1" x14ac:dyDescent="0.3">
      <c r="H201" s="17"/>
      <c r="S201" s="17"/>
      <c r="W201" s="18"/>
      <c r="X201" s="18"/>
      <c r="Z201" s="17"/>
      <c r="AJ201" s="17"/>
      <c r="AK201" s="17"/>
      <c r="AN201" s="17"/>
      <c r="AQ201" s="17"/>
      <c r="AW201" s="19"/>
    </row>
    <row r="202" spans="8:49" ht="15.75" customHeight="1" x14ac:dyDescent="0.3">
      <c r="H202" s="17"/>
      <c r="S202" s="17"/>
      <c r="W202" s="18"/>
      <c r="X202" s="18"/>
      <c r="Z202" s="17"/>
      <c r="AJ202" s="17"/>
      <c r="AK202" s="17"/>
      <c r="AN202" s="17"/>
      <c r="AQ202" s="17"/>
      <c r="AW202" s="19"/>
    </row>
    <row r="203" spans="8:49" ht="15.75" customHeight="1" x14ac:dyDescent="0.3">
      <c r="H203" s="17"/>
      <c r="S203" s="17"/>
      <c r="W203" s="18"/>
      <c r="X203" s="18"/>
      <c r="Z203" s="17"/>
      <c r="AJ203" s="17"/>
      <c r="AK203" s="17"/>
      <c r="AN203" s="17"/>
      <c r="AQ203" s="17"/>
      <c r="AW203" s="19"/>
    </row>
    <row r="204" spans="8:49" ht="15.75" customHeight="1" x14ac:dyDescent="0.3">
      <c r="H204" s="17"/>
      <c r="S204" s="17"/>
      <c r="W204" s="18"/>
      <c r="X204" s="18"/>
      <c r="Z204" s="17"/>
      <c r="AJ204" s="17"/>
      <c r="AK204" s="17"/>
      <c r="AN204" s="17"/>
      <c r="AQ204" s="17"/>
      <c r="AW204" s="19"/>
    </row>
    <row r="205" spans="8:49" ht="15.75" customHeight="1" x14ac:dyDescent="0.3">
      <c r="H205" s="17"/>
      <c r="S205" s="17"/>
      <c r="W205" s="18"/>
      <c r="X205" s="18"/>
      <c r="Z205" s="17"/>
      <c r="AJ205" s="17"/>
      <c r="AK205" s="17"/>
      <c r="AN205" s="17"/>
      <c r="AQ205" s="17"/>
      <c r="AW205" s="19"/>
    </row>
    <row r="206" spans="8:49" ht="15.75" customHeight="1" x14ac:dyDescent="0.3">
      <c r="H206" s="17"/>
      <c r="S206" s="17"/>
      <c r="W206" s="18"/>
      <c r="X206" s="18"/>
      <c r="Z206" s="17"/>
      <c r="AJ206" s="17"/>
      <c r="AK206" s="17"/>
      <c r="AN206" s="17"/>
      <c r="AQ206" s="17"/>
      <c r="AW206" s="19"/>
    </row>
    <row r="207" spans="8:49" ht="15.75" customHeight="1" x14ac:dyDescent="0.3">
      <c r="H207" s="17"/>
      <c r="S207" s="17"/>
      <c r="W207" s="18"/>
      <c r="X207" s="18"/>
      <c r="Z207" s="17"/>
      <c r="AJ207" s="17"/>
      <c r="AK207" s="17"/>
      <c r="AN207" s="17"/>
      <c r="AQ207" s="17"/>
      <c r="AW207" s="19"/>
    </row>
    <row r="208" spans="8:49" ht="15.75" customHeight="1" x14ac:dyDescent="0.3">
      <c r="H208" s="17"/>
      <c r="S208" s="17"/>
      <c r="W208" s="18"/>
      <c r="X208" s="18"/>
      <c r="Z208" s="17"/>
      <c r="AJ208" s="17"/>
      <c r="AK208" s="17"/>
      <c r="AN208" s="17"/>
      <c r="AQ208" s="17"/>
      <c r="AW208" s="19"/>
    </row>
    <row r="209" spans="8:49" ht="15.75" customHeight="1" x14ac:dyDescent="0.3">
      <c r="H209" s="17"/>
      <c r="S209" s="17"/>
      <c r="W209" s="18"/>
      <c r="X209" s="18"/>
      <c r="Z209" s="17"/>
      <c r="AJ209" s="17"/>
      <c r="AK209" s="17"/>
      <c r="AN209" s="17"/>
      <c r="AQ209" s="17"/>
      <c r="AW209" s="19"/>
    </row>
    <row r="210" spans="8:49" ht="15.75" customHeight="1" x14ac:dyDescent="0.3">
      <c r="H210" s="17"/>
      <c r="S210" s="17"/>
      <c r="W210" s="18"/>
      <c r="X210" s="18"/>
      <c r="Z210" s="17"/>
      <c r="AJ210" s="17"/>
      <c r="AK210" s="17"/>
      <c r="AN210" s="17"/>
      <c r="AQ210" s="17"/>
      <c r="AW210" s="19"/>
    </row>
    <row r="211" spans="8:49" ht="15.75" customHeight="1" x14ac:dyDescent="0.3">
      <c r="H211" s="17"/>
      <c r="S211" s="17"/>
      <c r="W211" s="18"/>
      <c r="X211" s="18"/>
      <c r="Z211" s="17"/>
      <c r="AJ211" s="17"/>
      <c r="AK211" s="17"/>
      <c r="AN211" s="17"/>
      <c r="AQ211" s="17"/>
      <c r="AW211" s="19"/>
    </row>
    <row r="212" spans="8:49" ht="15.75" customHeight="1" x14ac:dyDescent="0.3">
      <c r="H212" s="17"/>
      <c r="S212" s="17"/>
      <c r="W212" s="18"/>
      <c r="X212" s="18"/>
      <c r="Z212" s="17"/>
      <c r="AJ212" s="17"/>
      <c r="AK212" s="17"/>
      <c r="AN212" s="17"/>
      <c r="AQ212" s="17"/>
      <c r="AW212" s="19"/>
    </row>
    <row r="213" spans="8:49" ht="15.75" customHeight="1" x14ac:dyDescent="0.3">
      <c r="H213" s="17"/>
      <c r="S213" s="17"/>
      <c r="W213" s="18"/>
      <c r="X213" s="18"/>
      <c r="Z213" s="17"/>
      <c r="AJ213" s="17"/>
      <c r="AK213" s="17"/>
      <c r="AN213" s="17"/>
      <c r="AQ213" s="17"/>
      <c r="AW213" s="19"/>
    </row>
    <row r="214" spans="8:49" ht="15.75" customHeight="1" x14ac:dyDescent="0.3">
      <c r="H214" s="17"/>
      <c r="S214" s="17"/>
      <c r="W214" s="18"/>
      <c r="X214" s="18"/>
      <c r="Z214" s="17"/>
      <c r="AJ214" s="17"/>
      <c r="AK214" s="17"/>
      <c r="AN214" s="17"/>
      <c r="AQ214" s="17"/>
      <c r="AW214" s="19"/>
    </row>
    <row r="215" spans="8:49" ht="15.75" customHeight="1" x14ac:dyDescent="0.3">
      <c r="H215" s="17"/>
      <c r="S215" s="17"/>
      <c r="W215" s="18"/>
      <c r="X215" s="18"/>
      <c r="Z215" s="17"/>
      <c r="AJ215" s="17"/>
      <c r="AK215" s="17"/>
      <c r="AN215" s="17"/>
      <c r="AQ215" s="17"/>
      <c r="AW215" s="19"/>
    </row>
    <row r="216" spans="8:49" ht="15.75" customHeight="1" x14ac:dyDescent="0.3">
      <c r="H216" s="17"/>
      <c r="S216" s="17"/>
      <c r="W216" s="18"/>
      <c r="X216" s="18"/>
      <c r="Z216" s="17"/>
      <c r="AJ216" s="17"/>
      <c r="AK216" s="17"/>
      <c r="AN216" s="17"/>
      <c r="AQ216" s="17"/>
      <c r="AW216" s="19"/>
    </row>
    <row r="217" spans="8:49" ht="15.75" customHeight="1" x14ac:dyDescent="0.3">
      <c r="H217" s="17"/>
      <c r="S217" s="17"/>
      <c r="W217" s="18"/>
      <c r="X217" s="18"/>
      <c r="Z217" s="17"/>
      <c r="AJ217" s="17"/>
      <c r="AK217" s="17"/>
      <c r="AN217" s="17"/>
      <c r="AQ217" s="17"/>
      <c r="AW217" s="19"/>
    </row>
    <row r="218" spans="8:49" ht="15.75" customHeight="1" x14ac:dyDescent="0.3">
      <c r="H218" s="17"/>
      <c r="S218" s="17"/>
      <c r="W218" s="18"/>
      <c r="X218" s="18"/>
      <c r="Z218" s="17"/>
      <c r="AJ218" s="17"/>
      <c r="AK218" s="17"/>
      <c r="AN218" s="17"/>
      <c r="AQ218" s="17"/>
      <c r="AW218" s="19"/>
    </row>
    <row r="219" spans="8:49" ht="15.75" customHeight="1" x14ac:dyDescent="0.3">
      <c r="H219" s="17"/>
      <c r="S219" s="17"/>
      <c r="W219" s="18"/>
      <c r="X219" s="18"/>
      <c r="Z219" s="17"/>
      <c r="AJ219" s="17"/>
      <c r="AK219" s="17"/>
      <c r="AN219" s="17"/>
      <c r="AQ219" s="17"/>
      <c r="AW219" s="19"/>
    </row>
    <row r="220" spans="8:49" ht="15.75" customHeight="1" x14ac:dyDescent="0.3">
      <c r="H220" s="17"/>
      <c r="S220" s="17"/>
      <c r="W220" s="18"/>
      <c r="X220" s="18"/>
      <c r="Z220" s="17"/>
      <c r="AJ220" s="17"/>
      <c r="AK220" s="17"/>
      <c r="AN220" s="17"/>
      <c r="AQ220" s="17"/>
      <c r="AW220" s="19"/>
    </row>
    <row r="221" spans="8:49" ht="15.75" customHeight="1" x14ac:dyDescent="0.3">
      <c r="H221" s="17"/>
      <c r="S221" s="17"/>
      <c r="W221" s="18"/>
      <c r="X221" s="18"/>
      <c r="Z221" s="17"/>
      <c r="AJ221" s="17"/>
      <c r="AK221" s="17"/>
      <c r="AN221" s="17"/>
      <c r="AQ221" s="17"/>
      <c r="AW221" s="19"/>
    </row>
    <row r="222" spans="8:49" ht="15.75" customHeight="1" x14ac:dyDescent="0.3">
      <c r="H222" s="17"/>
      <c r="S222" s="17"/>
      <c r="W222" s="18"/>
      <c r="X222" s="18"/>
      <c r="Z222" s="17"/>
      <c r="AJ222" s="17"/>
      <c r="AK222" s="17"/>
      <c r="AN222" s="17"/>
      <c r="AQ222" s="17"/>
      <c r="AW222" s="19"/>
    </row>
    <row r="223" spans="8:49" ht="15.75" customHeight="1" x14ac:dyDescent="0.3">
      <c r="H223" s="17"/>
      <c r="S223" s="17"/>
      <c r="W223" s="18"/>
      <c r="X223" s="18"/>
      <c r="Z223" s="17"/>
      <c r="AJ223" s="17"/>
      <c r="AK223" s="17"/>
      <c r="AN223" s="17"/>
      <c r="AQ223" s="17"/>
      <c r="AW223" s="19"/>
    </row>
    <row r="224" spans="8:49" ht="15.75" customHeight="1" x14ac:dyDescent="0.3">
      <c r="H224" s="17"/>
      <c r="S224" s="17"/>
      <c r="W224" s="18"/>
      <c r="X224" s="18"/>
      <c r="Z224" s="17"/>
      <c r="AJ224" s="17"/>
      <c r="AK224" s="17"/>
      <c r="AN224" s="17"/>
      <c r="AQ224" s="17"/>
      <c r="AW224" s="19"/>
    </row>
    <row r="225" spans="8:49" ht="15.75" customHeight="1" x14ac:dyDescent="0.3">
      <c r="H225" s="17"/>
      <c r="S225" s="17"/>
      <c r="W225" s="18"/>
      <c r="X225" s="18"/>
      <c r="Z225" s="17"/>
      <c r="AJ225" s="17"/>
      <c r="AK225" s="17"/>
      <c r="AN225" s="17"/>
      <c r="AQ225" s="17"/>
      <c r="AW225" s="19"/>
    </row>
    <row r="226" spans="8:49" ht="15.75" customHeight="1" x14ac:dyDescent="0.3">
      <c r="H226" s="17"/>
      <c r="S226" s="17"/>
      <c r="W226" s="18"/>
      <c r="X226" s="18"/>
      <c r="Z226" s="17"/>
      <c r="AJ226" s="17"/>
      <c r="AK226" s="17"/>
      <c r="AN226" s="17"/>
      <c r="AQ226" s="17"/>
      <c r="AW226" s="19"/>
    </row>
    <row r="227" spans="8:49" ht="15.75" customHeight="1" x14ac:dyDescent="0.3">
      <c r="H227" s="17"/>
      <c r="S227" s="17"/>
      <c r="W227" s="18"/>
      <c r="X227" s="18"/>
      <c r="Z227" s="17"/>
      <c r="AJ227" s="17"/>
      <c r="AK227" s="17"/>
      <c r="AN227" s="17"/>
      <c r="AQ227" s="17"/>
      <c r="AW227" s="19"/>
    </row>
    <row r="228" spans="8:49" ht="15.75" customHeight="1" x14ac:dyDescent="0.3">
      <c r="H228" s="17"/>
      <c r="S228" s="17"/>
      <c r="W228" s="18"/>
      <c r="X228" s="18"/>
      <c r="Z228" s="17"/>
      <c r="AJ228" s="17"/>
      <c r="AK228" s="17"/>
      <c r="AN228" s="17"/>
      <c r="AQ228" s="17"/>
      <c r="AW228" s="19"/>
    </row>
    <row r="229" spans="8:49" ht="15.75" customHeight="1" x14ac:dyDescent="0.3">
      <c r="H229" s="17"/>
      <c r="S229" s="17"/>
      <c r="W229" s="18"/>
      <c r="X229" s="18"/>
      <c r="Z229" s="17"/>
      <c r="AJ229" s="17"/>
      <c r="AK229" s="17"/>
      <c r="AN229" s="17"/>
      <c r="AQ229" s="17"/>
      <c r="AW229" s="19"/>
    </row>
    <row r="230" spans="8:49" ht="15.75" customHeight="1" x14ac:dyDescent="0.3">
      <c r="H230" s="17"/>
      <c r="S230" s="17"/>
      <c r="W230" s="18"/>
      <c r="X230" s="18"/>
      <c r="Z230" s="17"/>
      <c r="AJ230" s="17"/>
      <c r="AK230" s="17"/>
      <c r="AN230" s="17"/>
      <c r="AQ230" s="17"/>
      <c r="AW230" s="19"/>
    </row>
    <row r="231" spans="8:49" ht="15.75" customHeight="1" x14ac:dyDescent="0.3">
      <c r="H231" s="17"/>
      <c r="S231" s="17"/>
      <c r="W231" s="18"/>
      <c r="X231" s="18"/>
      <c r="Z231" s="17"/>
      <c r="AJ231" s="17"/>
      <c r="AK231" s="17"/>
      <c r="AN231" s="17"/>
      <c r="AQ231" s="17"/>
      <c r="AW231" s="19"/>
    </row>
    <row r="232" spans="8:49" ht="15.75" customHeight="1" x14ac:dyDescent="0.3">
      <c r="H232" s="17"/>
      <c r="S232" s="17"/>
      <c r="W232" s="18"/>
      <c r="X232" s="18"/>
      <c r="Z232" s="17"/>
      <c r="AJ232" s="17"/>
      <c r="AK232" s="17"/>
      <c r="AN232" s="17"/>
      <c r="AQ232" s="17"/>
      <c r="AW232" s="19"/>
    </row>
    <row r="233" spans="8:49" ht="15.75" customHeight="1" x14ac:dyDescent="0.3">
      <c r="H233" s="17"/>
      <c r="S233" s="17"/>
      <c r="W233" s="18"/>
      <c r="X233" s="18"/>
      <c r="Z233" s="17"/>
      <c r="AJ233" s="17"/>
      <c r="AK233" s="17"/>
      <c r="AN233" s="17"/>
      <c r="AQ233" s="17"/>
      <c r="AW233" s="19"/>
    </row>
    <row r="234" spans="8:49" ht="15.75" customHeight="1" x14ac:dyDescent="0.3">
      <c r="H234" s="17"/>
      <c r="S234" s="17"/>
      <c r="W234" s="18"/>
      <c r="X234" s="18"/>
      <c r="Z234" s="17"/>
      <c r="AJ234" s="17"/>
      <c r="AK234" s="17"/>
      <c r="AN234" s="17"/>
      <c r="AQ234" s="17"/>
      <c r="AW234" s="19"/>
    </row>
    <row r="235" spans="8:49" ht="15.75" customHeight="1" x14ac:dyDescent="0.3">
      <c r="H235" s="17"/>
      <c r="S235" s="17"/>
      <c r="W235" s="18"/>
      <c r="X235" s="18"/>
      <c r="Z235" s="17"/>
      <c r="AJ235" s="17"/>
      <c r="AK235" s="17"/>
      <c r="AN235" s="17"/>
      <c r="AQ235" s="17"/>
      <c r="AW235" s="19"/>
    </row>
    <row r="236" spans="8:49" ht="15.75" customHeight="1" x14ac:dyDescent="0.3">
      <c r="H236" s="17"/>
      <c r="S236" s="17"/>
      <c r="W236" s="18"/>
      <c r="X236" s="18"/>
      <c r="Z236" s="17"/>
      <c r="AJ236" s="17"/>
      <c r="AK236" s="17"/>
      <c r="AN236" s="17"/>
      <c r="AQ236" s="17"/>
      <c r="AW236" s="19"/>
    </row>
    <row r="237" spans="8:49" ht="15.75" customHeight="1" x14ac:dyDescent="0.3">
      <c r="H237" s="17"/>
      <c r="S237" s="17"/>
      <c r="W237" s="18"/>
      <c r="X237" s="18"/>
      <c r="Z237" s="17"/>
      <c r="AJ237" s="17"/>
      <c r="AK237" s="17"/>
      <c r="AN237" s="17"/>
      <c r="AQ237" s="17"/>
      <c r="AW237" s="19"/>
    </row>
    <row r="238" spans="8:49" ht="15.75" customHeight="1" x14ac:dyDescent="0.3">
      <c r="H238" s="17"/>
      <c r="S238" s="17"/>
      <c r="W238" s="18"/>
      <c r="X238" s="18"/>
      <c r="Z238" s="17"/>
      <c r="AJ238" s="17"/>
      <c r="AK238" s="17"/>
      <c r="AN238" s="17"/>
      <c r="AQ238" s="17"/>
      <c r="AW238" s="19"/>
    </row>
    <row r="239" spans="8:49" ht="15.75" customHeight="1" x14ac:dyDescent="0.3">
      <c r="H239" s="17"/>
      <c r="S239" s="17"/>
      <c r="W239" s="18"/>
      <c r="X239" s="18"/>
      <c r="Z239" s="17"/>
      <c r="AJ239" s="17"/>
      <c r="AK239" s="17"/>
      <c r="AN239" s="17"/>
      <c r="AQ239" s="17"/>
      <c r="AW239" s="19"/>
    </row>
    <row r="240" spans="8:49" ht="15.75" customHeight="1" x14ac:dyDescent="0.3">
      <c r="H240" s="17"/>
      <c r="S240" s="17"/>
      <c r="W240" s="18"/>
      <c r="X240" s="18"/>
      <c r="Z240" s="17"/>
      <c r="AJ240" s="17"/>
      <c r="AK240" s="17"/>
      <c r="AN240" s="17"/>
      <c r="AQ240" s="17"/>
      <c r="AW240" s="19"/>
    </row>
    <row r="241" spans="8:49" ht="15.75" customHeight="1" x14ac:dyDescent="0.3">
      <c r="H241" s="17"/>
      <c r="S241" s="17"/>
      <c r="W241" s="18"/>
      <c r="X241" s="18"/>
      <c r="Z241" s="17"/>
      <c r="AJ241" s="17"/>
      <c r="AK241" s="17"/>
      <c r="AN241" s="17"/>
      <c r="AQ241" s="17"/>
      <c r="AW241" s="19"/>
    </row>
    <row r="242" spans="8:49" ht="15.75" customHeight="1" x14ac:dyDescent="0.3">
      <c r="H242" s="17"/>
      <c r="S242" s="17"/>
      <c r="W242" s="18"/>
      <c r="X242" s="18"/>
      <c r="Z242" s="17"/>
      <c r="AJ242" s="17"/>
      <c r="AK242" s="17"/>
      <c r="AN242" s="17"/>
      <c r="AQ242" s="17"/>
      <c r="AW242" s="19"/>
    </row>
    <row r="243" spans="8:49" ht="15.75" customHeight="1" x14ac:dyDescent="0.3">
      <c r="H243" s="17"/>
      <c r="S243" s="17"/>
      <c r="W243" s="18"/>
      <c r="X243" s="18"/>
      <c r="Z243" s="17"/>
      <c r="AJ243" s="17"/>
      <c r="AK243" s="17"/>
      <c r="AN243" s="17"/>
      <c r="AQ243" s="17"/>
      <c r="AW243" s="19"/>
    </row>
    <row r="244" spans="8:49" ht="15.75" customHeight="1" x14ac:dyDescent="0.3">
      <c r="H244" s="17"/>
      <c r="S244" s="17"/>
      <c r="W244" s="18"/>
      <c r="X244" s="18"/>
      <c r="Z244" s="17"/>
      <c r="AJ244" s="17"/>
      <c r="AK244" s="17"/>
      <c r="AN244" s="17"/>
      <c r="AQ244" s="17"/>
      <c r="AW244" s="19"/>
    </row>
    <row r="245" spans="8:49" ht="15.75" customHeight="1" x14ac:dyDescent="0.3">
      <c r="H245" s="17"/>
      <c r="S245" s="17"/>
      <c r="W245" s="18"/>
      <c r="X245" s="18"/>
      <c r="Z245" s="17"/>
      <c r="AJ245" s="17"/>
      <c r="AK245" s="17"/>
      <c r="AN245" s="17"/>
      <c r="AQ245" s="17"/>
      <c r="AW245" s="19"/>
    </row>
    <row r="246" spans="8:49" ht="15.75" customHeight="1" x14ac:dyDescent="0.3">
      <c r="H246" s="17"/>
      <c r="S246" s="17"/>
      <c r="W246" s="18"/>
      <c r="X246" s="18"/>
      <c r="Z246" s="17"/>
      <c r="AJ246" s="17"/>
      <c r="AK246" s="17"/>
      <c r="AN246" s="17"/>
      <c r="AQ246" s="17"/>
      <c r="AW246" s="19"/>
    </row>
    <row r="247" spans="8:49" ht="15.75" customHeight="1" x14ac:dyDescent="0.3">
      <c r="H247" s="17"/>
      <c r="S247" s="17"/>
      <c r="W247" s="18"/>
      <c r="X247" s="18"/>
      <c r="Z247" s="17"/>
      <c r="AJ247" s="17"/>
      <c r="AK247" s="17"/>
      <c r="AN247" s="17"/>
      <c r="AQ247" s="17"/>
      <c r="AW247" s="19"/>
    </row>
    <row r="248" spans="8:49" ht="15.75" customHeight="1" x14ac:dyDescent="0.3">
      <c r="H248" s="17"/>
      <c r="S248" s="17"/>
      <c r="W248" s="18"/>
      <c r="X248" s="18"/>
      <c r="Z248" s="17"/>
      <c r="AJ248" s="17"/>
      <c r="AK248" s="17"/>
      <c r="AN248" s="17"/>
      <c r="AQ248" s="17"/>
      <c r="AW248" s="19"/>
    </row>
    <row r="249" spans="8:49" ht="15.75" customHeight="1" x14ac:dyDescent="0.3">
      <c r="H249" s="17"/>
      <c r="S249" s="17"/>
      <c r="W249" s="18"/>
      <c r="X249" s="18"/>
      <c r="Z249" s="17"/>
      <c r="AJ249" s="17"/>
      <c r="AK249" s="17"/>
      <c r="AN249" s="17"/>
      <c r="AQ249" s="17"/>
      <c r="AW249" s="19"/>
    </row>
    <row r="250" spans="8:49" ht="15.75" customHeight="1" x14ac:dyDescent="0.3">
      <c r="H250" s="17"/>
      <c r="S250" s="17"/>
      <c r="W250" s="18"/>
      <c r="X250" s="18"/>
      <c r="Z250" s="17"/>
      <c r="AJ250" s="17"/>
      <c r="AK250" s="17"/>
      <c r="AN250" s="17"/>
      <c r="AQ250" s="17"/>
      <c r="AW250" s="19"/>
    </row>
    <row r="251" spans="8:49" ht="15.75" customHeight="1" x14ac:dyDescent="0.3">
      <c r="H251" s="17"/>
      <c r="S251" s="17"/>
      <c r="W251" s="18"/>
      <c r="X251" s="18"/>
      <c r="Z251" s="17"/>
      <c r="AJ251" s="17"/>
      <c r="AK251" s="17"/>
      <c r="AN251" s="17"/>
      <c r="AQ251" s="17"/>
      <c r="AW251" s="19"/>
    </row>
    <row r="252" spans="8:49" ht="15.75" customHeight="1" x14ac:dyDescent="0.3">
      <c r="H252" s="17"/>
      <c r="S252" s="17"/>
      <c r="W252" s="18"/>
      <c r="X252" s="18"/>
      <c r="Z252" s="17"/>
      <c r="AJ252" s="17"/>
      <c r="AK252" s="17"/>
      <c r="AN252" s="17"/>
      <c r="AQ252" s="17"/>
      <c r="AW252" s="19"/>
    </row>
    <row r="253" spans="8:49" ht="15.75" customHeight="1" x14ac:dyDescent="0.3">
      <c r="H253" s="17"/>
      <c r="S253" s="17"/>
      <c r="W253" s="18"/>
      <c r="X253" s="18"/>
      <c r="Z253" s="17"/>
      <c r="AJ253" s="17"/>
      <c r="AK253" s="17"/>
      <c r="AN253" s="17"/>
      <c r="AQ253" s="17"/>
      <c r="AW253" s="19"/>
    </row>
    <row r="254" spans="8:49" ht="15.75" customHeight="1" x14ac:dyDescent="0.3">
      <c r="H254" s="17"/>
      <c r="S254" s="17"/>
      <c r="W254" s="18"/>
      <c r="X254" s="18"/>
      <c r="Z254" s="17"/>
      <c r="AJ254" s="17"/>
      <c r="AK254" s="17"/>
      <c r="AN254" s="17"/>
      <c r="AQ254" s="17"/>
      <c r="AW254" s="19"/>
    </row>
    <row r="255" spans="8:49" ht="15.75" customHeight="1" x14ac:dyDescent="0.3">
      <c r="H255" s="17"/>
      <c r="S255" s="17"/>
      <c r="W255" s="18"/>
      <c r="X255" s="18"/>
      <c r="Z255" s="17"/>
      <c r="AJ255" s="17"/>
      <c r="AK255" s="17"/>
      <c r="AN255" s="17"/>
      <c r="AQ255" s="17"/>
      <c r="AW255" s="19"/>
    </row>
    <row r="256" spans="8:49" ht="15.75" customHeight="1" x14ac:dyDescent="0.3">
      <c r="H256" s="17"/>
      <c r="S256" s="17"/>
      <c r="W256" s="18"/>
      <c r="X256" s="18"/>
      <c r="Z256" s="17"/>
      <c r="AJ256" s="17"/>
      <c r="AK256" s="17"/>
      <c r="AN256" s="17"/>
      <c r="AQ256" s="17"/>
      <c r="AW256" s="19"/>
    </row>
    <row r="257" spans="8:49" ht="15.75" customHeight="1" x14ac:dyDescent="0.3">
      <c r="H257" s="17"/>
      <c r="S257" s="17"/>
      <c r="W257" s="18"/>
      <c r="X257" s="18"/>
      <c r="Z257" s="17"/>
      <c r="AJ257" s="17"/>
      <c r="AK257" s="17"/>
      <c r="AN257" s="17"/>
      <c r="AQ257" s="17"/>
      <c r="AW257" s="19"/>
    </row>
    <row r="258" spans="8:49" ht="15.75" customHeight="1" x14ac:dyDescent="0.3">
      <c r="H258" s="17"/>
      <c r="S258" s="17"/>
      <c r="W258" s="18"/>
      <c r="X258" s="18"/>
      <c r="Z258" s="17"/>
      <c r="AJ258" s="17"/>
      <c r="AK258" s="17"/>
      <c r="AN258" s="17"/>
      <c r="AQ258" s="17"/>
      <c r="AW258" s="19"/>
    </row>
    <row r="259" spans="8:49" ht="15.75" customHeight="1" x14ac:dyDescent="0.3">
      <c r="H259" s="17"/>
      <c r="S259" s="17"/>
      <c r="W259" s="18"/>
      <c r="X259" s="18"/>
      <c r="Z259" s="17"/>
      <c r="AJ259" s="17"/>
      <c r="AK259" s="17"/>
      <c r="AN259" s="17"/>
      <c r="AQ259" s="17"/>
      <c r="AW259" s="19"/>
    </row>
    <row r="260" spans="8:49" ht="15.75" customHeight="1" x14ac:dyDescent="0.3">
      <c r="H260" s="17"/>
      <c r="S260" s="17"/>
      <c r="W260" s="18"/>
      <c r="X260" s="18"/>
      <c r="Z260" s="17"/>
      <c r="AJ260" s="17"/>
      <c r="AK260" s="17"/>
      <c r="AN260" s="17"/>
      <c r="AQ260" s="17"/>
      <c r="AW260" s="19"/>
    </row>
    <row r="261" spans="8:49" ht="15.75" customHeight="1" x14ac:dyDescent="0.3">
      <c r="H261" s="17"/>
      <c r="S261" s="17"/>
      <c r="W261" s="18"/>
      <c r="X261" s="18"/>
      <c r="Z261" s="17"/>
      <c r="AJ261" s="17"/>
      <c r="AK261" s="17"/>
      <c r="AN261" s="17"/>
      <c r="AQ261" s="17"/>
      <c r="AW261" s="19"/>
    </row>
    <row r="262" spans="8:49" ht="15.75" customHeight="1" x14ac:dyDescent="0.3">
      <c r="H262" s="17"/>
      <c r="S262" s="17"/>
      <c r="W262" s="18"/>
      <c r="X262" s="18"/>
      <c r="Z262" s="17"/>
      <c r="AJ262" s="17"/>
      <c r="AK262" s="17"/>
      <c r="AN262" s="17"/>
      <c r="AQ262" s="17"/>
      <c r="AW262" s="19"/>
    </row>
    <row r="263" spans="8:49" ht="15.75" customHeight="1" x14ac:dyDescent="0.3">
      <c r="H263" s="17"/>
      <c r="S263" s="17"/>
      <c r="W263" s="18"/>
      <c r="X263" s="18"/>
      <c r="Z263" s="17"/>
      <c r="AJ263" s="17"/>
      <c r="AK263" s="17"/>
      <c r="AN263" s="17"/>
      <c r="AQ263" s="17"/>
      <c r="AW263" s="19"/>
    </row>
    <row r="264" spans="8:49" ht="15.75" customHeight="1" x14ac:dyDescent="0.3">
      <c r="H264" s="17"/>
      <c r="S264" s="17"/>
      <c r="W264" s="18"/>
      <c r="X264" s="18"/>
      <c r="Z264" s="17"/>
      <c r="AJ264" s="17"/>
      <c r="AK264" s="17"/>
      <c r="AN264" s="17"/>
      <c r="AQ264" s="17"/>
      <c r="AW264" s="19"/>
    </row>
    <row r="265" spans="8:49" ht="15.75" customHeight="1" x14ac:dyDescent="0.3">
      <c r="H265" s="17"/>
      <c r="S265" s="17"/>
      <c r="W265" s="18"/>
      <c r="X265" s="18"/>
      <c r="Z265" s="17"/>
      <c r="AJ265" s="17"/>
      <c r="AK265" s="17"/>
      <c r="AN265" s="17"/>
      <c r="AQ265" s="17"/>
      <c r="AW265" s="19"/>
    </row>
    <row r="266" spans="8:49" ht="15.75" customHeight="1" x14ac:dyDescent="0.3">
      <c r="H266" s="17"/>
      <c r="S266" s="17"/>
      <c r="W266" s="18"/>
      <c r="X266" s="18"/>
      <c r="Z266" s="17"/>
      <c r="AJ266" s="17"/>
      <c r="AK266" s="17"/>
      <c r="AN266" s="17"/>
      <c r="AQ266" s="17"/>
      <c r="AW266" s="19"/>
    </row>
    <row r="267" spans="8:49" ht="15.75" customHeight="1" x14ac:dyDescent="0.3">
      <c r="H267" s="17"/>
      <c r="S267" s="17"/>
      <c r="W267" s="18"/>
      <c r="X267" s="18"/>
      <c r="Z267" s="17"/>
      <c r="AJ267" s="17"/>
      <c r="AK267" s="17"/>
      <c r="AN267" s="17"/>
      <c r="AQ267" s="17"/>
      <c r="AW267" s="19"/>
    </row>
    <row r="268" spans="8:49" ht="15.75" customHeight="1" x14ac:dyDescent="0.3">
      <c r="H268" s="17"/>
      <c r="S268" s="17"/>
      <c r="W268" s="18"/>
      <c r="X268" s="18"/>
      <c r="Z268" s="17"/>
      <c r="AJ268" s="17"/>
      <c r="AK268" s="17"/>
      <c r="AN268" s="17"/>
      <c r="AQ268" s="17"/>
      <c r="AW268" s="19"/>
    </row>
    <row r="269" spans="8:49" ht="15.75" customHeight="1" x14ac:dyDescent="0.3">
      <c r="H269" s="17"/>
      <c r="S269" s="17"/>
      <c r="W269" s="18"/>
      <c r="X269" s="18"/>
      <c r="Z269" s="17"/>
      <c r="AJ269" s="17"/>
      <c r="AK269" s="17"/>
      <c r="AN269" s="17"/>
      <c r="AQ269" s="17"/>
      <c r="AW269" s="19"/>
    </row>
    <row r="270" spans="8:49" ht="15.75" customHeight="1" x14ac:dyDescent="0.3">
      <c r="H270" s="17"/>
      <c r="S270" s="17"/>
      <c r="W270" s="18"/>
      <c r="X270" s="18"/>
      <c r="Z270" s="17"/>
      <c r="AJ270" s="17"/>
      <c r="AK270" s="17"/>
      <c r="AN270" s="17"/>
      <c r="AQ270" s="17"/>
      <c r="AW270" s="19"/>
    </row>
    <row r="271" spans="8:49" ht="15.75" customHeight="1" x14ac:dyDescent="0.3">
      <c r="H271" s="17"/>
      <c r="S271" s="17"/>
      <c r="W271" s="18"/>
      <c r="X271" s="18"/>
      <c r="Z271" s="17"/>
      <c r="AJ271" s="17"/>
      <c r="AK271" s="17"/>
      <c r="AN271" s="17"/>
      <c r="AQ271" s="17"/>
      <c r="AW271" s="19"/>
    </row>
    <row r="272" spans="8:49" ht="15.75" customHeight="1" x14ac:dyDescent="0.3">
      <c r="H272" s="17"/>
      <c r="S272" s="17"/>
      <c r="W272" s="18"/>
      <c r="X272" s="18"/>
      <c r="Z272" s="17"/>
      <c r="AJ272" s="17"/>
      <c r="AK272" s="17"/>
      <c r="AN272" s="17"/>
      <c r="AQ272" s="17"/>
      <c r="AW272" s="19"/>
    </row>
    <row r="273" spans="8:49" ht="15.75" customHeight="1" x14ac:dyDescent="0.3">
      <c r="H273" s="17"/>
      <c r="S273" s="17"/>
      <c r="W273" s="18"/>
      <c r="X273" s="18"/>
      <c r="Z273" s="17"/>
      <c r="AJ273" s="17"/>
      <c r="AK273" s="17"/>
      <c r="AN273" s="17"/>
      <c r="AQ273" s="17"/>
      <c r="AW273" s="19"/>
    </row>
    <row r="274" spans="8:49" ht="15.75" customHeight="1" x14ac:dyDescent="0.3">
      <c r="H274" s="17"/>
      <c r="S274" s="17"/>
      <c r="W274" s="18"/>
      <c r="X274" s="18"/>
      <c r="Z274" s="17"/>
      <c r="AJ274" s="17"/>
      <c r="AK274" s="17"/>
      <c r="AN274" s="17"/>
      <c r="AQ274" s="17"/>
      <c r="AW274" s="19"/>
    </row>
    <row r="275" spans="8:49" ht="15.75" customHeight="1" x14ac:dyDescent="0.3">
      <c r="H275" s="17"/>
      <c r="S275" s="17"/>
      <c r="W275" s="18"/>
      <c r="X275" s="18"/>
      <c r="Z275" s="17"/>
      <c r="AJ275" s="17"/>
      <c r="AK275" s="17"/>
      <c r="AN275" s="17"/>
      <c r="AQ275" s="17"/>
      <c r="AW275" s="19"/>
    </row>
    <row r="276" spans="8:49" ht="15.75" customHeight="1" x14ac:dyDescent="0.3">
      <c r="H276" s="17"/>
      <c r="S276" s="17"/>
      <c r="W276" s="18"/>
      <c r="X276" s="18"/>
      <c r="Z276" s="17"/>
      <c r="AJ276" s="17"/>
      <c r="AK276" s="17"/>
      <c r="AN276" s="17"/>
      <c r="AQ276" s="17"/>
      <c r="AW276" s="19"/>
    </row>
    <row r="277" spans="8:49" ht="15.75" customHeight="1" x14ac:dyDescent="0.3">
      <c r="H277" s="17"/>
      <c r="S277" s="17"/>
      <c r="W277" s="18"/>
      <c r="X277" s="18"/>
      <c r="Z277" s="17"/>
      <c r="AJ277" s="17"/>
      <c r="AK277" s="17"/>
      <c r="AN277" s="17"/>
      <c r="AQ277" s="17"/>
      <c r="AW277" s="19"/>
    </row>
    <row r="278" spans="8:49" ht="15.75" customHeight="1" x14ac:dyDescent="0.3">
      <c r="H278" s="17"/>
      <c r="S278" s="17"/>
      <c r="W278" s="18"/>
      <c r="X278" s="18"/>
      <c r="Z278" s="17"/>
      <c r="AJ278" s="17"/>
      <c r="AK278" s="17"/>
      <c r="AN278" s="17"/>
      <c r="AQ278" s="17"/>
      <c r="AW278" s="19"/>
    </row>
    <row r="279" spans="8:49" ht="15.75" customHeight="1" x14ac:dyDescent="0.3">
      <c r="H279" s="17"/>
      <c r="S279" s="17"/>
      <c r="W279" s="18"/>
      <c r="X279" s="18"/>
      <c r="Z279" s="17"/>
      <c r="AJ279" s="17"/>
      <c r="AK279" s="17"/>
      <c r="AN279" s="17"/>
      <c r="AQ279" s="17"/>
      <c r="AW279" s="19"/>
    </row>
    <row r="280" spans="8:49" ht="15.75" customHeight="1" x14ac:dyDescent="0.3">
      <c r="H280" s="17"/>
      <c r="S280" s="17"/>
      <c r="W280" s="18"/>
      <c r="X280" s="18"/>
      <c r="Z280" s="17"/>
      <c r="AJ280" s="17"/>
      <c r="AK280" s="17"/>
      <c r="AN280" s="17"/>
      <c r="AQ280" s="17"/>
      <c r="AW280" s="19"/>
    </row>
    <row r="281" spans="8:49" ht="15.75" customHeight="1" x14ac:dyDescent="0.3">
      <c r="H281" s="17"/>
      <c r="S281" s="17"/>
      <c r="W281" s="18"/>
      <c r="X281" s="18"/>
      <c r="Z281" s="17"/>
      <c r="AJ281" s="17"/>
      <c r="AK281" s="17"/>
      <c r="AN281" s="17"/>
      <c r="AQ281" s="17"/>
      <c r="AW281" s="19"/>
    </row>
    <row r="282" spans="8:49" ht="15.75" customHeight="1" x14ac:dyDescent="0.3">
      <c r="H282" s="17"/>
      <c r="S282" s="17"/>
      <c r="W282" s="18"/>
      <c r="X282" s="18"/>
      <c r="Z282" s="17"/>
      <c r="AJ282" s="17"/>
      <c r="AK282" s="17"/>
      <c r="AN282" s="17"/>
      <c r="AQ282" s="17"/>
      <c r="AW282" s="19"/>
    </row>
    <row r="283" spans="8:49" ht="15.75" customHeight="1" x14ac:dyDescent="0.3">
      <c r="H283" s="17"/>
      <c r="S283" s="17"/>
      <c r="W283" s="18"/>
      <c r="X283" s="18"/>
      <c r="Z283" s="17"/>
      <c r="AJ283" s="17"/>
      <c r="AK283" s="17"/>
      <c r="AN283" s="17"/>
      <c r="AQ283" s="17"/>
      <c r="AW283" s="19"/>
    </row>
    <row r="284" spans="8:49" ht="15.75" customHeight="1" x14ac:dyDescent="0.3">
      <c r="H284" s="17"/>
      <c r="S284" s="17"/>
      <c r="W284" s="18"/>
      <c r="X284" s="18"/>
      <c r="Z284" s="17"/>
      <c r="AJ284" s="17"/>
      <c r="AK284" s="17"/>
      <c r="AN284" s="17"/>
      <c r="AQ284" s="17"/>
      <c r="AW284" s="19"/>
    </row>
    <row r="285" spans="8:49" ht="15.75" customHeight="1" x14ac:dyDescent="0.3">
      <c r="H285" s="17"/>
      <c r="S285" s="17"/>
      <c r="W285" s="18"/>
      <c r="X285" s="18"/>
      <c r="Z285" s="17"/>
      <c r="AJ285" s="17"/>
      <c r="AK285" s="17"/>
      <c r="AN285" s="17"/>
      <c r="AQ285" s="17"/>
      <c r="AW285" s="19"/>
    </row>
    <row r="286" spans="8:49" ht="15.75" customHeight="1" x14ac:dyDescent="0.3">
      <c r="H286" s="17"/>
      <c r="S286" s="17"/>
      <c r="W286" s="18"/>
      <c r="X286" s="18"/>
      <c r="Z286" s="17"/>
      <c r="AJ286" s="17"/>
      <c r="AK286" s="17"/>
      <c r="AN286" s="17"/>
      <c r="AQ286" s="17"/>
      <c r="AW286" s="19"/>
    </row>
    <row r="287" spans="8:49" ht="15.75" customHeight="1" x14ac:dyDescent="0.3">
      <c r="H287" s="17"/>
      <c r="S287" s="17"/>
      <c r="W287" s="18"/>
      <c r="X287" s="18"/>
      <c r="Z287" s="17"/>
      <c r="AJ287" s="17"/>
      <c r="AK287" s="17"/>
      <c r="AN287" s="17"/>
      <c r="AQ287" s="17"/>
      <c r="AW287" s="19"/>
    </row>
    <row r="288" spans="8:49" ht="15.75" customHeight="1" x14ac:dyDescent="0.3">
      <c r="H288" s="17"/>
      <c r="S288" s="17"/>
      <c r="W288" s="18"/>
      <c r="X288" s="18"/>
      <c r="Z288" s="17"/>
      <c r="AJ288" s="17"/>
      <c r="AK288" s="17"/>
      <c r="AN288" s="17"/>
      <c r="AQ288" s="17"/>
      <c r="AW288" s="19"/>
    </row>
    <row r="289" spans="8:49" ht="15.75" customHeight="1" x14ac:dyDescent="0.3">
      <c r="H289" s="17"/>
      <c r="S289" s="17"/>
      <c r="W289" s="18"/>
      <c r="X289" s="18"/>
      <c r="Z289" s="17"/>
      <c r="AJ289" s="17"/>
      <c r="AK289" s="17"/>
      <c r="AN289" s="17"/>
      <c r="AQ289" s="17"/>
      <c r="AW289" s="19"/>
    </row>
    <row r="290" spans="8:49" ht="15.75" customHeight="1" x14ac:dyDescent="0.3">
      <c r="H290" s="17"/>
      <c r="S290" s="17"/>
      <c r="W290" s="18"/>
      <c r="X290" s="18"/>
      <c r="Z290" s="17"/>
      <c r="AJ290" s="17"/>
      <c r="AK290" s="17"/>
      <c r="AN290" s="17"/>
      <c r="AQ290" s="17"/>
      <c r="AW290" s="19"/>
    </row>
    <row r="291" spans="8:49" ht="15.75" customHeight="1" x14ac:dyDescent="0.3">
      <c r="H291" s="17"/>
      <c r="S291" s="17"/>
      <c r="W291" s="18"/>
      <c r="X291" s="18"/>
      <c r="Z291" s="17"/>
      <c r="AJ291" s="17"/>
      <c r="AK291" s="17"/>
      <c r="AN291" s="17"/>
      <c r="AQ291" s="17"/>
      <c r="AW291" s="19"/>
    </row>
    <row r="292" spans="8:49" ht="15.75" customHeight="1" x14ac:dyDescent="0.3">
      <c r="H292" s="17"/>
      <c r="S292" s="17"/>
      <c r="W292" s="18"/>
      <c r="X292" s="18"/>
      <c r="Z292" s="17"/>
      <c r="AJ292" s="17"/>
      <c r="AK292" s="17"/>
      <c r="AN292" s="17"/>
      <c r="AQ292" s="17"/>
      <c r="AW292" s="19"/>
    </row>
    <row r="293" spans="8:49" ht="15.75" customHeight="1" x14ac:dyDescent="0.3">
      <c r="H293" s="17"/>
      <c r="S293" s="17"/>
      <c r="W293" s="18"/>
      <c r="X293" s="18"/>
      <c r="Z293" s="17"/>
      <c r="AJ293" s="17"/>
      <c r="AK293" s="17"/>
      <c r="AN293" s="17"/>
      <c r="AQ293" s="17"/>
      <c r="AW293" s="19"/>
    </row>
    <row r="294" spans="8:49" ht="15.75" customHeight="1" x14ac:dyDescent="0.3">
      <c r="H294" s="17"/>
      <c r="S294" s="17"/>
      <c r="W294" s="18"/>
      <c r="X294" s="18"/>
      <c r="Z294" s="17"/>
      <c r="AJ294" s="17"/>
      <c r="AK294" s="17"/>
      <c r="AN294" s="17"/>
      <c r="AQ294" s="17"/>
      <c r="AW294" s="19"/>
    </row>
    <row r="295" spans="8:49" ht="15.75" customHeight="1" x14ac:dyDescent="0.3">
      <c r="H295" s="17"/>
      <c r="S295" s="17"/>
      <c r="W295" s="18"/>
      <c r="X295" s="18"/>
      <c r="Z295" s="17"/>
      <c r="AJ295" s="17"/>
      <c r="AK295" s="17"/>
      <c r="AN295" s="17"/>
      <c r="AQ295" s="17"/>
      <c r="AW295" s="19"/>
    </row>
    <row r="296" spans="8:49" ht="15.75" customHeight="1" x14ac:dyDescent="0.3">
      <c r="H296" s="17"/>
      <c r="S296" s="17"/>
      <c r="W296" s="18"/>
      <c r="X296" s="18"/>
      <c r="Z296" s="17"/>
      <c r="AJ296" s="17"/>
      <c r="AK296" s="17"/>
      <c r="AN296" s="17"/>
      <c r="AQ296" s="17"/>
      <c r="AW296" s="19"/>
    </row>
    <row r="297" spans="8:49" ht="15.75" customHeight="1" x14ac:dyDescent="0.3">
      <c r="H297" s="17"/>
      <c r="S297" s="17"/>
      <c r="W297" s="18"/>
      <c r="X297" s="18"/>
      <c r="Z297" s="17"/>
      <c r="AJ297" s="17"/>
      <c r="AK297" s="17"/>
      <c r="AN297" s="17"/>
      <c r="AQ297" s="17"/>
      <c r="AW297" s="19"/>
    </row>
    <row r="298" spans="8:49" ht="15.75" customHeight="1" x14ac:dyDescent="0.3">
      <c r="H298" s="17"/>
      <c r="S298" s="17"/>
      <c r="W298" s="18"/>
      <c r="X298" s="18"/>
      <c r="Z298" s="17"/>
      <c r="AJ298" s="17"/>
      <c r="AK298" s="17"/>
      <c r="AN298" s="17"/>
      <c r="AQ298" s="17"/>
      <c r="AW298" s="19"/>
    </row>
    <row r="299" spans="8:49" ht="15.75" customHeight="1" x14ac:dyDescent="0.3">
      <c r="H299" s="17"/>
      <c r="S299" s="17"/>
      <c r="W299" s="18"/>
      <c r="X299" s="18"/>
      <c r="Z299" s="17"/>
      <c r="AJ299" s="17"/>
      <c r="AK299" s="17"/>
      <c r="AN299" s="17"/>
      <c r="AQ299" s="17"/>
      <c r="AW299" s="19"/>
    </row>
    <row r="300" spans="8:49" ht="15.75" customHeight="1" x14ac:dyDescent="0.3">
      <c r="H300" s="17"/>
      <c r="S300" s="17"/>
      <c r="W300" s="18"/>
      <c r="X300" s="18"/>
      <c r="Z300" s="17"/>
      <c r="AJ300" s="17"/>
      <c r="AK300" s="17"/>
      <c r="AN300" s="17"/>
      <c r="AQ300" s="17"/>
      <c r="AW300" s="19"/>
    </row>
    <row r="301" spans="8:49" ht="15.75" customHeight="1" x14ac:dyDescent="0.3">
      <c r="H301" s="17"/>
      <c r="S301" s="17"/>
      <c r="W301" s="18"/>
      <c r="X301" s="18"/>
      <c r="Z301" s="17"/>
      <c r="AJ301" s="17"/>
      <c r="AK301" s="17"/>
      <c r="AN301" s="17"/>
      <c r="AQ301" s="17"/>
      <c r="AW301" s="19"/>
    </row>
    <row r="302" spans="8:49" ht="15.75" customHeight="1" x14ac:dyDescent="0.3">
      <c r="H302" s="17"/>
      <c r="S302" s="17"/>
      <c r="W302" s="18"/>
      <c r="X302" s="18"/>
      <c r="Z302" s="17"/>
      <c r="AJ302" s="17"/>
      <c r="AK302" s="17"/>
      <c r="AN302" s="17"/>
      <c r="AQ302" s="17"/>
      <c r="AW302" s="19"/>
    </row>
    <row r="303" spans="8:49" ht="15.75" customHeight="1" x14ac:dyDescent="0.3">
      <c r="H303" s="17"/>
      <c r="S303" s="17"/>
      <c r="W303" s="18"/>
      <c r="X303" s="18"/>
      <c r="Z303" s="17"/>
      <c r="AJ303" s="17"/>
      <c r="AK303" s="17"/>
      <c r="AN303" s="17"/>
      <c r="AQ303" s="17"/>
      <c r="AW303" s="19"/>
    </row>
    <row r="304" spans="8:49" ht="15.75" customHeight="1" x14ac:dyDescent="0.3">
      <c r="H304" s="17"/>
      <c r="S304" s="17"/>
      <c r="W304" s="18"/>
      <c r="X304" s="18"/>
      <c r="Z304" s="17"/>
      <c r="AJ304" s="17"/>
      <c r="AK304" s="17"/>
      <c r="AN304" s="17"/>
      <c r="AQ304" s="17"/>
      <c r="AW304" s="19"/>
    </row>
    <row r="305" spans="8:49" ht="15.75" customHeight="1" x14ac:dyDescent="0.3">
      <c r="H305" s="17"/>
      <c r="S305" s="17"/>
      <c r="W305" s="18"/>
      <c r="X305" s="18"/>
      <c r="Z305" s="17"/>
      <c r="AJ305" s="17"/>
      <c r="AK305" s="17"/>
      <c r="AN305" s="17"/>
      <c r="AQ305" s="17"/>
      <c r="AW305" s="19"/>
    </row>
    <row r="306" spans="8:49" ht="15.75" customHeight="1" x14ac:dyDescent="0.3">
      <c r="H306" s="17"/>
      <c r="S306" s="17"/>
      <c r="W306" s="18"/>
      <c r="X306" s="18"/>
      <c r="Z306" s="17"/>
      <c r="AJ306" s="17"/>
      <c r="AK306" s="17"/>
      <c r="AN306" s="17"/>
      <c r="AQ306" s="17"/>
      <c r="AW306" s="19"/>
    </row>
    <row r="307" spans="8:49" ht="15.75" customHeight="1" x14ac:dyDescent="0.3">
      <c r="H307" s="17"/>
      <c r="S307" s="17"/>
      <c r="W307" s="18"/>
      <c r="X307" s="18"/>
      <c r="Z307" s="17"/>
      <c r="AJ307" s="17"/>
      <c r="AK307" s="17"/>
      <c r="AN307" s="17"/>
      <c r="AQ307" s="17"/>
      <c r="AW307" s="19"/>
    </row>
    <row r="308" spans="8:49" ht="15.75" customHeight="1" x14ac:dyDescent="0.3">
      <c r="H308" s="17"/>
      <c r="S308" s="17"/>
      <c r="W308" s="18"/>
      <c r="X308" s="18"/>
      <c r="Z308" s="17"/>
      <c r="AJ308" s="17"/>
      <c r="AK308" s="17"/>
      <c r="AN308" s="17"/>
      <c r="AQ308" s="17"/>
      <c r="AW308" s="19"/>
    </row>
    <row r="309" spans="8:49" ht="15.75" customHeight="1" x14ac:dyDescent="0.3">
      <c r="H309" s="17"/>
      <c r="S309" s="17"/>
      <c r="W309" s="18"/>
      <c r="X309" s="18"/>
      <c r="Z309" s="17"/>
      <c r="AJ309" s="17"/>
      <c r="AK309" s="17"/>
      <c r="AN309" s="17"/>
      <c r="AQ309" s="17"/>
      <c r="AW309" s="19"/>
    </row>
    <row r="310" spans="8:49" ht="15.75" customHeight="1" x14ac:dyDescent="0.3">
      <c r="H310" s="17"/>
      <c r="S310" s="17"/>
      <c r="W310" s="18"/>
      <c r="X310" s="18"/>
      <c r="Z310" s="17"/>
      <c r="AJ310" s="17"/>
      <c r="AK310" s="17"/>
      <c r="AN310" s="17"/>
      <c r="AQ310" s="17"/>
      <c r="AW310" s="19"/>
    </row>
    <row r="311" spans="8:49" ht="15.75" customHeight="1" x14ac:dyDescent="0.3">
      <c r="H311" s="17"/>
      <c r="S311" s="17"/>
      <c r="W311" s="18"/>
      <c r="X311" s="18"/>
      <c r="Z311" s="17"/>
      <c r="AJ311" s="17"/>
      <c r="AK311" s="17"/>
      <c r="AN311" s="17"/>
      <c r="AQ311" s="17"/>
      <c r="AW311" s="19"/>
    </row>
    <row r="312" spans="8:49" ht="15.75" customHeight="1" x14ac:dyDescent="0.3">
      <c r="H312" s="17"/>
      <c r="S312" s="17"/>
      <c r="W312" s="18"/>
      <c r="X312" s="18"/>
      <c r="Z312" s="17"/>
      <c r="AJ312" s="17"/>
      <c r="AK312" s="17"/>
      <c r="AN312" s="17"/>
      <c r="AQ312" s="17"/>
      <c r="AW312" s="19"/>
    </row>
    <row r="313" spans="8:49" ht="15.75" customHeight="1" x14ac:dyDescent="0.3">
      <c r="H313" s="17"/>
      <c r="S313" s="17"/>
      <c r="W313" s="18"/>
      <c r="X313" s="18"/>
      <c r="Z313" s="17"/>
      <c r="AJ313" s="17"/>
      <c r="AK313" s="17"/>
      <c r="AN313" s="17"/>
      <c r="AQ313" s="17"/>
      <c r="AW313" s="19"/>
    </row>
    <row r="314" spans="8:49" ht="15.75" customHeight="1" x14ac:dyDescent="0.3">
      <c r="H314" s="17"/>
      <c r="S314" s="17"/>
      <c r="W314" s="18"/>
      <c r="X314" s="18"/>
      <c r="Z314" s="17"/>
      <c r="AJ314" s="17"/>
      <c r="AK314" s="17"/>
      <c r="AN314" s="17"/>
      <c r="AQ314" s="17"/>
      <c r="AW314" s="19"/>
    </row>
    <row r="315" spans="8:49" ht="15.75" customHeight="1" x14ac:dyDescent="0.3">
      <c r="H315" s="17"/>
      <c r="S315" s="17"/>
      <c r="W315" s="18"/>
      <c r="X315" s="18"/>
      <c r="Z315" s="17"/>
      <c r="AJ315" s="17"/>
      <c r="AK315" s="17"/>
      <c r="AN315" s="17"/>
      <c r="AQ315" s="17"/>
      <c r="AW315" s="19"/>
    </row>
    <row r="316" spans="8:49" ht="15.75" customHeight="1" x14ac:dyDescent="0.3">
      <c r="H316" s="17"/>
      <c r="S316" s="17"/>
      <c r="W316" s="18"/>
      <c r="X316" s="18"/>
      <c r="Z316" s="17"/>
      <c r="AJ316" s="17"/>
      <c r="AK316" s="17"/>
      <c r="AN316" s="17"/>
      <c r="AQ316" s="17"/>
      <c r="AW316" s="19"/>
    </row>
    <row r="317" spans="8:49" ht="15.75" customHeight="1" x14ac:dyDescent="0.3">
      <c r="H317" s="17"/>
      <c r="S317" s="17"/>
      <c r="W317" s="18"/>
      <c r="X317" s="18"/>
      <c r="Z317" s="17"/>
      <c r="AJ317" s="17"/>
      <c r="AK317" s="17"/>
      <c r="AN317" s="17"/>
      <c r="AQ317" s="17"/>
      <c r="AW317" s="19"/>
    </row>
    <row r="318" spans="8:49" ht="15.75" customHeight="1" x14ac:dyDescent="0.3">
      <c r="H318" s="17"/>
      <c r="S318" s="17"/>
      <c r="W318" s="18"/>
      <c r="X318" s="18"/>
      <c r="Z318" s="17"/>
      <c r="AJ318" s="17"/>
      <c r="AK318" s="17"/>
      <c r="AN318" s="17"/>
      <c r="AQ318" s="17"/>
      <c r="AW318" s="19"/>
    </row>
    <row r="319" spans="8:49" ht="15.75" customHeight="1" x14ac:dyDescent="0.3">
      <c r="H319" s="17"/>
      <c r="S319" s="17"/>
      <c r="W319" s="18"/>
      <c r="X319" s="18"/>
      <c r="Z319" s="17"/>
      <c r="AJ319" s="17"/>
      <c r="AK319" s="17"/>
      <c r="AN319" s="17"/>
      <c r="AQ319" s="17"/>
      <c r="AW319" s="19"/>
    </row>
    <row r="320" spans="8:49" ht="15.75" customHeight="1" x14ac:dyDescent="0.3">
      <c r="H320" s="17"/>
      <c r="S320" s="17"/>
      <c r="W320" s="18"/>
      <c r="X320" s="18"/>
      <c r="Z320" s="17"/>
      <c r="AJ320" s="17"/>
      <c r="AK320" s="17"/>
      <c r="AN320" s="17"/>
      <c r="AQ320" s="17"/>
      <c r="AW320" s="19"/>
    </row>
    <row r="321" spans="8:49" ht="15.75" customHeight="1" x14ac:dyDescent="0.3">
      <c r="H321" s="17"/>
      <c r="S321" s="17"/>
      <c r="W321" s="18"/>
      <c r="X321" s="18"/>
      <c r="Z321" s="17"/>
      <c r="AJ321" s="17"/>
      <c r="AK321" s="17"/>
      <c r="AN321" s="17"/>
      <c r="AQ321" s="17"/>
      <c r="AW321" s="19"/>
    </row>
    <row r="322" spans="8:49" ht="15.75" customHeight="1" x14ac:dyDescent="0.3">
      <c r="H322" s="17"/>
      <c r="S322" s="17"/>
      <c r="W322" s="18"/>
      <c r="X322" s="18"/>
      <c r="Z322" s="17"/>
      <c r="AJ322" s="17"/>
      <c r="AK322" s="17"/>
      <c r="AN322" s="17"/>
      <c r="AQ322" s="17"/>
      <c r="AW322" s="19"/>
    </row>
    <row r="323" spans="8:49" ht="15.75" customHeight="1" x14ac:dyDescent="0.3">
      <c r="H323" s="17"/>
      <c r="S323" s="17"/>
      <c r="W323" s="18"/>
      <c r="X323" s="18"/>
      <c r="Z323" s="17"/>
      <c r="AJ323" s="17"/>
      <c r="AK323" s="17"/>
      <c r="AN323" s="17"/>
      <c r="AQ323" s="17"/>
      <c r="AW323" s="19"/>
    </row>
    <row r="324" spans="8:49" ht="15.75" customHeight="1" x14ac:dyDescent="0.3">
      <c r="H324" s="17"/>
      <c r="S324" s="17"/>
      <c r="W324" s="18"/>
      <c r="X324" s="18"/>
      <c r="Z324" s="17"/>
      <c r="AJ324" s="17"/>
      <c r="AK324" s="17"/>
      <c r="AN324" s="17"/>
      <c r="AQ324" s="17"/>
      <c r="AW324" s="19"/>
    </row>
    <row r="325" spans="8:49" ht="15.75" customHeight="1" x14ac:dyDescent="0.3">
      <c r="H325" s="17"/>
      <c r="S325" s="17"/>
      <c r="W325" s="18"/>
      <c r="X325" s="18"/>
      <c r="Z325" s="17"/>
      <c r="AJ325" s="17"/>
      <c r="AK325" s="17"/>
      <c r="AN325" s="17"/>
      <c r="AQ325" s="17"/>
      <c r="AW325" s="19"/>
    </row>
    <row r="326" spans="8:49" ht="15.75" customHeight="1" x14ac:dyDescent="0.3">
      <c r="H326" s="17"/>
      <c r="S326" s="17"/>
      <c r="W326" s="18"/>
      <c r="X326" s="18"/>
      <c r="Z326" s="17"/>
      <c r="AJ326" s="17"/>
      <c r="AK326" s="17"/>
      <c r="AN326" s="17"/>
      <c r="AQ326" s="17"/>
      <c r="AW326" s="19"/>
    </row>
    <row r="327" spans="8:49" ht="15.75" customHeight="1" x14ac:dyDescent="0.3">
      <c r="H327" s="17"/>
      <c r="S327" s="17"/>
      <c r="W327" s="18"/>
      <c r="X327" s="18"/>
      <c r="Z327" s="17"/>
      <c r="AJ327" s="17"/>
      <c r="AK327" s="17"/>
      <c r="AN327" s="17"/>
      <c r="AQ327" s="17"/>
      <c r="AW327" s="19"/>
    </row>
    <row r="328" spans="8:49" ht="15.75" customHeight="1" x14ac:dyDescent="0.3">
      <c r="H328" s="17"/>
      <c r="S328" s="17"/>
      <c r="W328" s="18"/>
      <c r="X328" s="18"/>
      <c r="Z328" s="17"/>
      <c r="AJ328" s="17"/>
      <c r="AK328" s="17"/>
      <c r="AN328" s="17"/>
      <c r="AQ328" s="17"/>
      <c r="AW328" s="19"/>
    </row>
    <row r="329" spans="8:49" ht="15.75" customHeight="1" x14ac:dyDescent="0.3">
      <c r="H329" s="17"/>
      <c r="S329" s="17"/>
      <c r="W329" s="18"/>
      <c r="X329" s="18"/>
      <c r="Z329" s="17"/>
      <c r="AJ329" s="17"/>
      <c r="AK329" s="17"/>
      <c r="AN329" s="17"/>
      <c r="AQ329" s="17"/>
      <c r="AW329" s="19"/>
    </row>
    <row r="330" spans="8:49" ht="15.75" customHeight="1" x14ac:dyDescent="0.3">
      <c r="H330" s="17"/>
      <c r="S330" s="17"/>
      <c r="W330" s="18"/>
      <c r="X330" s="18"/>
      <c r="Z330" s="17"/>
      <c r="AJ330" s="17"/>
      <c r="AK330" s="17"/>
      <c r="AN330" s="17"/>
      <c r="AQ330" s="17"/>
      <c r="AW330" s="19"/>
    </row>
    <row r="331" spans="8:49" ht="15.75" customHeight="1" x14ac:dyDescent="0.3">
      <c r="H331" s="17"/>
      <c r="S331" s="17"/>
      <c r="W331" s="18"/>
      <c r="X331" s="18"/>
      <c r="Z331" s="17"/>
      <c r="AJ331" s="17"/>
      <c r="AK331" s="17"/>
      <c r="AN331" s="17"/>
      <c r="AQ331" s="17"/>
      <c r="AW331" s="19"/>
    </row>
    <row r="332" spans="8:49" ht="15.75" customHeight="1" x14ac:dyDescent="0.3">
      <c r="H332" s="17"/>
      <c r="S332" s="17"/>
      <c r="W332" s="18"/>
      <c r="X332" s="18"/>
      <c r="Z332" s="17"/>
      <c r="AJ332" s="17"/>
      <c r="AK332" s="17"/>
      <c r="AN332" s="17"/>
      <c r="AQ332" s="17"/>
      <c r="AW332" s="19"/>
    </row>
    <row r="333" spans="8:49" ht="15.75" customHeight="1" x14ac:dyDescent="0.3">
      <c r="H333" s="17"/>
      <c r="S333" s="17"/>
      <c r="W333" s="18"/>
      <c r="X333" s="18"/>
      <c r="Z333" s="17"/>
      <c r="AJ333" s="17"/>
      <c r="AK333" s="17"/>
      <c r="AN333" s="17"/>
      <c r="AQ333" s="17"/>
      <c r="AW333" s="19"/>
    </row>
    <row r="334" spans="8:49" ht="15.75" customHeight="1" x14ac:dyDescent="0.3">
      <c r="H334" s="17"/>
      <c r="S334" s="17"/>
      <c r="W334" s="18"/>
      <c r="X334" s="18"/>
      <c r="Z334" s="17"/>
      <c r="AJ334" s="17"/>
      <c r="AK334" s="17"/>
      <c r="AN334" s="17"/>
      <c r="AQ334" s="17"/>
      <c r="AW334" s="19"/>
    </row>
    <row r="335" spans="8:49" ht="15.75" customHeight="1" x14ac:dyDescent="0.3">
      <c r="H335" s="17"/>
      <c r="S335" s="17"/>
      <c r="W335" s="18"/>
      <c r="X335" s="18"/>
      <c r="Z335" s="17"/>
      <c r="AJ335" s="17"/>
      <c r="AK335" s="17"/>
      <c r="AN335" s="17"/>
      <c r="AQ335" s="17"/>
      <c r="AW335" s="19"/>
    </row>
    <row r="336" spans="8:49" ht="15.75" customHeight="1" x14ac:dyDescent="0.3">
      <c r="H336" s="17"/>
      <c r="S336" s="17"/>
      <c r="W336" s="18"/>
      <c r="X336" s="18"/>
      <c r="Z336" s="17"/>
      <c r="AJ336" s="17"/>
      <c r="AK336" s="17"/>
      <c r="AN336" s="17"/>
      <c r="AQ336" s="17"/>
      <c r="AW336" s="19"/>
    </row>
    <row r="337" spans="8:49" ht="15.75" customHeight="1" x14ac:dyDescent="0.3">
      <c r="H337" s="17"/>
      <c r="S337" s="17"/>
      <c r="W337" s="18"/>
      <c r="X337" s="18"/>
      <c r="Z337" s="17"/>
      <c r="AJ337" s="17"/>
      <c r="AK337" s="17"/>
      <c r="AN337" s="17"/>
      <c r="AQ337" s="17"/>
      <c r="AW337" s="19"/>
    </row>
    <row r="338" spans="8:49" ht="15.75" customHeight="1" x14ac:dyDescent="0.3">
      <c r="H338" s="17"/>
      <c r="S338" s="17"/>
      <c r="W338" s="18"/>
      <c r="X338" s="18"/>
      <c r="Z338" s="17"/>
      <c r="AJ338" s="17"/>
      <c r="AK338" s="17"/>
      <c r="AN338" s="17"/>
      <c r="AQ338" s="17"/>
      <c r="AW338" s="19"/>
    </row>
    <row r="339" spans="8:49" ht="15.75" customHeight="1" x14ac:dyDescent="0.3">
      <c r="H339" s="17"/>
      <c r="S339" s="17"/>
      <c r="W339" s="18"/>
      <c r="X339" s="18"/>
      <c r="Z339" s="17"/>
      <c r="AJ339" s="17"/>
      <c r="AK339" s="17"/>
      <c r="AN339" s="17"/>
      <c r="AQ339" s="17"/>
      <c r="AW339" s="19"/>
    </row>
    <row r="340" spans="8:49" ht="15.75" customHeight="1" x14ac:dyDescent="0.3">
      <c r="H340" s="17"/>
      <c r="S340" s="17"/>
      <c r="W340" s="18"/>
      <c r="X340" s="18"/>
      <c r="Z340" s="17"/>
      <c r="AJ340" s="17"/>
      <c r="AK340" s="17"/>
      <c r="AN340" s="17"/>
      <c r="AQ340" s="17"/>
      <c r="AW340" s="19"/>
    </row>
    <row r="341" spans="8:49" ht="15.75" customHeight="1" x14ac:dyDescent="0.3">
      <c r="H341" s="17"/>
      <c r="S341" s="17"/>
      <c r="W341" s="18"/>
      <c r="X341" s="18"/>
      <c r="Z341" s="17"/>
      <c r="AJ341" s="17"/>
      <c r="AK341" s="17"/>
      <c r="AN341" s="17"/>
      <c r="AQ341" s="17"/>
      <c r="AW341" s="19"/>
    </row>
    <row r="342" spans="8:49" ht="15.75" customHeight="1" x14ac:dyDescent="0.3">
      <c r="H342" s="17"/>
      <c r="S342" s="17"/>
      <c r="W342" s="18"/>
      <c r="X342" s="18"/>
      <c r="Z342" s="17"/>
      <c r="AJ342" s="17"/>
      <c r="AK342" s="17"/>
      <c r="AN342" s="17"/>
      <c r="AQ342" s="17"/>
      <c r="AW342" s="19"/>
    </row>
    <row r="343" spans="8:49" ht="15.75" customHeight="1" x14ac:dyDescent="0.3">
      <c r="H343" s="17"/>
      <c r="S343" s="17"/>
      <c r="W343" s="18"/>
      <c r="X343" s="18"/>
      <c r="Z343" s="17"/>
      <c r="AJ343" s="17"/>
      <c r="AK343" s="17"/>
      <c r="AN343" s="17"/>
      <c r="AQ343" s="17"/>
      <c r="AW343" s="19"/>
    </row>
    <row r="344" spans="8:49" ht="15.75" customHeight="1" x14ac:dyDescent="0.3">
      <c r="H344" s="17"/>
      <c r="S344" s="17"/>
      <c r="W344" s="18"/>
      <c r="X344" s="18"/>
      <c r="Z344" s="17"/>
      <c r="AJ344" s="17"/>
      <c r="AK344" s="17"/>
      <c r="AN344" s="17"/>
      <c r="AQ344" s="17"/>
      <c r="AW344" s="19"/>
    </row>
    <row r="345" spans="8:49" ht="15.75" customHeight="1" x14ac:dyDescent="0.3">
      <c r="H345" s="17"/>
      <c r="S345" s="17"/>
      <c r="W345" s="18"/>
      <c r="X345" s="18"/>
      <c r="Z345" s="17"/>
      <c r="AJ345" s="17"/>
      <c r="AK345" s="17"/>
      <c r="AN345" s="17"/>
      <c r="AQ345" s="17"/>
      <c r="AW345" s="19"/>
    </row>
    <row r="346" spans="8:49" ht="15.75" customHeight="1" x14ac:dyDescent="0.3">
      <c r="H346" s="17"/>
      <c r="S346" s="17"/>
      <c r="W346" s="18"/>
      <c r="X346" s="18"/>
      <c r="Z346" s="17"/>
      <c r="AJ346" s="17"/>
      <c r="AK346" s="17"/>
      <c r="AN346" s="17"/>
      <c r="AQ346" s="17"/>
      <c r="AW346" s="19"/>
    </row>
    <row r="347" spans="8:49" ht="15.75" customHeight="1" x14ac:dyDescent="0.3">
      <c r="H347" s="17"/>
      <c r="S347" s="17"/>
      <c r="W347" s="18"/>
      <c r="X347" s="18"/>
      <c r="Z347" s="17"/>
      <c r="AJ347" s="17"/>
      <c r="AK347" s="17"/>
      <c r="AN347" s="17"/>
      <c r="AQ347" s="17"/>
      <c r="AW347" s="19"/>
    </row>
    <row r="348" spans="8:49" ht="15.75" customHeight="1" x14ac:dyDescent="0.3">
      <c r="H348" s="17"/>
      <c r="S348" s="17"/>
      <c r="W348" s="18"/>
      <c r="X348" s="18"/>
      <c r="Z348" s="17"/>
      <c r="AJ348" s="17"/>
      <c r="AK348" s="17"/>
      <c r="AN348" s="17"/>
      <c r="AQ348" s="17"/>
      <c r="AW348" s="19"/>
    </row>
    <row r="349" spans="8:49" ht="15.75" customHeight="1" x14ac:dyDescent="0.3">
      <c r="H349" s="17"/>
      <c r="S349" s="17"/>
      <c r="W349" s="18"/>
      <c r="X349" s="18"/>
      <c r="Z349" s="17"/>
      <c r="AJ349" s="17"/>
      <c r="AK349" s="17"/>
      <c r="AN349" s="17"/>
      <c r="AQ349" s="17"/>
      <c r="AW349" s="19"/>
    </row>
    <row r="350" spans="8:49" ht="15.75" customHeight="1" x14ac:dyDescent="0.3">
      <c r="H350" s="17"/>
      <c r="S350" s="17"/>
      <c r="W350" s="18"/>
      <c r="X350" s="18"/>
      <c r="Z350" s="17"/>
      <c r="AJ350" s="17"/>
      <c r="AK350" s="17"/>
      <c r="AN350" s="17"/>
      <c r="AQ350" s="17"/>
      <c r="AW350" s="19"/>
    </row>
    <row r="351" spans="8:49" ht="15.75" customHeight="1" x14ac:dyDescent="0.3">
      <c r="H351" s="17"/>
      <c r="S351" s="17"/>
      <c r="W351" s="18"/>
      <c r="X351" s="18"/>
      <c r="Z351" s="17"/>
      <c r="AJ351" s="17"/>
      <c r="AK351" s="17"/>
      <c r="AN351" s="17"/>
      <c r="AQ351" s="17"/>
      <c r="AW351" s="19"/>
    </row>
    <row r="352" spans="8:49" ht="15.75" customHeight="1" x14ac:dyDescent="0.3">
      <c r="H352" s="17"/>
      <c r="S352" s="17"/>
      <c r="W352" s="18"/>
      <c r="X352" s="18"/>
      <c r="Z352" s="17"/>
      <c r="AJ352" s="17"/>
      <c r="AK352" s="17"/>
      <c r="AN352" s="17"/>
      <c r="AQ352" s="17"/>
      <c r="AW352" s="19"/>
    </row>
    <row r="353" spans="8:49" ht="15.75" customHeight="1" x14ac:dyDescent="0.3">
      <c r="H353" s="17"/>
      <c r="S353" s="17"/>
      <c r="W353" s="18"/>
      <c r="X353" s="18"/>
      <c r="Z353" s="17"/>
      <c r="AJ353" s="17"/>
      <c r="AK353" s="17"/>
      <c r="AN353" s="17"/>
      <c r="AQ353" s="17"/>
      <c r="AW353" s="19"/>
    </row>
    <row r="354" spans="8:49" ht="15.75" customHeight="1" x14ac:dyDescent="0.3">
      <c r="H354" s="17"/>
      <c r="S354" s="17"/>
      <c r="W354" s="18"/>
      <c r="X354" s="18"/>
      <c r="Z354" s="17"/>
      <c r="AJ354" s="17"/>
      <c r="AK354" s="17"/>
      <c r="AN354" s="17"/>
      <c r="AQ354" s="17"/>
      <c r="AW354" s="19"/>
    </row>
    <row r="355" spans="8:49" ht="15.75" customHeight="1" x14ac:dyDescent="0.3">
      <c r="H355" s="17"/>
      <c r="S355" s="17"/>
      <c r="W355" s="18"/>
      <c r="X355" s="18"/>
      <c r="Z355" s="17"/>
      <c r="AJ355" s="17"/>
      <c r="AK355" s="17"/>
      <c r="AN355" s="17"/>
      <c r="AQ355" s="17"/>
      <c r="AW355" s="19"/>
    </row>
    <row r="356" spans="8:49" ht="15.75" customHeight="1" x14ac:dyDescent="0.3">
      <c r="H356" s="17"/>
      <c r="S356" s="17"/>
      <c r="W356" s="18"/>
      <c r="X356" s="18"/>
      <c r="Z356" s="17"/>
      <c r="AJ356" s="17"/>
      <c r="AK356" s="17"/>
      <c r="AN356" s="17"/>
      <c r="AQ356" s="17"/>
      <c r="AW356" s="19"/>
    </row>
    <row r="357" spans="8:49" ht="15.75" customHeight="1" x14ac:dyDescent="0.3">
      <c r="H357" s="17"/>
      <c r="S357" s="17"/>
      <c r="W357" s="18"/>
      <c r="X357" s="18"/>
      <c r="Z357" s="17"/>
      <c r="AJ357" s="17"/>
      <c r="AK357" s="17"/>
      <c r="AN357" s="17"/>
      <c r="AQ357" s="17"/>
      <c r="AW357" s="19"/>
    </row>
    <row r="358" spans="8:49" ht="15.75" customHeight="1" x14ac:dyDescent="0.3">
      <c r="H358" s="17"/>
      <c r="S358" s="17"/>
      <c r="W358" s="18"/>
      <c r="X358" s="18"/>
      <c r="Z358" s="17"/>
      <c r="AJ358" s="17"/>
      <c r="AK358" s="17"/>
      <c r="AN358" s="17"/>
      <c r="AQ358" s="17"/>
      <c r="AW358" s="19"/>
    </row>
    <row r="359" spans="8:49" ht="15.75" customHeight="1" x14ac:dyDescent="0.3">
      <c r="H359" s="17"/>
      <c r="S359" s="17"/>
      <c r="W359" s="18"/>
      <c r="X359" s="18"/>
      <c r="Z359" s="17"/>
      <c r="AJ359" s="17"/>
      <c r="AK359" s="17"/>
      <c r="AN359" s="17"/>
      <c r="AQ359" s="17"/>
      <c r="AW359" s="19"/>
    </row>
    <row r="360" spans="8:49" ht="15.75" customHeight="1" x14ac:dyDescent="0.3">
      <c r="H360" s="17"/>
      <c r="S360" s="17"/>
      <c r="W360" s="18"/>
      <c r="X360" s="18"/>
      <c r="Z360" s="17"/>
      <c r="AJ360" s="17"/>
      <c r="AK360" s="17"/>
      <c r="AN360" s="17"/>
      <c r="AQ360" s="17"/>
      <c r="AW360" s="19"/>
    </row>
    <row r="361" spans="8:49" ht="15.75" customHeight="1" x14ac:dyDescent="0.3">
      <c r="H361" s="17"/>
      <c r="S361" s="17"/>
      <c r="W361" s="18"/>
      <c r="X361" s="18"/>
      <c r="Z361" s="17"/>
      <c r="AJ361" s="17"/>
      <c r="AK361" s="17"/>
      <c r="AN361" s="17"/>
      <c r="AQ361" s="17"/>
      <c r="AW361" s="19"/>
    </row>
    <row r="362" spans="8:49" ht="15.75" customHeight="1" x14ac:dyDescent="0.3">
      <c r="H362" s="17"/>
      <c r="S362" s="17"/>
      <c r="W362" s="18"/>
      <c r="X362" s="18"/>
      <c r="Z362" s="17"/>
      <c r="AJ362" s="17"/>
      <c r="AK362" s="17"/>
      <c r="AN362" s="17"/>
      <c r="AQ362" s="17"/>
      <c r="AW362" s="19"/>
    </row>
    <row r="363" spans="8:49" ht="15.75" customHeight="1" x14ac:dyDescent="0.3">
      <c r="H363" s="17"/>
      <c r="S363" s="17"/>
      <c r="W363" s="18"/>
      <c r="X363" s="18"/>
      <c r="Z363" s="17"/>
      <c r="AJ363" s="17"/>
      <c r="AK363" s="17"/>
      <c r="AN363" s="17"/>
      <c r="AQ363" s="17"/>
      <c r="AW363" s="19"/>
    </row>
    <row r="364" spans="8:49" ht="15.75" customHeight="1" x14ac:dyDescent="0.3">
      <c r="H364" s="17"/>
      <c r="S364" s="17"/>
      <c r="W364" s="18"/>
      <c r="X364" s="18"/>
      <c r="Z364" s="17"/>
      <c r="AJ364" s="17"/>
      <c r="AK364" s="17"/>
      <c r="AN364" s="17"/>
      <c r="AQ364" s="17"/>
      <c r="AW364" s="19"/>
    </row>
    <row r="365" spans="8:49" ht="15.75" customHeight="1" x14ac:dyDescent="0.3">
      <c r="H365" s="17"/>
      <c r="S365" s="17"/>
      <c r="W365" s="18"/>
      <c r="X365" s="18"/>
      <c r="Z365" s="17"/>
      <c r="AJ365" s="17"/>
      <c r="AK365" s="17"/>
      <c r="AN365" s="17"/>
      <c r="AQ365" s="17"/>
      <c r="AW365" s="19"/>
    </row>
    <row r="366" spans="8:49" ht="15.75" customHeight="1" x14ac:dyDescent="0.3">
      <c r="H366" s="17"/>
      <c r="S366" s="17"/>
      <c r="W366" s="18"/>
      <c r="X366" s="18"/>
      <c r="Z366" s="17"/>
      <c r="AJ366" s="17"/>
      <c r="AK366" s="17"/>
      <c r="AN366" s="17"/>
      <c r="AQ366" s="17"/>
      <c r="AW366" s="19"/>
    </row>
    <row r="367" spans="8:49" ht="15.75" customHeight="1" x14ac:dyDescent="0.3">
      <c r="H367" s="17"/>
      <c r="S367" s="17"/>
      <c r="W367" s="18"/>
      <c r="X367" s="18"/>
      <c r="Z367" s="17"/>
      <c r="AJ367" s="17"/>
      <c r="AK367" s="17"/>
      <c r="AN367" s="17"/>
      <c r="AQ367" s="17"/>
      <c r="AW367" s="19"/>
    </row>
    <row r="368" spans="8:49" ht="15.75" customHeight="1" x14ac:dyDescent="0.3">
      <c r="H368" s="17"/>
      <c r="S368" s="17"/>
      <c r="W368" s="18"/>
      <c r="X368" s="18"/>
      <c r="Z368" s="17"/>
      <c r="AJ368" s="17"/>
      <c r="AK368" s="17"/>
      <c r="AN368" s="17"/>
      <c r="AQ368" s="17"/>
      <c r="AW368" s="19"/>
    </row>
    <row r="369" spans="8:49" ht="15.75" customHeight="1" x14ac:dyDescent="0.3">
      <c r="H369" s="17"/>
      <c r="S369" s="17"/>
      <c r="W369" s="18"/>
      <c r="X369" s="18"/>
      <c r="Z369" s="17"/>
      <c r="AJ369" s="17"/>
      <c r="AK369" s="17"/>
      <c r="AN369" s="17"/>
      <c r="AQ369" s="17"/>
      <c r="AW369" s="19"/>
    </row>
    <row r="370" spans="8:49" ht="15.75" customHeight="1" x14ac:dyDescent="0.3">
      <c r="H370" s="17"/>
      <c r="S370" s="17"/>
      <c r="W370" s="18"/>
      <c r="X370" s="18"/>
      <c r="Z370" s="17"/>
      <c r="AJ370" s="17"/>
      <c r="AK370" s="17"/>
      <c r="AN370" s="17"/>
      <c r="AQ370" s="17"/>
      <c r="AW370" s="19"/>
    </row>
    <row r="371" spans="8:49" ht="15.75" customHeight="1" x14ac:dyDescent="0.3">
      <c r="H371" s="17"/>
      <c r="S371" s="17"/>
      <c r="W371" s="18"/>
      <c r="X371" s="18"/>
      <c r="Z371" s="17"/>
      <c r="AJ371" s="17"/>
      <c r="AK371" s="17"/>
      <c r="AN371" s="17"/>
      <c r="AQ371" s="17"/>
      <c r="AW371" s="19"/>
    </row>
    <row r="372" spans="8:49" ht="15.75" customHeight="1" x14ac:dyDescent="0.3">
      <c r="H372" s="17"/>
      <c r="S372" s="17"/>
      <c r="W372" s="18"/>
      <c r="X372" s="18"/>
      <c r="Z372" s="17"/>
      <c r="AJ372" s="17"/>
      <c r="AK372" s="17"/>
      <c r="AN372" s="17"/>
      <c r="AQ372" s="17"/>
      <c r="AW372" s="19"/>
    </row>
    <row r="373" spans="8:49" ht="15.75" customHeight="1" x14ac:dyDescent="0.3">
      <c r="H373" s="17"/>
      <c r="S373" s="17"/>
      <c r="W373" s="18"/>
      <c r="X373" s="18"/>
      <c r="Z373" s="17"/>
      <c r="AJ373" s="17"/>
      <c r="AK373" s="17"/>
      <c r="AN373" s="17"/>
      <c r="AQ373" s="17"/>
      <c r="AW373" s="19"/>
    </row>
    <row r="374" spans="8:49" ht="15.75" customHeight="1" x14ac:dyDescent="0.3">
      <c r="H374" s="17"/>
      <c r="S374" s="17"/>
      <c r="W374" s="18"/>
      <c r="X374" s="18"/>
      <c r="Z374" s="17"/>
      <c r="AJ374" s="17"/>
      <c r="AK374" s="17"/>
      <c r="AN374" s="17"/>
      <c r="AQ374" s="17"/>
      <c r="AW374" s="19"/>
    </row>
    <row r="375" spans="8:49" ht="15.75" customHeight="1" x14ac:dyDescent="0.3">
      <c r="H375" s="17"/>
      <c r="S375" s="17"/>
      <c r="W375" s="18"/>
      <c r="X375" s="18"/>
      <c r="Z375" s="17"/>
      <c r="AJ375" s="17"/>
      <c r="AK375" s="17"/>
      <c r="AN375" s="17"/>
      <c r="AQ375" s="17"/>
      <c r="AW375" s="19"/>
    </row>
    <row r="376" spans="8:49" ht="15.75" customHeight="1" x14ac:dyDescent="0.3">
      <c r="H376" s="17"/>
      <c r="S376" s="17"/>
      <c r="W376" s="18"/>
      <c r="X376" s="18"/>
      <c r="Z376" s="17"/>
      <c r="AJ376" s="17"/>
      <c r="AK376" s="17"/>
      <c r="AN376" s="17"/>
      <c r="AQ376" s="17"/>
      <c r="AW376" s="19"/>
    </row>
    <row r="377" spans="8:49" ht="15.75" customHeight="1" x14ac:dyDescent="0.3">
      <c r="H377" s="17"/>
      <c r="S377" s="17"/>
      <c r="W377" s="18"/>
      <c r="X377" s="18"/>
      <c r="Z377" s="17"/>
      <c r="AJ377" s="17"/>
      <c r="AK377" s="17"/>
      <c r="AN377" s="17"/>
      <c r="AQ377" s="17"/>
      <c r="AW377" s="19"/>
    </row>
    <row r="378" spans="8:49" ht="15.75" customHeight="1" x14ac:dyDescent="0.3">
      <c r="H378" s="17"/>
      <c r="S378" s="17"/>
      <c r="W378" s="18"/>
      <c r="X378" s="18"/>
      <c r="Z378" s="17"/>
      <c r="AJ378" s="17"/>
      <c r="AK378" s="17"/>
      <c r="AN378" s="17"/>
      <c r="AQ378" s="17"/>
      <c r="AW378" s="19"/>
    </row>
    <row r="379" spans="8:49" ht="15.75" customHeight="1" x14ac:dyDescent="0.3">
      <c r="H379" s="17"/>
      <c r="S379" s="17"/>
      <c r="W379" s="18"/>
      <c r="X379" s="18"/>
      <c r="Z379" s="17"/>
      <c r="AJ379" s="17"/>
      <c r="AK379" s="17"/>
      <c r="AN379" s="17"/>
      <c r="AQ379" s="17"/>
      <c r="AW379" s="19"/>
    </row>
    <row r="380" spans="8:49" ht="15.75" customHeight="1" x14ac:dyDescent="0.3">
      <c r="H380" s="17"/>
      <c r="S380" s="17"/>
      <c r="W380" s="18"/>
      <c r="X380" s="18"/>
      <c r="Z380" s="17"/>
      <c r="AJ380" s="17"/>
      <c r="AK380" s="17"/>
      <c r="AN380" s="17"/>
      <c r="AQ380" s="17"/>
      <c r="AW380" s="19"/>
    </row>
    <row r="381" spans="8:49" ht="15.75" customHeight="1" x14ac:dyDescent="0.3">
      <c r="H381" s="17"/>
      <c r="S381" s="17"/>
      <c r="W381" s="18"/>
      <c r="X381" s="18"/>
      <c r="Z381" s="17"/>
      <c r="AJ381" s="17"/>
      <c r="AK381" s="17"/>
      <c r="AN381" s="17"/>
      <c r="AQ381" s="17"/>
      <c r="AW381" s="19"/>
    </row>
    <row r="382" spans="8:49" ht="15.75" customHeight="1" x14ac:dyDescent="0.3">
      <c r="H382" s="17"/>
      <c r="S382" s="17"/>
      <c r="W382" s="18"/>
      <c r="X382" s="18"/>
      <c r="Z382" s="17"/>
      <c r="AJ382" s="17"/>
      <c r="AK382" s="17"/>
      <c r="AN382" s="17"/>
      <c r="AQ382" s="17"/>
      <c r="AW382" s="19"/>
    </row>
    <row r="383" spans="8:49" ht="15.75" customHeight="1" x14ac:dyDescent="0.3">
      <c r="H383" s="17"/>
      <c r="S383" s="17"/>
      <c r="W383" s="18"/>
      <c r="X383" s="18"/>
      <c r="Z383" s="17"/>
      <c r="AJ383" s="17"/>
      <c r="AK383" s="17"/>
      <c r="AN383" s="17"/>
      <c r="AQ383" s="17"/>
      <c r="AW383" s="19"/>
    </row>
    <row r="384" spans="8:49" ht="15.75" customHeight="1" x14ac:dyDescent="0.3">
      <c r="H384" s="17"/>
      <c r="S384" s="17"/>
      <c r="W384" s="18"/>
      <c r="X384" s="18"/>
      <c r="Z384" s="17"/>
      <c r="AJ384" s="17"/>
      <c r="AK384" s="17"/>
      <c r="AN384" s="17"/>
      <c r="AQ384" s="17"/>
      <c r="AW384" s="19"/>
    </row>
    <row r="385" spans="8:49" ht="15.75" customHeight="1" x14ac:dyDescent="0.3">
      <c r="H385" s="17"/>
      <c r="S385" s="17"/>
      <c r="W385" s="18"/>
      <c r="X385" s="18"/>
      <c r="Z385" s="17"/>
      <c r="AJ385" s="17"/>
      <c r="AK385" s="17"/>
      <c r="AN385" s="17"/>
      <c r="AQ385" s="17"/>
      <c r="AW385" s="19"/>
    </row>
    <row r="386" spans="8:49" ht="15.75" customHeight="1" x14ac:dyDescent="0.3">
      <c r="H386" s="17"/>
      <c r="S386" s="17"/>
      <c r="W386" s="18"/>
      <c r="X386" s="18"/>
      <c r="Z386" s="17"/>
      <c r="AJ386" s="17"/>
      <c r="AK386" s="17"/>
      <c r="AN386" s="17"/>
      <c r="AQ386" s="17"/>
      <c r="AW386" s="19"/>
    </row>
    <row r="387" spans="8:49" ht="15.75" customHeight="1" x14ac:dyDescent="0.3">
      <c r="H387" s="17"/>
      <c r="S387" s="17"/>
      <c r="W387" s="18"/>
      <c r="X387" s="18"/>
      <c r="Z387" s="17"/>
      <c r="AJ387" s="17"/>
      <c r="AK387" s="17"/>
      <c r="AN387" s="17"/>
      <c r="AQ387" s="17"/>
      <c r="AW387" s="19"/>
    </row>
    <row r="388" spans="8:49" ht="15.75" customHeight="1" x14ac:dyDescent="0.3">
      <c r="H388" s="17"/>
      <c r="S388" s="17"/>
      <c r="W388" s="18"/>
      <c r="X388" s="18"/>
      <c r="Z388" s="17"/>
      <c r="AJ388" s="17"/>
      <c r="AK388" s="17"/>
      <c r="AN388" s="17"/>
      <c r="AQ388" s="17"/>
      <c r="AW388" s="19"/>
    </row>
    <row r="389" spans="8:49" ht="15.75" customHeight="1" x14ac:dyDescent="0.3">
      <c r="H389" s="17"/>
      <c r="S389" s="17"/>
      <c r="W389" s="18"/>
      <c r="X389" s="18"/>
      <c r="Z389" s="17"/>
      <c r="AJ389" s="17"/>
      <c r="AK389" s="17"/>
      <c r="AN389" s="17"/>
      <c r="AQ389" s="17"/>
      <c r="AW389" s="19"/>
    </row>
    <row r="390" spans="8:49" ht="15.75" customHeight="1" x14ac:dyDescent="0.3">
      <c r="H390" s="17"/>
      <c r="S390" s="17"/>
      <c r="W390" s="18"/>
      <c r="X390" s="18"/>
      <c r="Z390" s="17"/>
      <c r="AJ390" s="17"/>
      <c r="AK390" s="17"/>
      <c r="AN390" s="17"/>
      <c r="AQ390" s="17"/>
      <c r="AW390" s="19"/>
    </row>
    <row r="391" spans="8:49" ht="15.75" customHeight="1" x14ac:dyDescent="0.3">
      <c r="H391" s="17"/>
      <c r="S391" s="17"/>
      <c r="W391" s="18"/>
      <c r="X391" s="18"/>
      <c r="Z391" s="17"/>
      <c r="AJ391" s="17"/>
      <c r="AK391" s="17"/>
      <c r="AN391" s="17"/>
      <c r="AQ391" s="17"/>
      <c r="AW391" s="19"/>
    </row>
    <row r="392" spans="8:49" ht="15.75" customHeight="1" x14ac:dyDescent="0.3">
      <c r="H392" s="17"/>
      <c r="S392" s="17"/>
      <c r="W392" s="18"/>
      <c r="X392" s="18"/>
      <c r="Z392" s="17"/>
      <c r="AJ392" s="17"/>
      <c r="AK392" s="17"/>
      <c r="AN392" s="17"/>
      <c r="AQ392" s="17"/>
      <c r="AW392" s="19"/>
    </row>
    <row r="393" spans="8:49" ht="15.75" customHeight="1" x14ac:dyDescent="0.3">
      <c r="H393" s="17"/>
      <c r="S393" s="17"/>
      <c r="W393" s="18"/>
      <c r="X393" s="18"/>
      <c r="Z393" s="17"/>
      <c r="AJ393" s="17"/>
      <c r="AK393" s="17"/>
      <c r="AN393" s="17"/>
      <c r="AQ393" s="17"/>
      <c r="AW393" s="19"/>
    </row>
    <row r="394" spans="8:49" ht="15.75" customHeight="1" x14ac:dyDescent="0.3">
      <c r="H394" s="17"/>
      <c r="S394" s="17"/>
      <c r="W394" s="18"/>
      <c r="X394" s="18"/>
      <c r="Z394" s="17"/>
      <c r="AJ394" s="17"/>
      <c r="AK394" s="17"/>
      <c r="AN394" s="17"/>
      <c r="AQ394" s="17"/>
      <c r="AW394" s="19"/>
    </row>
    <row r="395" spans="8:49" ht="15.75" customHeight="1" x14ac:dyDescent="0.3">
      <c r="H395" s="17"/>
      <c r="S395" s="17"/>
      <c r="W395" s="18"/>
      <c r="X395" s="18"/>
      <c r="Z395" s="17"/>
      <c r="AJ395" s="17"/>
      <c r="AK395" s="17"/>
      <c r="AN395" s="17"/>
      <c r="AQ395" s="17"/>
      <c r="AW395" s="19"/>
    </row>
    <row r="396" spans="8:49" ht="15.75" customHeight="1" x14ac:dyDescent="0.3">
      <c r="H396" s="17"/>
      <c r="S396" s="17"/>
      <c r="W396" s="18"/>
      <c r="X396" s="18"/>
      <c r="Z396" s="17"/>
      <c r="AJ396" s="17"/>
      <c r="AK396" s="17"/>
      <c r="AN396" s="17"/>
      <c r="AQ396" s="17"/>
      <c r="AW396" s="19"/>
    </row>
    <row r="397" spans="8:49" ht="15.75" customHeight="1" x14ac:dyDescent="0.3">
      <c r="H397" s="17"/>
      <c r="S397" s="17"/>
      <c r="W397" s="18"/>
      <c r="X397" s="18"/>
      <c r="Z397" s="17"/>
      <c r="AJ397" s="17"/>
      <c r="AK397" s="17"/>
      <c r="AN397" s="17"/>
      <c r="AQ397" s="17"/>
      <c r="AW397" s="19"/>
    </row>
    <row r="398" spans="8:49" ht="15.75" customHeight="1" x14ac:dyDescent="0.3">
      <c r="H398" s="17"/>
      <c r="S398" s="17"/>
      <c r="W398" s="18"/>
      <c r="X398" s="18"/>
      <c r="Z398" s="17"/>
      <c r="AJ398" s="17"/>
      <c r="AK398" s="17"/>
      <c r="AN398" s="17"/>
      <c r="AQ398" s="17"/>
      <c r="AW398" s="19"/>
    </row>
    <row r="399" spans="8:49" ht="15.75" customHeight="1" x14ac:dyDescent="0.3">
      <c r="H399" s="17"/>
      <c r="S399" s="17"/>
      <c r="W399" s="18"/>
      <c r="X399" s="18"/>
      <c r="Z399" s="17"/>
      <c r="AJ399" s="17"/>
      <c r="AK399" s="17"/>
      <c r="AN399" s="17"/>
      <c r="AQ399" s="17"/>
      <c r="AW399" s="19"/>
    </row>
    <row r="400" spans="8:49" ht="15.75" customHeight="1" x14ac:dyDescent="0.3">
      <c r="H400" s="17"/>
      <c r="S400" s="17"/>
      <c r="W400" s="18"/>
      <c r="X400" s="18"/>
      <c r="Z400" s="17"/>
      <c r="AJ400" s="17"/>
      <c r="AK400" s="17"/>
      <c r="AN400" s="17"/>
      <c r="AQ400" s="17"/>
      <c r="AW400" s="19"/>
    </row>
    <row r="401" spans="8:49" ht="15.75" customHeight="1" x14ac:dyDescent="0.3">
      <c r="H401" s="17"/>
      <c r="S401" s="17"/>
      <c r="W401" s="18"/>
      <c r="X401" s="18"/>
      <c r="Z401" s="17"/>
      <c r="AJ401" s="17"/>
      <c r="AK401" s="17"/>
      <c r="AN401" s="17"/>
      <c r="AQ401" s="17"/>
      <c r="AW401" s="19"/>
    </row>
    <row r="402" spans="8:49" ht="15.75" customHeight="1" x14ac:dyDescent="0.3">
      <c r="H402" s="17"/>
      <c r="S402" s="17"/>
      <c r="W402" s="18"/>
      <c r="X402" s="18"/>
      <c r="Z402" s="17"/>
      <c r="AJ402" s="17"/>
      <c r="AK402" s="17"/>
      <c r="AN402" s="17"/>
      <c r="AQ402" s="17"/>
      <c r="AW402" s="19"/>
    </row>
    <row r="403" spans="8:49" ht="15.75" customHeight="1" x14ac:dyDescent="0.3">
      <c r="H403" s="17"/>
      <c r="S403" s="17"/>
      <c r="W403" s="18"/>
      <c r="X403" s="18"/>
      <c r="Z403" s="17"/>
      <c r="AJ403" s="17"/>
      <c r="AK403" s="17"/>
      <c r="AN403" s="17"/>
      <c r="AQ403" s="17"/>
      <c r="AW403" s="19"/>
    </row>
    <row r="404" spans="8:49" ht="15.75" customHeight="1" x14ac:dyDescent="0.3">
      <c r="H404" s="17"/>
      <c r="S404" s="17"/>
      <c r="W404" s="18"/>
      <c r="X404" s="18"/>
      <c r="Z404" s="17"/>
      <c r="AJ404" s="17"/>
      <c r="AK404" s="17"/>
      <c r="AN404" s="17"/>
      <c r="AQ404" s="17"/>
      <c r="AW404" s="19"/>
    </row>
    <row r="405" spans="8:49" ht="15.75" customHeight="1" x14ac:dyDescent="0.3">
      <c r="H405" s="17"/>
      <c r="S405" s="17"/>
      <c r="W405" s="18"/>
      <c r="X405" s="18"/>
      <c r="Z405" s="17"/>
      <c r="AJ405" s="17"/>
      <c r="AK405" s="17"/>
      <c r="AN405" s="17"/>
      <c r="AQ405" s="17"/>
      <c r="AW405" s="19"/>
    </row>
    <row r="406" spans="8:49" ht="15.75" customHeight="1" x14ac:dyDescent="0.3">
      <c r="H406" s="17"/>
      <c r="S406" s="17"/>
      <c r="W406" s="18"/>
      <c r="X406" s="18"/>
      <c r="Z406" s="17"/>
      <c r="AJ406" s="17"/>
      <c r="AK406" s="17"/>
      <c r="AN406" s="17"/>
      <c r="AQ406" s="17"/>
      <c r="AW406" s="19"/>
    </row>
    <row r="407" spans="8:49" ht="15.75" customHeight="1" x14ac:dyDescent="0.3">
      <c r="H407" s="17"/>
      <c r="S407" s="17"/>
      <c r="W407" s="18"/>
      <c r="X407" s="18"/>
      <c r="Z407" s="17"/>
      <c r="AJ407" s="17"/>
      <c r="AK407" s="17"/>
      <c r="AN407" s="17"/>
      <c r="AQ407" s="17"/>
      <c r="AW407" s="19"/>
    </row>
    <row r="408" spans="8:49" ht="15.75" customHeight="1" x14ac:dyDescent="0.3">
      <c r="H408" s="17"/>
      <c r="S408" s="17"/>
      <c r="W408" s="18"/>
      <c r="X408" s="18"/>
      <c r="Z408" s="17"/>
      <c r="AJ408" s="17"/>
      <c r="AK408" s="17"/>
      <c r="AN408" s="17"/>
      <c r="AQ408" s="17"/>
      <c r="AW408" s="19"/>
    </row>
    <row r="409" spans="8:49" ht="15.75" customHeight="1" x14ac:dyDescent="0.3">
      <c r="H409" s="17"/>
      <c r="S409" s="17"/>
      <c r="W409" s="18"/>
      <c r="X409" s="18"/>
      <c r="Z409" s="17"/>
      <c r="AJ409" s="17"/>
      <c r="AK409" s="17"/>
      <c r="AN409" s="17"/>
      <c r="AQ409" s="17"/>
      <c r="AW409" s="19"/>
    </row>
    <row r="410" spans="8:49" ht="15.75" customHeight="1" x14ac:dyDescent="0.3">
      <c r="H410" s="17"/>
      <c r="S410" s="17"/>
      <c r="W410" s="18"/>
      <c r="X410" s="18"/>
      <c r="Z410" s="17"/>
      <c r="AJ410" s="17"/>
      <c r="AK410" s="17"/>
      <c r="AN410" s="17"/>
      <c r="AQ410" s="17"/>
      <c r="AW410" s="19"/>
    </row>
    <row r="411" spans="8:49" ht="15.75" customHeight="1" x14ac:dyDescent="0.3">
      <c r="H411" s="17"/>
      <c r="S411" s="17"/>
      <c r="W411" s="18"/>
      <c r="X411" s="18"/>
      <c r="Z411" s="17"/>
      <c r="AJ411" s="17"/>
      <c r="AK411" s="17"/>
      <c r="AN411" s="17"/>
      <c r="AQ411" s="17"/>
      <c r="AW411" s="19"/>
    </row>
    <row r="412" spans="8:49" ht="15.75" customHeight="1" x14ac:dyDescent="0.3">
      <c r="H412" s="17"/>
      <c r="S412" s="17"/>
      <c r="W412" s="18"/>
      <c r="X412" s="18"/>
      <c r="Z412" s="17"/>
      <c r="AJ412" s="17"/>
      <c r="AK412" s="17"/>
      <c r="AN412" s="17"/>
      <c r="AQ412" s="17"/>
      <c r="AW412" s="19"/>
    </row>
    <row r="413" spans="8:49" ht="15.75" customHeight="1" x14ac:dyDescent="0.3">
      <c r="H413" s="17"/>
      <c r="S413" s="17"/>
      <c r="W413" s="18"/>
      <c r="X413" s="18"/>
      <c r="Z413" s="17"/>
      <c r="AJ413" s="17"/>
      <c r="AK413" s="17"/>
      <c r="AN413" s="17"/>
      <c r="AQ413" s="17"/>
      <c r="AW413" s="19"/>
    </row>
    <row r="414" spans="8:49" ht="15.75" customHeight="1" x14ac:dyDescent="0.3">
      <c r="H414" s="17"/>
      <c r="S414" s="17"/>
      <c r="W414" s="18"/>
      <c r="X414" s="18"/>
      <c r="Z414" s="17"/>
      <c r="AJ414" s="17"/>
      <c r="AK414" s="17"/>
      <c r="AN414" s="17"/>
      <c r="AQ414" s="17"/>
      <c r="AW414" s="19"/>
    </row>
    <row r="415" spans="8:49" ht="15.75" customHeight="1" x14ac:dyDescent="0.3">
      <c r="H415" s="17"/>
      <c r="S415" s="17"/>
      <c r="W415" s="18"/>
      <c r="X415" s="18"/>
      <c r="Z415" s="17"/>
      <c r="AJ415" s="17"/>
      <c r="AK415" s="17"/>
      <c r="AN415" s="17"/>
      <c r="AQ415" s="17"/>
      <c r="AW415" s="19"/>
    </row>
    <row r="416" spans="8:49" ht="15.75" customHeight="1" x14ac:dyDescent="0.3">
      <c r="H416" s="17"/>
      <c r="S416" s="17"/>
      <c r="W416" s="18"/>
      <c r="X416" s="18"/>
      <c r="Z416" s="17"/>
      <c r="AJ416" s="17"/>
      <c r="AK416" s="17"/>
      <c r="AN416" s="17"/>
      <c r="AQ416" s="17"/>
      <c r="AW416" s="19"/>
    </row>
    <row r="417" spans="8:49" ht="15.75" customHeight="1" x14ac:dyDescent="0.3">
      <c r="H417" s="17"/>
      <c r="S417" s="17"/>
      <c r="W417" s="18"/>
      <c r="X417" s="18"/>
      <c r="Z417" s="17"/>
      <c r="AJ417" s="17"/>
      <c r="AK417" s="17"/>
      <c r="AN417" s="17"/>
      <c r="AQ417" s="17"/>
      <c r="AW417" s="19"/>
    </row>
    <row r="418" spans="8:49" ht="15.75" customHeight="1" x14ac:dyDescent="0.3">
      <c r="H418" s="17"/>
      <c r="S418" s="17"/>
      <c r="W418" s="18"/>
      <c r="X418" s="18"/>
      <c r="Z418" s="17"/>
      <c r="AJ418" s="17"/>
      <c r="AK418" s="17"/>
      <c r="AN418" s="17"/>
      <c r="AQ418" s="17"/>
      <c r="AW418" s="19"/>
    </row>
    <row r="419" spans="8:49" ht="15.75" customHeight="1" x14ac:dyDescent="0.3">
      <c r="H419" s="17"/>
      <c r="S419" s="17"/>
      <c r="W419" s="18"/>
      <c r="X419" s="18"/>
      <c r="Z419" s="17"/>
      <c r="AJ419" s="17"/>
      <c r="AK419" s="17"/>
      <c r="AN419" s="17"/>
      <c r="AQ419" s="17"/>
      <c r="AW419" s="19"/>
    </row>
    <row r="420" spans="8:49" ht="15.75" customHeight="1" x14ac:dyDescent="0.3">
      <c r="H420" s="17"/>
      <c r="S420" s="17"/>
      <c r="W420" s="18"/>
      <c r="X420" s="18"/>
      <c r="Z420" s="17"/>
      <c r="AJ420" s="17"/>
      <c r="AK420" s="17"/>
      <c r="AN420" s="17"/>
      <c r="AQ420" s="17"/>
      <c r="AW420" s="19"/>
    </row>
    <row r="421" spans="8:49" ht="15.75" customHeight="1" x14ac:dyDescent="0.3">
      <c r="H421" s="17"/>
      <c r="S421" s="17"/>
      <c r="W421" s="18"/>
      <c r="X421" s="18"/>
      <c r="Z421" s="17"/>
      <c r="AJ421" s="17"/>
      <c r="AK421" s="17"/>
      <c r="AN421" s="17"/>
      <c r="AQ421" s="17"/>
      <c r="AW421" s="19"/>
    </row>
    <row r="422" spans="8:49" ht="15.75" customHeight="1" x14ac:dyDescent="0.3">
      <c r="H422" s="17"/>
      <c r="S422" s="17"/>
      <c r="W422" s="18"/>
      <c r="X422" s="18"/>
      <c r="Z422" s="17"/>
      <c r="AJ422" s="17"/>
      <c r="AK422" s="17"/>
      <c r="AN422" s="17"/>
      <c r="AQ422" s="17"/>
      <c r="AW422" s="19"/>
    </row>
    <row r="423" spans="8:49" ht="15.75" customHeight="1" x14ac:dyDescent="0.3">
      <c r="H423" s="17"/>
      <c r="S423" s="17"/>
      <c r="W423" s="18"/>
      <c r="X423" s="18"/>
      <c r="Z423" s="17"/>
      <c r="AJ423" s="17"/>
      <c r="AK423" s="17"/>
      <c r="AN423" s="17"/>
      <c r="AQ423" s="17"/>
      <c r="AW423" s="19"/>
    </row>
    <row r="424" spans="8:49" ht="15.75" customHeight="1" x14ac:dyDescent="0.3">
      <c r="H424" s="17"/>
      <c r="S424" s="17"/>
      <c r="W424" s="18"/>
      <c r="X424" s="18"/>
      <c r="Z424" s="17"/>
      <c r="AJ424" s="17"/>
      <c r="AK424" s="17"/>
      <c r="AN424" s="17"/>
      <c r="AQ424" s="17"/>
      <c r="AW424" s="19"/>
    </row>
    <row r="425" spans="8:49" ht="15.75" customHeight="1" x14ac:dyDescent="0.3">
      <c r="H425" s="17"/>
      <c r="S425" s="17"/>
      <c r="W425" s="18"/>
      <c r="X425" s="18"/>
      <c r="Z425" s="17"/>
      <c r="AJ425" s="17"/>
      <c r="AK425" s="17"/>
      <c r="AN425" s="17"/>
      <c r="AQ425" s="17"/>
      <c r="AW425" s="19"/>
    </row>
    <row r="426" spans="8:49" ht="15.75" customHeight="1" x14ac:dyDescent="0.3">
      <c r="H426" s="17"/>
      <c r="S426" s="17"/>
      <c r="W426" s="18"/>
      <c r="X426" s="18"/>
      <c r="Z426" s="17"/>
      <c r="AJ426" s="17"/>
      <c r="AK426" s="17"/>
      <c r="AN426" s="17"/>
      <c r="AQ426" s="17"/>
      <c r="AW426" s="19"/>
    </row>
    <row r="427" spans="8:49" ht="15.75" customHeight="1" x14ac:dyDescent="0.3">
      <c r="H427" s="17"/>
      <c r="S427" s="17"/>
      <c r="W427" s="18"/>
      <c r="X427" s="18"/>
      <c r="Z427" s="17"/>
      <c r="AJ427" s="17"/>
      <c r="AK427" s="17"/>
      <c r="AN427" s="17"/>
      <c r="AQ427" s="17"/>
      <c r="AW427" s="19"/>
    </row>
    <row r="428" spans="8:49" ht="15.75" customHeight="1" x14ac:dyDescent="0.3">
      <c r="H428" s="17"/>
      <c r="S428" s="17"/>
      <c r="W428" s="18"/>
      <c r="X428" s="18"/>
      <c r="Z428" s="17"/>
      <c r="AJ428" s="17"/>
      <c r="AK428" s="17"/>
      <c r="AN428" s="17"/>
      <c r="AQ428" s="17"/>
      <c r="AW428" s="19"/>
    </row>
    <row r="429" spans="8:49" ht="15.75" customHeight="1" x14ac:dyDescent="0.3">
      <c r="H429" s="17"/>
      <c r="S429" s="17"/>
      <c r="W429" s="18"/>
      <c r="X429" s="18"/>
      <c r="Z429" s="17"/>
      <c r="AJ429" s="17"/>
      <c r="AK429" s="17"/>
      <c r="AN429" s="17"/>
      <c r="AQ429" s="17"/>
      <c r="AW429" s="19"/>
    </row>
    <row r="430" spans="8:49" ht="15.75" customHeight="1" x14ac:dyDescent="0.3">
      <c r="H430" s="17"/>
      <c r="S430" s="17"/>
      <c r="W430" s="18"/>
      <c r="X430" s="18"/>
      <c r="Z430" s="17"/>
      <c r="AJ430" s="17"/>
      <c r="AK430" s="17"/>
      <c r="AN430" s="17"/>
      <c r="AQ430" s="17"/>
      <c r="AW430" s="19"/>
    </row>
    <row r="431" spans="8:49" ht="15.75" customHeight="1" x14ac:dyDescent="0.3">
      <c r="H431" s="17"/>
      <c r="S431" s="17"/>
      <c r="W431" s="18"/>
      <c r="X431" s="18"/>
      <c r="Z431" s="17"/>
      <c r="AJ431" s="17"/>
      <c r="AK431" s="17"/>
      <c r="AN431" s="17"/>
      <c r="AQ431" s="17"/>
      <c r="AW431" s="19"/>
    </row>
    <row r="432" spans="8:49" ht="15.75" customHeight="1" x14ac:dyDescent="0.3">
      <c r="H432" s="17"/>
      <c r="S432" s="17"/>
      <c r="W432" s="18"/>
      <c r="X432" s="18"/>
      <c r="Z432" s="17"/>
      <c r="AJ432" s="17"/>
      <c r="AK432" s="17"/>
      <c r="AN432" s="17"/>
      <c r="AQ432" s="17"/>
      <c r="AW432" s="19"/>
    </row>
    <row r="433" spans="8:49" ht="15.75" customHeight="1" x14ac:dyDescent="0.3">
      <c r="H433" s="17"/>
      <c r="S433" s="17"/>
      <c r="W433" s="18"/>
      <c r="X433" s="18"/>
      <c r="Z433" s="17"/>
      <c r="AJ433" s="17"/>
      <c r="AK433" s="17"/>
      <c r="AN433" s="17"/>
      <c r="AQ433" s="17"/>
      <c r="AW433" s="19"/>
    </row>
    <row r="434" spans="8:49" ht="15.75" customHeight="1" x14ac:dyDescent="0.3">
      <c r="H434" s="17"/>
      <c r="S434" s="17"/>
      <c r="W434" s="18"/>
      <c r="X434" s="18"/>
      <c r="Z434" s="17"/>
      <c r="AJ434" s="17"/>
      <c r="AK434" s="17"/>
      <c r="AN434" s="17"/>
      <c r="AQ434" s="17"/>
      <c r="AW434" s="19"/>
    </row>
    <row r="435" spans="8:49" ht="15.75" customHeight="1" x14ac:dyDescent="0.3">
      <c r="H435" s="17"/>
      <c r="S435" s="17"/>
      <c r="W435" s="18"/>
      <c r="X435" s="18"/>
      <c r="Z435" s="17"/>
      <c r="AJ435" s="17"/>
      <c r="AK435" s="17"/>
      <c r="AN435" s="17"/>
      <c r="AQ435" s="17"/>
      <c r="AW435" s="19"/>
    </row>
    <row r="436" spans="8:49" ht="15.75" customHeight="1" x14ac:dyDescent="0.3">
      <c r="H436" s="17"/>
      <c r="S436" s="17"/>
      <c r="W436" s="18"/>
      <c r="X436" s="18"/>
      <c r="Z436" s="17"/>
      <c r="AJ436" s="17"/>
      <c r="AK436" s="17"/>
      <c r="AN436" s="17"/>
      <c r="AQ436" s="17"/>
      <c r="AW436" s="19"/>
    </row>
    <row r="437" spans="8:49" ht="15.75" customHeight="1" x14ac:dyDescent="0.3">
      <c r="H437" s="17"/>
      <c r="S437" s="17"/>
      <c r="W437" s="18"/>
      <c r="X437" s="18"/>
      <c r="Z437" s="17"/>
      <c r="AJ437" s="17"/>
      <c r="AK437" s="17"/>
      <c r="AN437" s="17"/>
      <c r="AQ437" s="17"/>
      <c r="AW437" s="19"/>
    </row>
    <row r="438" spans="8:49" ht="15.75" customHeight="1" x14ac:dyDescent="0.3">
      <c r="H438" s="17"/>
      <c r="S438" s="17"/>
      <c r="W438" s="18"/>
      <c r="X438" s="18"/>
      <c r="Z438" s="17"/>
      <c r="AJ438" s="17"/>
      <c r="AK438" s="17"/>
      <c r="AN438" s="17"/>
      <c r="AQ438" s="17"/>
      <c r="AW438" s="19"/>
    </row>
    <row r="439" spans="8:49" ht="15.75" customHeight="1" x14ac:dyDescent="0.3">
      <c r="H439" s="17"/>
      <c r="S439" s="17"/>
      <c r="W439" s="18"/>
      <c r="X439" s="18"/>
      <c r="Z439" s="17"/>
      <c r="AJ439" s="17"/>
      <c r="AK439" s="17"/>
      <c r="AN439" s="17"/>
      <c r="AQ439" s="17"/>
      <c r="AW439" s="19"/>
    </row>
    <row r="440" spans="8:49" ht="15.75" customHeight="1" x14ac:dyDescent="0.3">
      <c r="H440" s="17"/>
      <c r="S440" s="17"/>
      <c r="W440" s="18"/>
      <c r="X440" s="18"/>
      <c r="Z440" s="17"/>
      <c r="AJ440" s="17"/>
      <c r="AK440" s="17"/>
      <c r="AN440" s="17"/>
      <c r="AQ440" s="17"/>
      <c r="AW440" s="19"/>
    </row>
    <row r="441" spans="8:49" ht="15.75" customHeight="1" x14ac:dyDescent="0.3">
      <c r="H441" s="17"/>
      <c r="S441" s="17"/>
      <c r="W441" s="18"/>
      <c r="X441" s="18"/>
      <c r="Z441" s="17"/>
      <c r="AJ441" s="17"/>
      <c r="AK441" s="17"/>
      <c r="AN441" s="17"/>
      <c r="AQ441" s="17"/>
      <c r="AW441" s="19"/>
    </row>
    <row r="442" spans="8:49" ht="15.75" customHeight="1" x14ac:dyDescent="0.3">
      <c r="H442" s="17"/>
      <c r="S442" s="17"/>
      <c r="W442" s="18"/>
      <c r="X442" s="18"/>
      <c r="Z442" s="17"/>
      <c r="AJ442" s="17"/>
      <c r="AK442" s="17"/>
      <c r="AN442" s="17"/>
      <c r="AQ442" s="17"/>
      <c r="AW442" s="19"/>
    </row>
    <row r="443" spans="8:49" ht="15.75" customHeight="1" x14ac:dyDescent="0.3">
      <c r="H443" s="17"/>
      <c r="S443" s="17"/>
      <c r="W443" s="18"/>
      <c r="X443" s="18"/>
      <c r="Z443" s="17"/>
      <c r="AJ443" s="17"/>
      <c r="AK443" s="17"/>
      <c r="AN443" s="17"/>
      <c r="AQ443" s="17"/>
      <c r="AW443" s="19"/>
    </row>
    <row r="444" spans="8:49" ht="15.75" customHeight="1" x14ac:dyDescent="0.3">
      <c r="H444" s="17"/>
      <c r="S444" s="17"/>
      <c r="W444" s="18"/>
      <c r="X444" s="18"/>
      <c r="Z444" s="17"/>
      <c r="AJ444" s="17"/>
      <c r="AK444" s="17"/>
      <c r="AN444" s="17"/>
      <c r="AQ444" s="17"/>
      <c r="AW444" s="19"/>
    </row>
    <row r="445" spans="8:49" ht="15.75" customHeight="1" x14ac:dyDescent="0.3">
      <c r="H445" s="17"/>
      <c r="S445" s="17"/>
      <c r="W445" s="18"/>
      <c r="X445" s="18"/>
      <c r="Z445" s="17"/>
      <c r="AJ445" s="17"/>
      <c r="AK445" s="17"/>
      <c r="AN445" s="17"/>
      <c r="AQ445" s="17"/>
      <c r="AW445" s="19"/>
    </row>
    <row r="446" spans="8:49" ht="15.75" customHeight="1" x14ac:dyDescent="0.3">
      <c r="H446" s="17"/>
      <c r="S446" s="17"/>
      <c r="W446" s="18"/>
      <c r="X446" s="18"/>
      <c r="Z446" s="17"/>
      <c r="AJ446" s="17"/>
      <c r="AK446" s="17"/>
      <c r="AN446" s="17"/>
      <c r="AQ446" s="17"/>
      <c r="AW446" s="19"/>
    </row>
    <row r="447" spans="8:49" ht="15.75" customHeight="1" x14ac:dyDescent="0.3">
      <c r="H447" s="17"/>
      <c r="S447" s="17"/>
      <c r="W447" s="18"/>
      <c r="X447" s="18"/>
      <c r="Z447" s="17"/>
      <c r="AJ447" s="17"/>
      <c r="AK447" s="17"/>
      <c r="AN447" s="17"/>
      <c r="AQ447" s="17"/>
      <c r="AW447" s="19"/>
    </row>
    <row r="448" spans="8:49" ht="15.75" customHeight="1" x14ac:dyDescent="0.3">
      <c r="H448" s="17"/>
      <c r="S448" s="17"/>
      <c r="W448" s="18"/>
      <c r="X448" s="18"/>
      <c r="Z448" s="17"/>
      <c r="AJ448" s="17"/>
      <c r="AK448" s="17"/>
      <c r="AN448" s="17"/>
      <c r="AQ448" s="17"/>
      <c r="AW448" s="19"/>
    </row>
    <row r="449" spans="8:49" ht="15.75" customHeight="1" x14ac:dyDescent="0.3">
      <c r="H449" s="17"/>
      <c r="S449" s="17"/>
      <c r="W449" s="18"/>
      <c r="X449" s="18"/>
      <c r="Z449" s="17"/>
      <c r="AJ449" s="17"/>
      <c r="AK449" s="17"/>
      <c r="AN449" s="17"/>
      <c r="AQ449" s="17"/>
      <c r="AW449" s="19"/>
    </row>
    <row r="450" spans="8:49" ht="15.75" customHeight="1" x14ac:dyDescent="0.3">
      <c r="H450" s="17"/>
      <c r="S450" s="17"/>
      <c r="W450" s="18"/>
      <c r="X450" s="18"/>
      <c r="Z450" s="17"/>
      <c r="AJ450" s="17"/>
      <c r="AK450" s="17"/>
      <c r="AN450" s="17"/>
      <c r="AQ450" s="17"/>
      <c r="AW450" s="19"/>
    </row>
    <row r="451" spans="8:49" ht="15.75" customHeight="1" x14ac:dyDescent="0.3">
      <c r="H451" s="17"/>
      <c r="S451" s="17"/>
      <c r="W451" s="18"/>
      <c r="X451" s="18"/>
      <c r="Z451" s="17"/>
      <c r="AJ451" s="17"/>
      <c r="AK451" s="17"/>
      <c r="AN451" s="17"/>
      <c r="AQ451" s="17"/>
      <c r="AW451" s="19"/>
    </row>
    <row r="452" spans="8:49" ht="15.75" customHeight="1" x14ac:dyDescent="0.3">
      <c r="H452" s="17"/>
      <c r="S452" s="17"/>
      <c r="W452" s="18"/>
      <c r="X452" s="18"/>
      <c r="Z452" s="17"/>
      <c r="AJ452" s="17"/>
      <c r="AK452" s="17"/>
      <c r="AN452" s="17"/>
      <c r="AQ452" s="17"/>
      <c r="AW452" s="19"/>
    </row>
    <row r="453" spans="8:49" ht="15.75" customHeight="1" x14ac:dyDescent="0.3">
      <c r="H453" s="17"/>
      <c r="S453" s="17"/>
      <c r="W453" s="18"/>
      <c r="X453" s="18"/>
      <c r="Z453" s="17"/>
      <c r="AJ453" s="17"/>
      <c r="AK453" s="17"/>
      <c r="AN453" s="17"/>
      <c r="AQ453" s="17"/>
      <c r="AW453" s="19"/>
    </row>
    <row r="454" spans="8:49" ht="15.75" customHeight="1" x14ac:dyDescent="0.3">
      <c r="H454" s="17"/>
      <c r="S454" s="17"/>
      <c r="W454" s="18"/>
      <c r="X454" s="18"/>
      <c r="Z454" s="17"/>
      <c r="AJ454" s="17"/>
      <c r="AK454" s="17"/>
      <c r="AN454" s="17"/>
      <c r="AQ454" s="17"/>
      <c r="AW454" s="19"/>
    </row>
    <row r="455" spans="8:49" ht="15.75" customHeight="1" x14ac:dyDescent="0.3">
      <c r="H455" s="17"/>
      <c r="S455" s="17"/>
      <c r="W455" s="18"/>
      <c r="X455" s="18"/>
      <c r="Z455" s="17"/>
      <c r="AJ455" s="17"/>
      <c r="AK455" s="17"/>
      <c r="AN455" s="17"/>
      <c r="AQ455" s="17"/>
      <c r="AW455" s="19"/>
    </row>
    <row r="456" spans="8:49" ht="15.75" customHeight="1" x14ac:dyDescent="0.3">
      <c r="H456" s="17"/>
      <c r="S456" s="17"/>
      <c r="W456" s="18"/>
      <c r="X456" s="18"/>
      <c r="Z456" s="17"/>
      <c r="AJ456" s="17"/>
      <c r="AK456" s="17"/>
      <c r="AN456" s="17"/>
      <c r="AQ456" s="17"/>
      <c r="AW456" s="19"/>
    </row>
    <row r="457" spans="8:49" ht="15.75" customHeight="1" x14ac:dyDescent="0.3">
      <c r="H457" s="17"/>
      <c r="S457" s="17"/>
      <c r="W457" s="18"/>
      <c r="X457" s="18"/>
      <c r="Z457" s="17"/>
      <c r="AJ457" s="17"/>
      <c r="AK457" s="17"/>
      <c r="AN457" s="17"/>
      <c r="AQ457" s="17"/>
      <c r="AW457" s="19"/>
    </row>
    <row r="458" spans="8:49" ht="15.75" customHeight="1" x14ac:dyDescent="0.3">
      <c r="H458" s="17"/>
      <c r="S458" s="17"/>
      <c r="W458" s="18"/>
      <c r="X458" s="18"/>
      <c r="Z458" s="17"/>
      <c r="AJ458" s="17"/>
      <c r="AK458" s="17"/>
      <c r="AN458" s="17"/>
      <c r="AQ458" s="17"/>
      <c r="AW458" s="19"/>
    </row>
    <row r="459" spans="8:49" ht="15.75" customHeight="1" x14ac:dyDescent="0.3">
      <c r="H459" s="17"/>
      <c r="S459" s="17"/>
      <c r="W459" s="18"/>
      <c r="X459" s="18"/>
      <c r="Z459" s="17"/>
      <c r="AJ459" s="17"/>
      <c r="AK459" s="17"/>
      <c r="AN459" s="17"/>
      <c r="AQ459" s="17"/>
      <c r="AW459" s="19"/>
    </row>
    <row r="460" spans="8:49" ht="15.75" customHeight="1" x14ac:dyDescent="0.3">
      <c r="H460" s="17"/>
      <c r="S460" s="17"/>
      <c r="W460" s="18"/>
      <c r="X460" s="18"/>
      <c r="Z460" s="17"/>
      <c r="AJ460" s="17"/>
      <c r="AK460" s="17"/>
      <c r="AN460" s="17"/>
      <c r="AQ460" s="17"/>
      <c r="AW460" s="19"/>
    </row>
    <row r="461" spans="8:49" ht="15.75" customHeight="1" x14ac:dyDescent="0.3">
      <c r="H461" s="17"/>
      <c r="S461" s="17"/>
      <c r="W461" s="18"/>
      <c r="X461" s="18"/>
      <c r="Z461" s="17"/>
      <c r="AJ461" s="17"/>
      <c r="AK461" s="17"/>
      <c r="AN461" s="17"/>
      <c r="AQ461" s="17"/>
      <c r="AW461" s="19"/>
    </row>
    <row r="462" spans="8:49" ht="15.75" customHeight="1" x14ac:dyDescent="0.3">
      <c r="H462" s="17"/>
      <c r="S462" s="17"/>
      <c r="W462" s="18"/>
      <c r="X462" s="18"/>
      <c r="Z462" s="17"/>
      <c r="AJ462" s="17"/>
      <c r="AK462" s="17"/>
      <c r="AN462" s="17"/>
      <c r="AQ462" s="17"/>
      <c r="AW462" s="19"/>
    </row>
    <row r="463" spans="8:49" ht="15.75" customHeight="1" x14ac:dyDescent="0.3">
      <c r="H463" s="17"/>
      <c r="S463" s="17"/>
      <c r="W463" s="18"/>
      <c r="X463" s="18"/>
      <c r="Z463" s="17"/>
      <c r="AJ463" s="17"/>
      <c r="AK463" s="17"/>
      <c r="AN463" s="17"/>
      <c r="AQ463" s="17"/>
      <c r="AW463" s="19"/>
    </row>
    <row r="464" spans="8:49" ht="15.75" customHeight="1" x14ac:dyDescent="0.3">
      <c r="H464" s="17"/>
      <c r="S464" s="17"/>
      <c r="W464" s="18"/>
      <c r="X464" s="18"/>
      <c r="Z464" s="17"/>
      <c r="AJ464" s="17"/>
      <c r="AK464" s="17"/>
      <c r="AN464" s="17"/>
      <c r="AQ464" s="17"/>
      <c r="AW464" s="19"/>
    </row>
    <row r="465" spans="8:49" ht="15.75" customHeight="1" x14ac:dyDescent="0.3">
      <c r="H465" s="17"/>
      <c r="S465" s="17"/>
      <c r="W465" s="18"/>
      <c r="X465" s="18"/>
      <c r="Z465" s="17"/>
      <c r="AJ465" s="17"/>
      <c r="AK465" s="17"/>
      <c r="AN465" s="17"/>
      <c r="AQ465" s="17"/>
      <c r="AW465" s="19"/>
    </row>
    <row r="466" spans="8:49" ht="15.75" customHeight="1" x14ac:dyDescent="0.3">
      <c r="H466" s="17"/>
      <c r="S466" s="17"/>
      <c r="W466" s="18"/>
      <c r="X466" s="18"/>
      <c r="Z466" s="17"/>
      <c r="AJ466" s="17"/>
      <c r="AK466" s="17"/>
      <c r="AN466" s="17"/>
      <c r="AQ466" s="17"/>
      <c r="AW466" s="19"/>
    </row>
    <row r="467" spans="8:49" ht="15.75" customHeight="1" x14ac:dyDescent="0.3">
      <c r="H467" s="17"/>
      <c r="S467" s="17"/>
      <c r="W467" s="18"/>
      <c r="X467" s="18"/>
      <c r="Z467" s="17"/>
      <c r="AJ467" s="17"/>
      <c r="AK467" s="17"/>
      <c r="AN467" s="17"/>
      <c r="AQ467" s="17"/>
      <c r="AW467" s="19"/>
    </row>
    <row r="468" spans="8:49" ht="15.75" customHeight="1" x14ac:dyDescent="0.3">
      <c r="H468" s="17"/>
      <c r="S468" s="17"/>
      <c r="W468" s="18"/>
      <c r="X468" s="18"/>
      <c r="Z468" s="17"/>
      <c r="AJ468" s="17"/>
      <c r="AK468" s="17"/>
      <c r="AN468" s="17"/>
      <c r="AQ468" s="17"/>
      <c r="AW468" s="19"/>
    </row>
    <row r="469" spans="8:49" ht="15.75" customHeight="1" x14ac:dyDescent="0.3">
      <c r="H469" s="17"/>
      <c r="S469" s="17"/>
      <c r="W469" s="18"/>
      <c r="X469" s="18"/>
      <c r="Z469" s="17"/>
      <c r="AJ469" s="17"/>
      <c r="AK469" s="17"/>
      <c r="AN469" s="17"/>
      <c r="AQ469" s="17"/>
      <c r="AW469" s="19"/>
    </row>
    <row r="470" spans="8:49" ht="15.75" customHeight="1" x14ac:dyDescent="0.3">
      <c r="H470" s="17"/>
      <c r="S470" s="17"/>
      <c r="W470" s="18"/>
      <c r="X470" s="18"/>
      <c r="Z470" s="17"/>
      <c r="AJ470" s="17"/>
      <c r="AK470" s="17"/>
      <c r="AN470" s="17"/>
      <c r="AQ470" s="17"/>
      <c r="AW470" s="19"/>
    </row>
    <row r="471" spans="8:49" ht="15.75" customHeight="1" x14ac:dyDescent="0.3">
      <c r="H471" s="17"/>
      <c r="S471" s="17"/>
      <c r="W471" s="18"/>
      <c r="X471" s="18"/>
      <c r="Z471" s="17"/>
      <c r="AJ471" s="17"/>
      <c r="AK471" s="17"/>
      <c r="AN471" s="17"/>
      <c r="AQ471" s="17"/>
      <c r="AW471" s="19"/>
    </row>
    <row r="472" spans="8:49" ht="15.75" customHeight="1" x14ac:dyDescent="0.3">
      <c r="H472" s="17"/>
      <c r="S472" s="17"/>
      <c r="W472" s="18"/>
      <c r="X472" s="18"/>
      <c r="Z472" s="17"/>
      <c r="AJ472" s="17"/>
      <c r="AK472" s="17"/>
      <c r="AN472" s="17"/>
      <c r="AQ472" s="17"/>
      <c r="AW472" s="19"/>
    </row>
    <row r="473" spans="8:49" ht="15.75" customHeight="1" x14ac:dyDescent="0.3">
      <c r="H473" s="17"/>
      <c r="S473" s="17"/>
      <c r="W473" s="18"/>
      <c r="X473" s="18"/>
      <c r="Z473" s="17"/>
      <c r="AJ473" s="17"/>
      <c r="AK473" s="17"/>
      <c r="AN473" s="17"/>
      <c r="AQ473" s="17"/>
      <c r="AW473" s="19"/>
    </row>
    <row r="474" spans="8:49" ht="15.75" customHeight="1" x14ac:dyDescent="0.3">
      <c r="H474" s="17"/>
      <c r="S474" s="17"/>
      <c r="W474" s="18"/>
      <c r="X474" s="18"/>
      <c r="Z474" s="17"/>
      <c r="AJ474" s="17"/>
      <c r="AK474" s="17"/>
      <c r="AN474" s="17"/>
      <c r="AQ474" s="17"/>
      <c r="AW474" s="19"/>
    </row>
    <row r="475" spans="8:49" ht="15.75" customHeight="1" x14ac:dyDescent="0.3">
      <c r="H475" s="17"/>
      <c r="S475" s="17"/>
      <c r="W475" s="18"/>
      <c r="X475" s="18"/>
      <c r="Z475" s="17"/>
      <c r="AJ475" s="17"/>
      <c r="AK475" s="17"/>
      <c r="AN475" s="17"/>
      <c r="AQ475" s="17"/>
      <c r="AW475" s="19"/>
    </row>
    <row r="476" spans="8:49" ht="15.75" customHeight="1" x14ac:dyDescent="0.3">
      <c r="H476" s="17"/>
      <c r="S476" s="17"/>
      <c r="W476" s="18"/>
      <c r="X476" s="18"/>
      <c r="Z476" s="17"/>
      <c r="AJ476" s="17"/>
      <c r="AK476" s="17"/>
      <c r="AN476" s="17"/>
      <c r="AQ476" s="17"/>
      <c r="AW476" s="19"/>
    </row>
    <row r="477" spans="8:49" ht="15.75" customHeight="1" x14ac:dyDescent="0.3">
      <c r="H477" s="17"/>
      <c r="S477" s="17"/>
      <c r="W477" s="18"/>
      <c r="X477" s="18"/>
      <c r="Z477" s="17"/>
      <c r="AJ477" s="17"/>
      <c r="AK477" s="17"/>
      <c r="AN477" s="17"/>
      <c r="AQ477" s="17"/>
      <c r="AW477" s="19"/>
    </row>
    <row r="478" spans="8:49" ht="15.75" customHeight="1" x14ac:dyDescent="0.3">
      <c r="H478" s="17"/>
      <c r="S478" s="17"/>
      <c r="W478" s="18"/>
      <c r="X478" s="18"/>
      <c r="Z478" s="17"/>
      <c r="AJ478" s="17"/>
      <c r="AK478" s="17"/>
      <c r="AN478" s="17"/>
      <c r="AQ478" s="17"/>
      <c r="AW478" s="19"/>
    </row>
    <row r="479" spans="8:49" ht="15.75" customHeight="1" x14ac:dyDescent="0.3">
      <c r="H479" s="17"/>
      <c r="S479" s="17"/>
      <c r="W479" s="18"/>
      <c r="X479" s="18"/>
      <c r="Z479" s="17"/>
      <c r="AJ479" s="17"/>
      <c r="AK479" s="17"/>
      <c r="AN479" s="17"/>
      <c r="AQ479" s="17"/>
      <c r="AW479" s="19"/>
    </row>
    <row r="480" spans="8:49" ht="15.75" customHeight="1" x14ac:dyDescent="0.3">
      <c r="H480" s="17"/>
      <c r="S480" s="17"/>
      <c r="W480" s="18"/>
      <c r="X480" s="18"/>
      <c r="Z480" s="17"/>
      <c r="AJ480" s="17"/>
      <c r="AK480" s="17"/>
      <c r="AN480" s="17"/>
      <c r="AQ480" s="17"/>
      <c r="AW480" s="19"/>
    </row>
    <row r="481" spans="8:49" ht="15.75" customHeight="1" x14ac:dyDescent="0.3">
      <c r="H481" s="17"/>
      <c r="S481" s="17"/>
      <c r="W481" s="18"/>
      <c r="X481" s="18"/>
      <c r="Z481" s="17"/>
      <c r="AJ481" s="17"/>
      <c r="AK481" s="17"/>
      <c r="AN481" s="17"/>
      <c r="AQ481" s="17"/>
      <c r="AW481" s="19"/>
    </row>
    <row r="482" spans="8:49" ht="15.75" customHeight="1" x14ac:dyDescent="0.3">
      <c r="H482" s="17"/>
      <c r="S482" s="17"/>
      <c r="W482" s="18"/>
      <c r="X482" s="18"/>
      <c r="Z482" s="17"/>
      <c r="AJ482" s="17"/>
      <c r="AK482" s="17"/>
      <c r="AN482" s="17"/>
      <c r="AQ482" s="17"/>
      <c r="AW482" s="19"/>
    </row>
    <row r="483" spans="8:49" ht="15.75" customHeight="1" x14ac:dyDescent="0.3">
      <c r="H483" s="17"/>
      <c r="S483" s="17"/>
      <c r="W483" s="18"/>
      <c r="X483" s="18"/>
      <c r="Z483" s="17"/>
      <c r="AJ483" s="17"/>
      <c r="AK483" s="17"/>
      <c r="AN483" s="17"/>
      <c r="AQ483" s="17"/>
      <c r="AW483" s="19"/>
    </row>
    <row r="484" spans="8:49" ht="15.75" customHeight="1" x14ac:dyDescent="0.3">
      <c r="H484" s="17"/>
      <c r="S484" s="17"/>
      <c r="W484" s="18"/>
      <c r="X484" s="18"/>
      <c r="Z484" s="17"/>
      <c r="AJ484" s="17"/>
      <c r="AK484" s="17"/>
      <c r="AN484" s="17"/>
      <c r="AQ484" s="17"/>
      <c r="AW484" s="19"/>
    </row>
    <row r="485" spans="8:49" ht="15.75" customHeight="1" x14ac:dyDescent="0.3">
      <c r="H485" s="17"/>
      <c r="S485" s="17"/>
      <c r="W485" s="18"/>
      <c r="X485" s="18"/>
      <c r="Z485" s="17"/>
      <c r="AJ485" s="17"/>
      <c r="AK485" s="17"/>
      <c r="AN485" s="17"/>
      <c r="AQ485" s="17"/>
      <c r="AW485" s="19"/>
    </row>
    <row r="486" spans="8:49" ht="15.75" customHeight="1" x14ac:dyDescent="0.3">
      <c r="H486" s="17"/>
      <c r="S486" s="17"/>
      <c r="W486" s="18"/>
      <c r="X486" s="18"/>
      <c r="Z486" s="17"/>
      <c r="AJ486" s="17"/>
      <c r="AK486" s="17"/>
      <c r="AN486" s="17"/>
      <c r="AQ486" s="17"/>
      <c r="AW486" s="19"/>
    </row>
    <row r="487" spans="8:49" ht="15.75" customHeight="1" x14ac:dyDescent="0.3">
      <c r="H487" s="17"/>
      <c r="S487" s="17"/>
      <c r="W487" s="18"/>
      <c r="X487" s="18"/>
      <c r="Z487" s="17"/>
      <c r="AJ487" s="17"/>
      <c r="AK487" s="17"/>
      <c r="AN487" s="17"/>
      <c r="AQ487" s="17"/>
      <c r="AW487" s="19"/>
    </row>
    <row r="488" spans="8:49" ht="15.75" customHeight="1" x14ac:dyDescent="0.3">
      <c r="H488" s="17"/>
      <c r="S488" s="17"/>
      <c r="W488" s="18"/>
      <c r="X488" s="18"/>
      <c r="Z488" s="17"/>
      <c r="AJ488" s="17"/>
      <c r="AK488" s="17"/>
      <c r="AN488" s="17"/>
      <c r="AQ488" s="17"/>
      <c r="AW488" s="19"/>
    </row>
    <row r="489" spans="8:49" ht="15.75" customHeight="1" x14ac:dyDescent="0.3">
      <c r="H489" s="17"/>
      <c r="S489" s="17"/>
      <c r="W489" s="18"/>
      <c r="X489" s="18"/>
      <c r="Z489" s="17"/>
      <c r="AJ489" s="17"/>
      <c r="AK489" s="17"/>
      <c r="AN489" s="17"/>
      <c r="AQ489" s="17"/>
      <c r="AW489" s="19"/>
    </row>
    <row r="490" spans="8:49" ht="15.75" customHeight="1" x14ac:dyDescent="0.3">
      <c r="H490" s="17"/>
      <c r="S490" s="17"/>
      <c r="W490" s="18"/>
      <c r="X490" s="18"/>
      <c r="Z490" s="17"/>
      <c r="AJ490" s="17"/>
      <c r="AK490" s="17"/>
      <c r="AN490" s="17"/>
      <c r="AQ490" s="17"/>
      <c r="AW490" s="19"/>
    </row>
    <row r="491" spans="8:49" ht="15.75" customHeight="1" x14ac:dyDescent="0.3">
      <c r="H491" s="17"/>
      <c r="S491" s="17"/>
      <c r="W491" s="18"/>
      <c r="X491" s="18"/>
      <c r="Z491" s="17"/>
      <c r="AJ491" s="17"/>
      <c r="AK491" s="17"/>
      <c r="AN491" s="17"/>
      <c r="AQ491" s="17"/>
      <c r="AW491" s="19"/>
    </row>
    <row r="492" spans="8:49" ht="15.75" customHeight="1" x14ac:dyDescent="0.3">
      <c r="H492" s="17"/>
      <c r="S492" s="17"/>
      <c r="W492" s="18"/>
      <c r="X492" s="18"/>
      <c r="Z492" s="17"/>
      <c r="AJ492" s="17"/>
      <c r="AK492" s="17"/>
      <c r="AN492" s="17"/>
      <c r="AQ492" s="17"/>
      <c r="AW492" s="19"/>
    </row>
    <row r="493" spans="8:49" ht="15.75" customHeight="1" x14ac:dyDescent="0.3">
      <c r="H493" s="17"/>
      <c r="S493" s="17"/>
      <c r="W493" s="18"/>
      <c r="X493" s="18"/>
      <c r="Z493" s="17"/>
      <c r="AJ493" s="17"/>
      <c r="AK493" s="17"/>
      <c r="AN493" s="17"/>
      <c r="AQ493" s="17"/>
      <c r="AW493" s="19"/>
    </row>
    <row r="494" spans="8:49" ht="15.75" customHeight="1" x14ac:dyDescent="0.3">
      <c r="H494" s="17"/>
      <c r="S494" s="17"/>
      <c r="W494" s="18"/>
      <c r="X494" s="18"/>
      <c r="Z494" s="17"/>
      <c r="AJ494" s="17"/>
      <c r="AK494" s="17"/>
      <c r="AN494" s="17"/>
      <c r="AQ494" s="17"/>
      <c r="AW494" s="19"/>
    </row>
    <row r="495" spans="8:49" ht="15.75" customHeight="1" x14ac:dyDescent="0.3">
      <c r="H495" s="17"/>
      <c r="S495" s="17"/>
      <c r="W495" s="18"/>
      <c r="X495" s="18"/>
      <c r="Z495" s="17"/>
      <c r="AJ495" s="17"/>
      <c r="AK495" s="17"/>
      <c r="AN495" s="17"/>
      <c r="AQ495" s="17"/>
      <c r="AW495" s="19"/>
    </row>
    <row r="496" spans="8:49" ht="15.75" customHeight="1" x14ac:dyDescent="0.3">
      <c r="H496" s="17"/>
      <c r="S496" s="17"/>
      <c r="W496" s="18"/>
      <c r="X496" s="18"/>
      <c r="Z496" s="17"/>
      <c r="AJ496" s="17"/>
      <c r="AK496" s="17"/>
      <c r="AN496" s="17"/>
      <c r="AQ496" s="17"/>
      <c r="AW496" s="19"/>
    </row>
    <row r="497" spans="8:49" ht="15.75" customHeight="1" x14ac:dyDescent="0.3">
      <c r="H497" s="17"/>
      <c r="S497" s="17"/>
      <c r="W497" s="18"/>
      <c r="X497" s="18"/>
      <c r="Z497" s="17"/>
      <c r="AJ497" s="17"/>
      <c r="AK497" s="17"/>
      <c r="AN497" s="17"/>
      <c r="AQ497" s="17"/>
      <c r="AW497" s="19"/>
    </row>
    <row r="498" spans="8:49" ht="15.75" customHeight="1" x14ac:dyDescent="0.3">
      <c r="H498" s="17"/>
      <c r="S498" s="17"/>
      <c r="W498" s="18"/>
      <c r="X498" s="18"/>
      <c r="Z498" s="17"/>
      <c r="AJ498" s="17"/>
      <c r="AK498" s="17"/>
      <c r="AN498" s="17"/>
      <c r="AQ498" s="17"/>
      <c r="AW498" s="19"/>
    </row>
    <row r="499" spans="8:49" ht="15.75" customHeight="1" x14ac:dyDescent="0.3">
      <c r="H499" s="17"/>
      <c r="S499" s="17"/>
      <c r="W499" s="18"/>
      <c r="X499" s="18"/>
      <c r="Z499" s="17"/>
      <c r="AJ499" s="17"/>
      <c r="AK499" s="17"/>
      <c r="AN499" s="17"/>
      <c r="AQ499" s="17"/>
      <c r="AW499" s="19"/>
    </row>
    <row r="500" spans="8:49" ht="15.75" customHeight="1" x14ac:dyDescent="0.3">
      <c r="H500" s="17"/>
      <c r="S500" s="17"/>
      <c r="W500" s="18"/>
      <c r="X500" s="18"/>
      <c r="Z500" s="17"/>
      <c r="AJ500" s="17"/>
      <c r="AK500" s="17"/>
      <c r="AN500" s="17"/>
      <c r="AQ500" s="17"/>
      <c r="AW500" s="19"/>
    </row>
    <row r="501" spans="8:49" ht="15.75" customHeight="1" x14ac:dyDescent="0.3">
      <c r="H501" s="17"/>
      <c r="S501" s="17"/>
      <c r="W501" s="18"/>
      <c r="X501" s="18"/>
      <c r="Z501" s="17"/>
      <c r="AJ501" s="17"/>
      <c r="AK501" s="17"/>
      <c r="AN501" s="17"/>
      <c r="AQ501" s="17"/>
      <c r="AW501" s="19"/>
    </row>
    <row r="502" spans="8:49" ht="15.75" customHeight="1" x14ac:dyDescent="0.3">
      <c r="H502" s="17"/>
      <c r="S502" s="17"/>
      <c r="W502" s="18"/>
      <c r="X502" s="18"/>
      <c r="Z502" s="17"/>
      <c r="AJ502" s="17"/>
      <c r="AK502" s="17"/>
      <c r="AN502" s="17"/>
      <c r="AQ502" s="17"/>
      <c r="AW502" s="19"/>
    </row>
    <row r="503" spans="8:49" ht="15.75" customHeight="1" x14ac:dyDescent="0.3">
      <c r="H503" s="17"/>
      <c r="S503" s="17"/>
      <c r="W503" s="18"/>
      <c r="X503" s="18"/>
      <c r="Z503" s="17"/>
      <c r="AJ503" s="17"/>
      <c r="AK503" s="17"/>
      <c r="AN503" s="17"/>
      <c r="AQ503" s="17"/>
      <c r="AW503" s="19"/>
    </row>
    <row r="504" spans="8:49" ht="15.75" customHeight="1" x14ac:dyDescent="0.3">
      <c r="H504" s="17"/>
      <c r="S504" s="17"/>
      <c r="W504" s="18"/>
      <c r="X504" s="18"/>
      <c r="Z504" s="17"/>
      <c r="AJ504" s="17"/>
      <c r="AK504" s="17"/>
      <c r="AN504" s="17"/>
      <c r="AQ504" s="17"/>
      <c r="AW504" s="19"/>
    </row>
    <row r="505" spans="8:49" ht="15.75" customHeight="1" x14ac:dyDescent="0.3">
      <c r="H505" s="17"/>
      <c r="S505" s="17"/>
      <c r="W505" s="18"/>
      <c r="X505" s="18"/>
      <c r="Z505" s="17"/>
      <c r="AJ505" s="17"/>
      <c r="AK505" s="17"/>
      <c r="AN505" s="17"/>
      <c r="AQ505" s="17"/>
      <c r="AW505" s="19"/>
    </row>
    <row r="506" spans="8:49" ht="15.75" customHeight="1" x14ac:dyDescent="0.3">
      <c r="H506" s="17"/>
      <c r="S506" s="17"/>
      <c r="W506" s="18"/>
      <c r="X506" s="18"/>
      <c r="Z506" s="17"/>
      <c r="AJ506" s="17"/>
      <c r="AK506" s="17"/>
      <c r="AN506" s="17"/>
      <c r="AQ506" s="17"/>
      <c r="AW506" s="19"/>
    </row>
    <row r="507" spans="8:49" ht="15.75" customHeight="1" x14ac:dyDescent="0.3">
      <c r="H507" s="17"/>
      <c r="S507" s="17"/>
      <c r="W507" s="18"/>
      <c r="X507" s="18"/>
      <c r="Z507" s="17"/>
      <c r="AJ507" s="17"/>
      <c r="AK507" s="17"/>
      <c r="AN507" s="17"/>
      <c r="AQ507" s="17"/>
      <c r="AW507" s="19"/>
    </row>
    <row r="508" spans="8:49" ht="15.75" customHeight="1" x14ac:dyDescent="0.3">
      <c r="H508" s="17"/>
      <c r="S508" s="17"/>
      <c r="W508" s="18"/>
      <c r="X508" s="18"/>
      <c r="Z508" s="17"/>
      <c r="AJ508" s="17"/>
      <c r="AK508" s="17"/>
      <c r="AN508" s="17"/>
      <c r="AQ508" s="17"/>
      <c r="AW508" s="19"/>
    </row>
    <row r="509" spans="8:49" ht="15.75" customHeight="1" x14ac:dyDescent="0.3">
      <c r="H509" s="17"/>
      <c r="S509" s="17"/>
      <c r="W509" s="18"/>
      <c r="X509" s="18"/>
      <c r="Z509" s="17"/>
      <c r="AJ509" s="17"/>
      <c r="AK509" s="17"/>
      <c r="AN509" s="17"/>
      <c r="AQ509" s="17"/>
      <c r="AW509" s="19"/>
    </row>
    <row r="510" spans="8:49" ht="15.75" customHeight="1" x14ac:dyDescent="0.3">
      <c r="H510" s="17"/>
      <c r="S510" s="17"/>
      <c r="W510" s="18"/>
      <c r="X510" s="18"/>
      <c r="Z510" s="17"/>
      <c r="AJ510" s="17"/>
      <c r="AK510" s="17"/>
      <c r="AN510" s="17"/>
      <c r="AQ510" s="17"/>
      <c r="AW510" s="19"/>
    </row>
    <row r="511" spans="8:49" ht="15.75" customHeight="1" x14ac:dyDescent="0.3">
      <c r="H511" s="17"/>
      <c r="S511" s="17"/>
      <c r="W511" s="18"/>
      <c r="X511" s="18"/>
      <c r="Z511" s="17"/>
      <c r="AJ511" s="17"/>
      <c r="AK511" s="17"/>
      <c r="AN511" s="17"/>
      <c r="AQ511" s="17"/>
      <c r="AW511" s="19"/>
    </row>
    <row r="512" spans="8:49" ht="15.75" customHeight="1" x14ac:dyDescent="0.3">
      <c r="H512" s="17"/>
      <c r="S512" s="17"/>
      <c r="W512" s="18"/>
      <c r="X512" s="18"/>
      <c r="Z512" s="17"/>
      <c r="AJ512" s="17"/>
      <c r="AK512" s="17"/>
      <c r="AN512" s="17"/>
      <c r="AQ512" s="17"/>
      <c r="AW512" s="19"/>
    </row>
    <row r="513" spans="8:49" ht="15.75" customHeight="1" x14ac:dyDescent="0.3">
      <c r="H513" s="17"/>
      <c r="S513" s="17"/>
      <c r="W513" s="18"/>
      <c r="X513" s="18"/>
      <c r="Z513" s="17"/>
      <c r="AJ513" s="17"/>
      <c r="AK513" s="17"/>
      <c r="AN513" s="17"/>
      <c r="AQ513" s="17"/>
      <c r="AW513" s="19"/>
    </row>
    <row r="514" spans="8:49" ht="15.75" customHeight="1" x14ac:dyDescent="0.3">
      <c r="H514" s="17"/>
      <c r="S514" s="17"/>
      <c r="W514" s="18"/>
      <c r="X514" s="18"/>
      <c r="Z514" s="17"/>
      <c r="AJ514" s="17"/>
      <c r="AK514" s="17"/>
      <c r="AN514" s="17"/>
      <c r="AQ514" s="17"/>
      <c r="AW514" s="19"/>
    </row>
    <row r="515" spans="8:49" ht="15.75" customHeight="1" x14ac:dyDescent="0.3">
      <c r="H515" s="17"/>
      <c r="S515" s="17"/>
      <c r="W515" s="18"/>
      <c r="X515" s="18"/>
      <c r="Z515" s="17"/>
      <c r="AJ515" s="17"/>
      <c r="AK515" s="17"/>
      <c r="AN515" s="17"/>
      <c r="AQ515" s="17"/>
      <c r="AW515" s="19"/>
    </row>
    <row r="516" spans="8:49" ht="15.75" customHeight="1" x14ac:dyDescent="0.3">
      <c r="H516" s="17"/>
      <c r="S516" s="17"/>
      <c r="W516" s="18"/>
      <c r="X516" s="18"/>
      <c r="Z516" s="17"/>
      <c r="AJ516" s="17"/>
      <c r="AK516" s="17"/>
      <c r="AN516" s="17"/>
      <c r="AQ516" s="17"/>
      <c r="AW516" s="19"/>
    </row>
    <row r="517" spans="8:49" ht="15.75" customHeight="1" x14ac:dyDescent="0.3">
      <c r="H517" s="17"/>
      <c r="S517" s="17"/>
      <c r="W517" s="18"/>
      <c r="X517" s="18"/>
      <c r="Z517" s="17"/>
      <c r="AJ517" s="17"/>
      <c r="AK517" s="17"/>
      <c r="AN517" s="17"/>
      <c r="AQ517" s="17"/>
      <c r="AW517" s="19"/>
    </row>
    <row r="518" spans="8:49" ht="15.75" customHeight="1" x14ac:dyDescent="0.3">
      <c r="H518" s="17"/>
      <c r="S518" s="17"/>
      <c r="W518" s="18"/>
      <c r="X518" s="18"/>
      <c r="Z518" s="17"/>
      <c r="AJ518" s="17"/>
      <c r="AK518" s="17"/>
      <c r="AN518" s="17"/>
      <c r="AQ518" s="17"/>
      <c r="AW518" s="19"/>
    </row>
    <row r="519" spans="8:49" ht="15.75" customHeight="1" x14ac:dyDescent="0.3">
      <c r="H519" s="17"/>
      <c r="S519" s="17"/>
      <c r="W519" s="18"/>
      <c r="X519" s="18"/>
      <c r="Z519" s="17"/>
      <c r="AJ519" s="17"/>
      <c r="AK519" s="17"/>
      <c r="AN519" s="17"/>
      <c r="AQ519" s="17"/>
      <c r="AW519" s="19"/>
    </row>
    <row r="520" spans="8:49" ht="15.75" customHeight="1" x14ac:dyDescent="0.3">
      <c r="H520" s="17"/>
      <c r="S520" s="17"/>
      <c r="W520" s="18"/>
      <c r="X520" s="18"/>
      <c r="Z520" s="17"/>
      <c r="AJ520" s="17"/>
      <c r="AK520" s="17"/>
      <c r="AN520" s="17"/>
      <c r="AQ520" s="17"/>
      <c r="AW520" s="19"/>
    </row>
    <row r="521" spans="8:49" ht="15.75" customHeight="1" x14ac:dyDescent="0.3">
      <c r="H521" s="17"/>
      <c r="S521" s="17"/>
      <c r="W521" s="18"/>
      <c r="X521" s="18"/>
      <c r="Z521" s="17"/>
      <c r="AJ521" s="17"/>
      <c r="AK521" s="17"/>
      <c r="AN521" s="17"/>
      <c r="AQ521" s="17"/>
      <c r="AW521" s="19"/>
    </row>
    <row r="522" spans="8:49" ht="15.75" customHeight="1" x14ac:dyDescent="0.3">
      <c r="H522" s="17"/>
      <c r="S522" s="17"/>
      <c r="W522" s="18"/>
      <c r="X522" s="18"/>
      <c r="Z522" s="17"/>
      <c r="AJ522" s="17"/>
      <c r="AK522" s="17"/>
      <c r="AN522" s="17"/>
      <c r="AQ522" s="17"/>
      <c r="AW522" s="19"/>
    </row>
    <row r="523" spans="8:49" ht="15.75" customHeight="1" x14ac:dyDescent="0.3">
      <c r="H523" s="17"/>
      <c r="S523" s="17"/>
      <c r="W523" s="18"/>
      <c r="X523" s="18"/>
      <c r="Z523" s="17"/>
      <c r="AJ523" s="17"/>
      <c r="AK523" s="17"/>
      <c r="AN523" s="17"/>
      <c r="AQ523" s="17"/>
      <c r="AW523" s="19"/>
    </row>
    <row r="524" spans="8:49" ht="15.75" customHeight="1" x14ac:dyDescent="0.3">
      <c r="H524" s="17"/>
      <c r="S524" s="17"/>
      <c r="W524" s="18"/>
      <c r="X524" s="18"/>
      <c r="Z524" s="17"/>
      <c r="AJ524" s="17"/>
      <c r="AK524" s="17"/>
      <c r="AN524" s="17"/>
      <c r="AQ524" s="17"/>
      <c r="AW524" s="19"/>
    </row>
    <row r="525" spans="8:49" ht="15.75" customHeight="1" x14ac:dyDescent="0.3">
      <c r="H525" s="17"/>
      <c r="S525" s="17"/>
      <c r="W525" s="18"/>
      <c r="X525" s="18"/>
      <c r="Z525" s="17"/>
      <c r="AJ525" s="17"/>
      <c r="AK525" s="17"/>
      <c r="AN525" s="17"/>
      <c r="AQ525" s="17"/>
      <c r="AW525" s="19"/>
    </row>
    <row r="526" spans="8:49" ht="15.75" customHeight="1" x14ac:dyDescent="0.3">
      <c r="H526" s="17"/>
      <c r="S526" s="17"/>
      <c r="W526" s="18"/>
      <c r="X526" s="18"/>
      <c r="Z526" s="17"/>
      <c r="AJ526" s="17"/>
      <c r="AK526" s="17"/>
      <c r="AN526" s="17"/>
      <c r="AQ526" s="17"/>
      <c r="AW526" s="19"/>
    </row>
    <row r="527" spans="8:49" ht="15.75" customHeight="1" x14ac:dyDescent="0.3">
      <c r="H527" s="17"/>
      <c r="S527" s="17"/>
      <c r="W527" s="18"/>
      <c r="X527" s="18"/>
      <c r="Z527" s="17"/>
      <c r="AJ527" s="17"/>
      <c r="AK527" s="17"/>
      <c r="AN527" s="17"/>
      <c r="AQ527" s="17"/>
      <c r="AW527" s="19"/>
    </row>
    <row r="528" spans="8:49" ht="15.75" customHeight="1" x14ac:dyDescent="0.3">
      <c r="H528" s="17"/>
      <c r="S528" s="17"/>
      <c r="W528" s="18"/>
      <c r="X528" s="18"/>
      <c r="Z528" s="17"/>
      <c r="AJ528" s="17"/>
      <c r="AK528" s="17"/>
      <c r="AN528" s="17"/>
      <c r="AQ528" s="17"/>
      <c r="AW528" s="19"/>
    </row>
    <row r="529" spans="8:49" ht="15.75" customHeight="1" x14ac:dyDescent="0.3">
      <c r="H529" s="17"/>
      <c r="S529" s="17"/>
      <c r="W529" s="18"/>
      <c r="X529" s="18"/>
      <c r="Z529" s="17"/>
      <c r="AJ529" s="17"/>
      <c r="AK529" s="17"/>
      <c r="AN529" s="17"/>
      <c r="AQ529" s="17"/>
      <c r="AW529" s="19"/>
    </row>
    <row r="530" spans="8:49" ht="15.75" customHeight="1" x14ac:dyDescent="0.3">
      <c r="H530" s="17"/>
      <c r="S530" s="17"/>
      <c r="W530" s="18"/>
      <c r="X530" s="18"/>
      <c r="Z530" s="17"/>
      <c r="AJ530" s="17"/>
      <c r="AK530" s="17"/>
      <c r="AN530" s="17"/>
      <c r="AQ530" s="17"/>
      <c r="AW530" s="19"/>
    </row>
    <row r="531" spans="8:49" ht="15.75" customHeight="1" x14ac:dyDescent="0.3">
      <c r="H531" s="17"/>
      <c r="S531" s="17"/>
      <c r="W531" s="18"/>
      <c r="X531" s="18"/>
      <c r="Z531" s="17"/>
      <c r="AJ531" s="17"/>
      <c r="AK531" s="17"/>
      <c r="AN531" s="17"/>
      <c r="AQ531" s="17"/>
      <c r="AW531" s="19"/>
    </row>
    <row r="532" spans="8:49" ht="15.75" customHeight="1" x14ac:dyDescent="0.3">
      <c r="H532" s="17"/>
      <c r="S532" s="17"/>
      <c r="W532" s="18"/>
      <c r="X532" s="18"/>
      <c r="Z532" s="17"/>
      <c r="AJ532" s="17"/>
      <c r="AK532" s="17"/>
      <c r="AN532" s="17"/>
      <c r="AQ532" s="17"/>
      <c r="AW532" s="19"/>
    </row>
    <row r="533" spans="8:49" ht="15.75" customHeight="1" x14ac:dyDescent="0.3">
      <c r="H533" s="17"/>
      <c r="S533" s="17"/>
      <c r="W533" s="18"/>
      <c r="X533" s="18"/>
      <c r="Z533" s="17"/>
      <c r="AJ533" s="17"/>
      <c r="AK533" s="17"/>
      <c r="AN533" s="17"/>
      <c r="AQ533" s="17"/>
      <c r="AW533" s="19"/>
    </row>
    <row r="534" spans="8:49" ht="15.75" customHeight="1" x14ac:dyDescent="0.3">
      <c r="H534" s="17"/>
      <c r="S534" s="17"/>
      <c r="W534" s="18"/>
      <c r="X534" s="18"/>
      <c r="Z534" s="17"/>
      <c r="AJ534" s="17"/>
      <c r="AK534" s="17"/>
      <c r="AN534" s="17"/>
      <c r="AQ534" s="17"/>
      <c r="AW534" s="19"/>
    </row>
    <row r="535" spans="8:49" ht="15.75" customHeight="1" x14ac:dyDescent="0.3">
      <c r="H535" s="17"/>
      <c r="S535" s="17"/>
      <c r="W535" s="18"/>
      <c r="X535" s="18"/>
      <c r="Z535" s="17"/>
      <c r="AJ535" s="17"/>
      <c r="AK535" s="17"/>
      <c r="AN535" s="17"/>
      <c r="AQ535" s="17"/>
      <c r="AW535" s="19"/>
    </row>
    <row r="536" spans="8:49" ht="15.75" customHeight="1" x14ac:dyDescent="0.3">
      <c r="H536" s="17"/>
      <c r="S536" s="17"/>
      <c r="W536" s="18"/>
      <c r="X536" s="18"/>
      <c r="Z536" s="17"/>
      <c r="AJ536" s="17"/>
      <c r="AK536" s="17"/>
      <c r="AN536" s="17"/>
      <c r="AQ536" s="17"/>
      <c r="AW536" s="19"/>
    </row>
    <row r="537" spans="8:49" ht="15.75" customHeight="1" x14ac:dyDescent="0.3">
      <c r="H537" s="17"/>
      <c r="S537" s="17"/>
      <c r="W537" s="18"/>
      <c r="X537" s="18"/>
      <c r="Z537" s="17"/>
      <c r="AJ537" s="17"/>
      <c r="AK537" s="17"/>
      <c r="AN537" s="17"/>
      <c r="AQ537" s="17"/>
      <c r="AW537" s="19"/>
    </row>
    <row r="538" spans="8:49" ht="15.75" customHeight="1" x14ac:dyDescent="0.3">
      <c r="H538" s="17"/>
      <c r="S538" s="17"/>
      <c r="W538" s="18"/>
      <c r="X538" s="18"/>
      <c r="Z538" s="17"/>
      <c r="AJ538" s="17"/>
      <c r="AK538" s="17"/>
      <c r="AN538" s="17"/>
      <c r="AQ538" s="17"/>
      <c r="AW538" s="19"/>
    </row>
    <row r="539" spans="8:49" ht="15.75" customHeight="1" x14ac:dyDescent="0.3">
      <c r="H539" s="17"/>
      <c r="S539" s="17"/>
      <c r="W539" s="18"/>
      <c r="X539" s="18"/>
      <c r="Z539" s="17"/>
      <c r="AJ539" s="17"/>
      <c r="AK539" s="17"/>
      <c r="AN539" s="17"/>
      <c r="AQ539" s="17"/>
      <c r="AW539" s="19"/>
    </row>
    <row r="540" spans="8:49" ht="15.75" customHeight="1" x14ac:dyDescent="0.3">
      <c r="H540" s="17"/>
      <c r="S540" s="17"/>
      <c r="W540" s="18"/>
      <c r="X540" s="18"/>
      <c r="Z540" s="17"/>
      <c r="AJ540" s="17"/>
      <c r="AK540" s="17"/>
      <c r="AN540" s="17"/>
      <c r="AQ540" s="17"/>
      <c r="AW540" s="19"/>
    </row>
    <row r="541" spans="8:49" ht="15.75" customHeight="1" x14ac:dyDescent="0.3">
      <c r="H541" s="17"/>
      <c r="S541" s="17"/>
      <c r="W541" s="18"/>
      <c r="X541" s="18"/>
      <c r="Z541" s="17"/>
      <c r="AJ541" s="17"/>
      <c r="AK541" s="17"/>
      <c r="AN541" s="17"/>
      <c r="AQ541" s="17"/>
      <c r="AW541" s="19"/>
    </row>
    <row r="542" spans="8:49" ht="15.75" customHeight="1" x14ac:dyDescent="0.3">
      <c r="H542" s="17"/>
      <c r="S542" s="17"/>
      <c r="W542" s="18"/>
      <c r="X542" s="18"/>
      <c r="Z542" s="17"/>
      <c r="AJ542" s="17"/>
      <c r="AK542" s="17"/>
      <c r="AN542" s="17"/>
      <c r="AQ542" s="17"/>
      <c r="AW542" s="19"/>
    </row>
    <row r="543" spans="8:49" ht="15.75" customHeight="1" x14ac:dyDescent="0.3">
      <c r="H543" s="17"/>
      <c r="S543" s="17"/>
      <c r="W543" s="18"/>
      <c r="X543" s="18"/>
      <c r="Z543" s="17"/>
      <c r="AJ543" s="17"/>
      <c r="AK543" s="17"/>
      <c r="AN543" s="17"/>
      <c r="AQ543" s="17"/>
      <c r="AW543" s="19"/>
    </row>
    <row r="544" spans="8:49" ht="15.75" customHeight="1" x14ac:dyDescent="0.3">
      <c r="H544" s="17"/>
      <c r="S544" s="17"/>
      <c r="W544" s="18"/>
      <c r="X544" s="18"/>
      <c r="Z544" s="17"/>
      <c r="AJ544" s="17"/>
      <c r="AK544" s="17"/>
      <c r="AN544" s="17"/>
      <c r="AQ544" s="17"/>
      <c r="AW544" s="19"/>
    </row>
    <row r="545" spans="8:49" ht="15.75" customHeight="1" x14ac:dyDescent="0.3">
      <c r="H545" s="17"/>
      <c r="S545" s="17"/>
      <c r="W545" s="18"/>
      <c r="X545" s="18"/>
      <c r="Z545" s="17"/>
      <c r="AJ545" s="17"/>
      <c r="AK545" s="17"/>
      <c r="AN545" s="17"/>
      <c r="AQ545" s="17"/>
      <c r="AW545" s="19"/>
    </row>
    <row r="546" spans="8:49" ht="15.75" customHeight="1" x14ac:dyDescent="0.3">
      <c r="H546" s="17"/>
      <c r="S546" s="17"/>
      <c r="W546" s="18"/>
      <c r="X546" s="18"/>
      <c r="Z546" s="17"/>
      <c r="AJ546" s="17"/>
      <c r="AK546" s="17"/>
      <c r="AN546" s="17"/>
      <c r="AQ546" s="17"/>
      <c r="AW546" s="19"/>
    </row>
    <row r="547" spans="8:49" ht="15.75" customHeight="1" x14ac:dyDescent="0.3">
      <c r="H547" s="17"/>
      <c r="S547" s="17"/>
      <c r="W547" s="18"/>
      <c r="X547" s="18"/>
      <c r="Z547" s="17"/>
      <c r="AJ547" s="17"/>
      <c r="AK547" s="17"/>
      <c r="AN547" s="17"/>
      <c r="AQ547" s="17"/>
      <c r="AW547" s="19"/>
    </row>
    <row r="548" spans="8:49" ht="15.75" customHeight="1" x14ac:dyDescent="0.3">
      <c r="H548" s="17"/>
      <c r="S548" s="17"/>
      <c r="W548" s="18"/>
      <c r="X548" s="18"/>
      <c r="Z548" s="17"/>
      <c r="AJ548" s="17"/>
      <c r="AK548" s="17"/>
      <c r="AN548" s="17"/>
      <c r="AQ548" s="17"/>
      <c r="AW548" s="19"/>
    </row>
    <row r="549" spans="8:49" ht="15.75" customHeight="1" x14ac:dyDescent="0.3">
      <c r="H549" s="17"/>
      <c r="S549" s="17"/>
      <c r="W549" s="18"/>
      <c r="X549" s="18"/>
      <c r="Z549" s="17"/>
      <c r="AJ549" s="17"/>
      <c r="AK549" s="17"/>
      <c r="AN549" s="17"/>
      <c r="AQ549" s="17"/>
      <c r="AW549" s="19"/>
    </row>
    <row r="550" spans="8:49" ht="15.75" customHeight="1" x14ac:dyDescent="0.3">
      <c r="H550" s="17"/>
      <c r="S550" s="17"/>
      <c r="W550" s="18"/>
      <c r="X550" s="18"/>
      <c r="Z550" s="17"/>
      <c r="AJ550" s="17"/>
      <c r="AK550" s="17"/>
      <c r="AN550" s="17"/>
      <c r="AQ550" s="17"/>
      <c r="AW550" s="19"/>
    </row>
    <row r="551" spans="8:49" ht="15.75" customHeight="1" x14ac:dyDescent="0.3">
      <c r="H551" s="17"/>
      <c r="S551" s="17"/>
      <c r="W551" s="18"/>
      <c r="X551" s="18"/>
      <c r="Z551" s="17"/>
      <c r="AJ551" s="17"/>
      <c r="AK551" s="17"/>
      <c r="AN551" s="17"/>
      <c r="AQ551" s="17"/>
      <c r="AW551" s="19"/>
    </row>
    <row r="552" spans="8:49" ht="15.75" customHeight="1" x14ac:dyDescent="0.3">
      <c r="H552" s="17"/>
      <c r="S552" s="17"/>
      <c r="W552" s="18"/>
      <c r="X552" s="18"/>
      <c r="Z552" s="17"/>
      <c r="AJ552" s="17"/>
      <c r="AK552" s="17"/>
      <c r="AN552" s="17"/>
      <c r="AQ552" s="17"/>
      <c r="AW552" s="19"/>
    </row>
    <row r="553" spans="8:49" ht="15.75" customHeight="1" x14ac:dyDescent="0.3">
      <c r="H553" s="17"/>
      <c r="S553" s="17"/>
      <c r="W553" s="18"/>
      <c r="X553" s="18"/>
      <c r="Z553" s="17"/>
      <c r="AJ553" s="17"/>
      <c r="AK553" s="17"/>
      <c r="AN553" s="17"/>
      <c r="AQ553" s="17"/>
      <c r="AW553" s="19"/>
    </row>
    <row r="554" spans="8:49" ht="15.75" customHeight="1" x14ac:dyDescent="0.3">
      <c r="H554" s="17"/>
      <c r="S554" s="17"/>
      <c r="W554" s="18"/>
      <c r="X554" s="18"/>
      <c r="Z554" s="17"/>
      <c r="AJ554" s="17"/>
      <c r="AK554" s="17"/>
      <c r="AN554" s="17"/>
      <c r="AQ554" s="17"/>
      <c r="AW554" s="19"/>
    </row>
    <row r="555" spans="8:49" ht="15.75" customHeight="1" x14ac:dyDescent="0.3">
      <c r="H555" s="17"/>
      <c r="S555" s="17"/>
      <c r="W555" s="18"/>
      <c r="X555" s="18"/>
      <c r="Z555" s="17"/>
      <c r="AJ555" s="17"/>
      <c r="AK555" s="17"/>
      <c r="AN555" s="17"/>
      <c r="AQ555" s="17"/>
      <c r="AW555" s="19"/>
    </row>
    <row r="556" spans="8:49" ht="15.75" customHeight="1" x14ac:dyDescent="0.3">
      <c r="H556" s="17"/>
      <c r="S556" s="17"/>
      <c r="W556" s="18"/>
      <c r="X556" s="18"/>
      <c r="Z556" s="17"/>
      <c r="AJ556" s="17"/>
      <c r="AK556" s="17"/>
      <c r="AN556" s="17"/>
      <c r="AQ556" s="17"/>
      <c r="AW556" s="19"/>
    </row>
    <row r="557" spans="8:49" ht="15.75" customHeight="1" x14ac:dyDescent="0.3">
      <c r="H557" s="17"/>
      <c r="S557" s="17"/>
      <c r="W557" s="18"/>
      <c r="X557" s="18"/>
      <c r="Z557" s="17"/>
      <c r="AJ557" s="17"/>
      <c r="AK557" s="17"/>
      <c r="AN557" s="17"/>
      <c r="AQ557" s="17"/>
      <c r="AW557" s="19"/>
    </row>
    <row r="558" spans="8:49" ht="15.75" customHeight="1" x14ac:dyDescent="0.3">
      <c r="H558" s="17"/>
      <c r="S558" s="17"/>
      <c r="W558" s="18"/>
      <c r="X558" s="18"/>
      <c r="Z558" s="17"/>
      <c r="AJ558" s="17"/>
      <c r="AK558" s="17"/>
      <c r="AN558" s="17"/>
      <c r="AQ558" s="17"/>
      <c r="AW558" s="19"/>
    </row>
    <row r="559" spans="8:49" ht="15.75" customHeight="1" x14ac:dyDescent="0.3">
      <c r="H559" s="17"/>
      <c r="S559" s="17"/>
      <c r="W559" s="18"/>
      <c r="X559" s="18"/>
      <c r="Z559" s="17"/>
      <c r="AJ559" s="17"/>
      <c r="AK559" s="17"/>
      <c r="AN559" s="17"/>
      <c r="AQ559" s="17"/>
      <c r="AW559" s="19"/>
    </row>
    <row r="560" spans="8:49" ht="15.75" customHeight="1" x14ac:dyDescent="0.3">
      <c r="H560" s="17"/>
      <c r="S560" s="17"/>
      <c r="W560" s="18"/>
      <c r="X560" s="18"/>
      <c r="Z560" s="17"/>
      <c r="AJ560" s="17"/>
      <c r="AK560" s="17"/>
      <c r="AN560" s="17"/>
      <c r="AQ560" s="17"/>
      <c r="AW560" s="19"/>
    </row>
    <row r="561" spans="8:49" ht="15.75" customHeight="1" x14ac:dyDescent="0.3">
      <c r="H561" s="17"/>
      <c r="S561" s="17"/>
      <c r="W561" s="18"/>
      <c r="X561" s="18"/>
      <c r="Z561" s="17"/>
      <c r="AJ561" s="17"/>
      <c r="AK561" s="17"/>
      <c r="AN561" s="17"/>
      <c r="AQ561" s="17"/>
      <c r="AW561" s="19"/>
    </row>
    <row r="562" spans="8:49" ht="15.75" customHeight="1" x14ac:dyDescent="0.3">
      <c r="H562" s="17"/>
      <c r="S562" s="17"/>
      <c r="W562" s="18"/>
      <c r="X562" s="18"/>
      <c r="Z562" s="17"/>
      <c r="AJ562" s="17"/>
      <c r="AK562" s="17"/>
      <c r="AN562" s="17"/>
      <c r="AQ562" s="17"/>
      <c r="AW562" s="19"/>
    </row>
    <row r="563" spans="8:49" ht="15.75" customHeight="1" x14ac:dyDescent="0.3">
      <c r="H563" s="17"/>
      <c r="S563" s="17"/>
      <c r="W563" s="18"/>
      <c r="X563" s="18"/>
      <c r="Z563" s="17"/>
      <c r="AJ563" s="17"/>
      <c r="AK563" s="17"/>
      <c r="AN563" s="17"/>
      <c r="AQ563" s="17"/>
      <c r="AW563" s="19"/>
    </row>
    <row r="564" spans="8:49" ht="15.75" customHeight="1" x14ac:dyDescent="0.3">
      <c r="H564" s="17"/>
      <c r="S564" s="17"/>
      <c r="W564" s="18"/>
      <c r="X564" s="18"/>
      <c r="Z564" s="17"/>
      <c r="AJ564" s="17"/>
      <c r="AK564" s="17"/>
      <c r="AN564" s="17"/>
      <c r="AQ564" s="17"/>
      <c r="AW564" s="19"/>
    </row>
    <row r="565" spans="8:49" ht="15.75" customHeight="1" x14ac:dyDescent="0.3">
      <c r="H565" s="17"/>
      <c r="S565" s="17"/>
      <c r="W565" s="18"/>
      <c r="X565" s="18"/>
      <c r="Z565" s="17"/>
      <c r="AJ565" s="17"/>
      <c r="AK565" s="17"/>
      <c r="AN565" s="17"/>
      <c r="AQ565" s="17"/>
      <c r="AW565" s="19"/>
    </row>
    <row r="566" spans="8:49" ht="15.75" customHeight="1" x14ac:dyDescent="0.3">
      <c r="H566" s="17"/>
      <c r="S566" s="17"/>
      <c r="W566" s="18"/>
      <c r="X566" s="18"/>
      <c r="Z566" s="17"/>
      <c r="AJ566" s="17"/>
      <c r="AK566" s="17"/>
      <c r="AN566" s="17"/>
      <c r="AQ566" s="17"/>
      <c r="AW566" s="19"/>
    </row>
    <row r="567" spans="8:49" ht="15.75" customHeight="1" x14ac:dyDescent="0.3">
      <c r="H567" s="17"/>
      <c r="S567" s="17"/>
      <c r="W567" s="18"/>
      <c r="X567" s="18"/>
      <c r="Z567" s="17"/>
      <c r="AJ567" s="17"/>
      <c r="AK567" s="17"/>
      <c r="AN567" s="17"/>
      <c r="AQ567" s="17"/>
      <c r="AW567" s="19"/>
    </row>
    <row r="568" spans="8:49" ht="15.75" customHeight="1" x14ac:dyDescent="0.3">
      <c r="H568" s="17"/>
      <c r="S568" s="17"/>
      <c r="W568" s="18"/>
      <c r="X568" s="18"/>
      <c r="Z568" s="17"/>
      <c r="AJ568" s="17"/>
      <c r="AK568" s="17"/>
      <c r="AN568" s="17"/>
      <c r="AQ568" s="17"/>
      <c r="AW568" s="19"/>
    </row>
    <row r="569" spans="8:49" ht="15.75" customHeight="1" x14ac:dyDescent="0.3">
      <c r="H569" s="17"/>
      <c r="S569" s="17"/>
      <c r="W569" s="18"/>
      <c r="X569" s="18"/>
      <c r="Z569" s="17"/>
      <c r="AJ569" s="17"/>
      <c r="AK569" s="17"/>
      <c r="AN569" s="17"/>
      <c r="AQ569" s="17"/>
      <c r="AW569" s="19"/>
    </row>
    <row r="570" spans="8:49" ht="15.75" customHeight="1" x14ac:dyDescent="0.3">
      <c r="H570" s="17"/>
      <c r="S570" s="17"/>
      <c r="W570" s="18"/>
      <c r="X570" s="18"/>
      <c r="Z570" s="17"/>
      <c r="AJ570" s="17"/>
      <c r="AK570" s="17"/>
      <c r="AN570" s="17"/>
      <c r="AQ570" s="17"/>
      <c r="AW570" s="19"/>
    </row>
    <row r="571" spans="8:49" ht="15.75" customHeight="1" x14ac:dyDescent="0.3">
      <c r="H571" s="17"/>
      <c r="S571" s="17"/>
      <c r="W571" s="18"/>
      <c r="X571" s="18"/>
      <c r="Z571" s="17"/>
      <c r="AJ571" s="17"/>
      <c r="AK571" s="17"/>
      <c r="AN571" s="17"/>
      <c r="AQ571" s="17"/>
      <c r="AW571" s="19"/>
    </row>
    <row r="572" spans="8:49" ht="15.75" customHeight="1" x14ac:dyDescent="0.3">
      <c r="H572" s="17"/>
      <c r="S572" s="17"/>
      <c r="W572" s="18"/>
      <c r="X572" s="18"/>
      <c r="Z572" s="17"/>
      <c r="AJ572" s="17"/>
      <c r="AK572" s="17"/>
      <c r="AN572" s="17"/>
      <c r="AQ572" s="17"/>
      <c r="AW572" s="19"/>
    </row>
    <row r="573" spans="8:49" ht="15.75" customHeight="1" x14ac:dyDescent="0.3">
      <c r="H573" s="17"/>
      <c r="S573" s="17"/>
      <c r="W573" s="18"/>
      <c r="X573" s="18"/>
      <c r="Z573" s="17"/>
      <c r="AJ573" s="17"/>
      <c r="AK573" s="17"/>
      <c r="AN573" s="17"/>
      <c r="AQ573" s="17"/>
      <c r="AW573" s="19"/>
    </row>
    <row r="574" spans="8:49" ht="15.75" customHeight="1" x14ac:dyDescent="0.3">
      <c r="H574" s="17"/>
      <c r="S574" s="17"/>
      <c r="W574" s="18"/>
      <c r="X574" s="18"/>
      <c r="Z574" s="17"/>
      <c r="AJ574" s="17"/>
      <c r="AK574" s="17"/>
      <c r="AN574" s="17"/>
      <c r="AQ574" s="17"/>
      <c r="AW574" s="19"/>
    </row>
    <row r="575" spans="8:49" ht="15.75" customHeight="1" x14ac:dyDescent="0.3">
      <c r="H575" s="17"/>
      <c r="S575" s="17"/>
      <c r="W575" s="18"/>
      <c r="X575" s="18"/>
      <c r="Z575" s="17"/>
      <c r="AJ575" s="17"/>
      <c r="AK575" s="17"/>
      <c r="AN575" s="17"/>
      <c r="AQ575" s="17"/>
      <c r="AW575" s="19"/>
    </row>
    <row r="576" spans="8:49" ht="15.75" customHeight="1" x14ac:dyDescent="0.3">
      <c r="H576" s="17"/>
      <c r="S576" s="17"/>
      <c r="W576" s="18"/>
      <c r="X576" s="18"/>
      <c r="Z576" s="17"/>
      <c r="AJ576" s="17"/>
      <c r="AK576" s="17"/>
      <c r="AN576" s="17"/>
      <c r="AQ576" s="17"/>
      <c r="AW576" s="19"/>
    </row>
    <row r="577" spans="8:49" ht="15.75" customHeight="1" x14ac:dyDescent="0.3">
      <c r="H577" s="17"/>
      <c r="S577" s="17"/>
      <c r="W577" s="18"/>
      <c r="X577" s="18"/>
      <c r="Z577" s="17"/>
      <c r="AJ577" s="17"/>
      <c r="AK577" s="17"/>
      <c r="AN577" s="17"/>
      <c r="AQ577" s="17"/>
      <c r="AW577" s="19"/>
    </row>
    <row r="578" spans="8:49" ht="15.75" customHeight="1" x14ac:dyDescent="0.3">
      <c r="H578" s="17"/>
      <c r="S578" s="17"/>
      <c r="W578" s="18"/>
      <c r="X578" s="18"/>
      <c r="Z578" s="17"/>
      <c r="AJ578" s="17"/>
      <c r="AK578" s="17"/>
      <c r="AN578" s="17"/>
      <c r="AQ578" s="17"/>
      <c r="AW578" s="19"/>
    </row>
    <row r="579" spans="8:49" ht="15.75" customHeight="1" x14ac:dyDescent="0.3">
      <c r="H579" s="17"/>
      <c r="S579" s="17"/>
      <c r="W579" s="18"/>
      <c r="X579" s="18"/>
      <c r="Z579" s="17"/>
      <c r="AJ579" s="17"/>
      <c r="AK579" s="17"/>
      <c r="AN579" s="17"/>
      <c r="AQ579" s="17"/>
      <c r="AW579" s="19"/>
    </row>
    <row r="580" spans="8:49" ht="15.75" customHeight="1" x14ac:dyDescent="0.3">
      <c r="H580" s="17"/>
      <c r="S580" s="17"/>
      <c r="W580" s="18"/>
      <c r="X580" s="18"/>
      <c r="Z580" s="17"/>
      <c r="AJ580" s="17"/>
      <c r="AK580" s="17"/>
      <c r="AN580" s="17"/>
      <c r="AQ580" s="17"/>
      <c r="AW580" s="19"/>
    </row>
    <row r="581" spans="8:49" ht="15.75" customHeight="1" x14ac:dyDescent="0.3">
      <c r="H581" s="17"/>
      <c r="S581" s="17"/>
      <c r="W581" s="18"/>
      <c r="X581" s="18"/>
      <c r="Z581" s="17"/>
      <c r="AJ581" s="17"/>
      <c r="AK581" s="17"/>
      <c r="AN581" s="17"/>
      <c r="AQ581" s="17"/>
      <c r="AW581" s="19"/>
    </row>
    <row r="582" spans="8:49" ht="15.75" customHeight="1" x14ac:dyDescent="0.3">
      <c r="H582" s="17"/>
      <c r="S582" s="17"/>
      <c r="W582" s="18"/>
      <c r="X582" s="18"/>
      <c r="Z582" s="17"/>
      <c r="AJ582" s="17"/>
      <c r="AK582" s="17"/>
      <c r="AN582" s="17"/>
      <c r="AQ582" s="17"/>
      <c r="AW582" s="19"/>
    </row>
    <row r="583" spans="8:49" ht="15.75" customHeight="1" x14ac:dyDescent="0.3">
      <c r="H583" s="17"/>
      <c r="S583" s="17"/>
      <c r="W583" s="18"/>
      <c r="X583" s="18"/>
      <c r="Z583" s="17"/>
      <c r="AJ583" s="17"/>
      <c r="AK583" s="17"/>
      <c r="AN583" s="17"/>
      <c r="AQ583" s="17"/>
      <c r="AW583" s="19"/>
    </row>
    <row r="584" spans="8:49" ht="15.75" customHeight="1" x14ac:dyDescent="0.3">
      <c r="H584" s="17"/>
      <c r="S584" s="17"/>
      <c r="W584" s="18"/>
      <c r="X584" s="18"/>
      <c r="Z584" s="17"/>
      <c r="AJ584" s="17"/>
      <c r="AK584" s="17"/>
      <c r="AN584" s="17"/>
      <c r="AQ584" s="17"/>
      <c r="AW584" s="19"/>
    </row>
    <row r="585" spans="8:49" ht="15.75" customHeight="1" x14ac:dyDescent="0.3">
      <c r="H585" s="17"/>
      <c r="S585" s="17"/>
      <c r="W585" s="18"/>
      <c r="X585" s="18"/>
      <c r="Z585" s="17"/>
      <c r="AJ585" s="17"/>
      <c r="AK585" s="17"/>
      <c r="AN585" s="17"/>
      <c r="AQ585" s="17"/>
      <c r="AW585" s="19"/>
    </row>
    <row r="586" spans="8:49" ht="15.75" customHeight="1" x14ac:dyDescent="0.3">
      <c r="H586" s="17"/>
      <c r="S586" s="17"/>
      <c r="W586" s="18"/>
      <c r="X586" s="18"/>
      <c r="Z586" s="17"/>
      <c r="AJ586" s="17"/>
      <c r="AK586" s="17"/>
      <c r="AN586" s="17"/>
      <c r="AQ586" s="17"/>
      <c r="AW586" s="19"/>
    </row>
    <row r="587" spans="8:49" ht="15.75" customHeight="1" x14ac:dyDescent="0.3">
      <c r="H587" s="17"/>
      <c r="S587" s="17"/>
      <c r="W587" s="18"/>
      <c r="X587" s="18"/>
      <c r="Z587" s="17"/>
      <c r="AJ587" s="17"/>
      <c r="AK587" s="17"/>
      <c r="AN587" s="17"/>
      <c r="AQ587" s="17"/>
      <c r="AW587" s="19"/>
    </row>
    <row r="588" spans="8:49" ht="15.75" customHeight="1" x14ac:dyDescent="0.3">
      <c r="H588" s="17"/>
      <c r="S588" s="17"/>
      <c r="W588" s="18"/>
      <c r="X588" s="18"/>
      <c r="Z588" s="17"/>
      <c r="AJ588" s="17"/>
      <c r="AK588" s="17"/>
      <c r="AN588" s="17"/>
      <c r="AQ588" s="17"/>
      <c r="AW588" s="19"/>
    </row>
    <row r="589" spans="8:49" ht="15.75" customHeight="1" x14ac:dyDescent="0.3">
      <c r="H589" s="17"/>
      <c r="S589" s="17"/>
      <c r="W589" s="18"/>
      <c r="X589" s="18"/>
      <c r="Z589" s="17"/>
      <c r="AJ589" s="17"/>
      <c r="AK589" s="17"/>
      <c r="AN589" s="17"/>
      <c r="AQ589" s="17"/>
      <c r="AW589" s="19"/>
    </row>
    <row r="590" spans="8:49" ht="15.75" customHeight="1" x14ac:dyDescent="0.3">
      <c r="H590" s="17"/>
      <c r="S590" s="17"/>
      <c r="W590" s="18"/>
      <c r="X590" s="18"/>
      <c r="Z590" s="17"/>
      <c r="AJ590" s="17"/>
      <c r="AK590" s="17"/>
      <c r="AN590" s="17"/>
      <c r="AQ590" s="17"/>
      <c r="AW590" s="19"/>
    </row>
    <row r="591" spans="8:49" ht="15.75" customHeight="1" x14ac:dyDescent="0.3">
      <c r="H591" s="17"/>
      <c r="S591" s="17"/>
      <c r="W591" s="18"/>
      <c r="X591" s="18"/>
      <c r="Z591" s="17"/>
      <c r="AJ591" s="17"/>
      <c r="AK591" s="17"/>
      <c r="AN591" s="17"/>
      <c r="AQ591" s="17"/>
      <c r="AW591" s="19"/>
    </row>
    <row r="592" spans="8:49" ht="15.75" customHeight="1" x14ac:dyDescent="0.3">
      <c r="H592" s="17"/>
      <c r="S592" s="17"/>
      <c r="W592" s="18"/>
      <c r="X592" s="18"/>
      <c r="Z592" s="17"/>
      <c r="AJ592" s="17"/>
      <c r="AK592" s="17"/>
      <c r="AN592" s="17"/>
      <c r="AQ592" s="17"/>
      <c r="AW592" s="19"/>
    </row>
    <row r="593" spans="8:49" ht="15.75" customHeight="1" x14ac:dyDescent="0.3">
      <c r="H593" s="17"/>
      <c r="S593" s="17"/>
      <c r="W593" s="18"/>
      <c r="X593" s="18"/>
      <c r="Z593" s="17"/>
      <c r="AJ593" s="17"/>
      <c r="AK593" s="17"/>
      <c r="AN593" s="17"/>
      <c r="AQ593" s="17"/>
      <c r="AW593" s="19"/>
    </row>
    <row r="594" spans="8:49" ht="15.75" customHeight="1" x14ac:dyDescent="0.3">
      <c r="H594" s="17"/>
      <c r="S594" s="17"/>
      <c r="W594" s="18"/>
      <c r="X594" s="18"/>
      <c r="Z594" s="17"/>
      <c r="AJ594" s="17"/>
      <c r="AK594" s="17"/>
      <c r="AN594" s="17"/>
      <c r="AQ594" s="17"/>
      <c r="AW594" s="19"/>
    </row>
    <row r="595" spans="8:49" ht="15.75" customHeight="1" x14ac:dyDescent="0.3">
      <c r="H595" s="17"/>
      <c r="S595" s="17"/>
      <c r="W595" s="18"/>
      <c r="X595" s="18"/>
      <c r="Z595" s="17"/>
      <c r="AJ595" s="17"/>
      <c r="AK595" s="17"/>
      <c r="AN595" s="17"/>
      <c r="AQ595" s="17"/>
      <c r="AW595" s="19"/>
    </row>
    <row r="596" spans="8:49" ht="15.75" customHeight="1" x14ac:dyDescent="0.3">
      <c r="H596" s="17"/>
      <c r="S596" s="17"/>
      <c r="W596" s="18"/>
      <c r="X596" s="18"/>
      <c r="Z596" s="17"/>
      <c r="AJ596" s="17"/>
      <c r="AK596" s="17"/>
      <c r="AN596" s="17"/>
      <c r="AQ596" s="17"/>
      <c r="AW596" s="19"/>
    </row>
    <row r="597" spans="8:49" ht="15.75" customHeight="1" x14ac:dyDescent="0.3">
      <c r="H597" s="17"/>
      <c r="S597" s="17"/>
      <c r="W597" s="18"/>
      <c r="X597" s="18"/>
      <c r="Z597" s="17"/>
      <c r="AJ597" s="17"/>
      <c r="AK597" s="17"/>
      <c r="AN597" s="17"/>
      <c r="AQ597" s="17"/>
      <c r="AW597" s="19"/>
    </row>
    <row r="598" spans="8:49" ht="15.75" customHeight="1" x14ac:dyDescent="0.3">
      <c r="H598" s="17"/>
      <c r="S598" s="17"/>
      <c r="W598" s="18"/>
      <c r="X598" s="18"/>
      <c r="Z598" s="17"/>
      <c r="AJ598" s="17"/>
      <c r="AK598" s="17"/>
      <c r="AN598" s="17"/>
      <c r="AQ598" s="17"/>
      <c r="AW598" s="19"/>
    </row>
    <row r="599" spans="8:49" ht="15.75" customHeight="1" x14ac:dyDescent="0.3">
      <c r="H599" s="17"/>
      <c r="S599" s="17"/>
      <c r="W599" s="18"/>
      <c r="X599" s="18"/>
      <c r="Z599" s="17"/>
      <c r="AJ599" s="17"/>
      <c r="AK599" s="17"/>
      <c r="AN599" s="17"/>
      <c r="AQ599" s="17"/>
      <c r="AW599" s="19"/>
    </row>
    <row r="600" spans="8:49" ht="15.75" customHeight="1" x14ac:dyDescent="0.3">
      <c r="H600" s="17"/>
      <c r="S600" s="17"/>
      <c r="W600" s="18"/>
      <c r="X600" s="18"/>
      <c r="Z600" s="17"/>
      <c r="AJ600" s="17"/>
      <c r="AK600" s="17"/>
      <c r="AN600" s="17"/>
      <c r="AQ600" s="17"/>
      <c r="AW600" s="19"/>
    </row>
    <row r="601" spans="8:49" ht="15.75" customHeight="1" x14ac:dyDescent="0.3">
      <c r="H601" s="17"/>
      <c r="S601" s="17"/>
      <c r="W601" s="18"/>
      <c r="X601" s="18"/>
      <c r="Z601" s="17"/>
      <c r="AJ601" s="17"/>
      <c r="AK601" s="17"/>
      <c r="AN601" s="17"/>
      <c r="AQ601" s="17"/>
      <c r="AW601" s="19"/>
    </row>
    <row r="602" spans="8:49" ht="15.75" customHeight="1" x14ac:dyDescent="0.3">
      <c r="H602" s="17"/>
      <c r="S602" s="17"/>
      <c r="W602" s="18"/>
      <c r="X602" s="18"/>
      <c r="Z602" s="17"/>
      <c r="AJ602" s="17"/>
      <c r="AK602" s="17"/>
      <c r="AN602" s="17"/>
      <c r="AQ602" s="17"/>
      <c r="AW602" s="19"/>
    </row>
    <row r="603" spans="8:49" ht="15.75" customHeight="1" x14ac:dyDescent="0.3">
      <c r="H603" s="17"/>
      <c r="S603" s="17"/>
      <c r="W603" s="18"/>
      <c r="X603" s="18"/>
      <c r="Z603" s="17"/>
      <c r="AJ603" s="17"/>
      <c r="AK603" s="17"/>
      <c r="AN603" s="17"/>
      <c r="AQ603" s="17"/>
      <c r="AW603" s="19"/>
    </row>
    <row r="604" spans="8:49" ht="15.75" customHeight="1" x14ac:dyDescent="0.3">
      <c r="H604" s="17"/>
      <c r="S604" s="17"/>
      <c r="W604" s="18"/>
      <c r="X604" s="18"/>
      <c r="Z604" s="17"/>
      <c r="AJ604" s="17"/>
      <c r="AK604" s="17"/>
      <c r="AN604" s="17"/>
      <c r="AQ604" s="17"/>
      <c r="AW604" s="19"/>
    </row>
    <row r="605" spans="8:49" ht="15.75" customHeight="1" x14ac:dyDescent="0.3">
      <c r="H605" s="17"/>
      <c r="S605" s="17"/>
      <c r="W605" s="18"/>
      <c r="X605" s="18"/>
      <c r="Z605" s="17"/>
      <c r="AJ605" s="17"/>
      <c r="AK605" s="17"/>
      <c r="AN605" s="17"/>
      <c r="AQ605" s="17"/>
      <c r="AW605" s="19"/>
    </row>
    <row r="606" spans="8:49" ht="15.75" customHeight="1" x14ac:dyDescent="0.3">
      <c r="H606" s="17"/>
      <c r="S606" s="17"/>
      <c r="W606" s="18"/>
      <c r="X606" s="18"/>
      <c r="Z606" s="17"/>
      <c r="AJ606" s="17"/>
      <c r="AK606" s="17"/>
      <c r="AN606" s="17"/>
      <c r="AQ606" s="17"/>
      <c r="AW606" s="19"/>
    </row>
    <row r="607" spans="8:49" ht="15.75" customHeight="1" x14ac:dyDescent="0.3">
      <c r="H607" s="17"/>
      <c r="S607" s="17"/>
      <c r="W607" s="18"/>
      <c r="X607" s="18"/>
      <c r="Z607" s="17"/>
      <c r="AJ607" s="17"/>
      <c r="AK607" s="17"/>
      <c r="AN607" s="17"/>
      <c r="AQ607" s="17"/>
      <c r="AW607" s="19"/>
    </row>
    <row r="608" spans="8:49" ht="15.75" customHeight="1" x14ac:dyDescent="0.3">
      <c r="H608" s="17"/>
      <c r="S608" s="17"/>
      <c r="W608" s="18"/>
      <c r="X608" s="18"/>
      <c r="Z608" s="17"/>
      <c r="AJ608" s="17"/>
      <c r="AK608" s="17"/>
      <c r="AN608" s="17"/>
      <c r="AQ608" s="17"/>
      <c r="AW608" s="19"/>
    </row>
    <row r="609" spans="8:49" ht="15.75" customHeight="1" x14ac:dyDescent="0.3">
      <c r="H609" s="17"/>
      <c r="S609" s="17"/>
      <c r="W609" s="18"/>
      <c r="X609" s="18"/>
      <c r="Z609" s="17"/>
      <c r="AJ609" s="17"/>
      <c r="AK609" s="17"/>
      <c r="AN609" s="17"/>
      <c r="AQ609" s="17"/>
      <c r="AW609" s="19"/>
    </row>
    <row r="610" spans="8:49" ht="15.75" customHeight="1" x14ac:dyDescent="0.3">
      <c r="H610" s="17"/>
      <c r="S610" s="17"/>
      <c r="W610" s="18"/>
      <c r="X610" s="18"/>
      <c r="Z610" s="17"/>
      <c r="AJ610" s="17"/>
      <c r="AK610" s="17"/>
      <c r="AN610" s="17"/>
      <c r="AQ610" s="17"/>
      <c r="AW610" s="19"/>
    </row>
    <row r="611" spans="8:49" ht="15.75" customHeight="1" x14ac:dyDescent="0.3">
      <c r="H611" s="17"/>
      <c r="S611" s="17"/>
      <c r="W611" s="18"/>
      <c r="X611" s="18"/>
      <c r="Z611" s="17"/>
      <c r="AJ611" s="17"/>
      <c r="AK611" s="17"/>
      <c r="AN611" s="17"/>
      <c r="AQ611" s="17"/>
      <c r="AW611" s="19"/>
    </row>
    <row r="612" spans="8:49" ht="15.75" customHeight="1" x14ac:dyDescent="0.3">
      <c r="H612" s="17"/>
      <c r="S612" s="17"/>
      <c r="W612" s="18"/>
      <c r="X612" s="18"/>
      <c r="Z612" s="17"/>
      <c r="AJ612" s="17"/>
      <c r="AK612" s="17"/>
      <c r="AN612" s="17"/>
      <c r="AQ612" s="17"/>
      <c r="AW612" s="19"/>
    </row>
    <row r="613" spans="8:49" ht="15.75" customHeight="1" x14ac:dyDescent="0.3">
      <c r="H613" s="17"/>
      <c r="S613" s="17"/>
      <c r="W613" s="18"/>
      <c r="X613" s="18"/>
      <c r="Z613" s="17"/>
      <c r="AJ613" s="17"/>
      <c r="AK613" s="17"/>
      <c r="AN613" s="17"/>
      <c r="AQ613" s="17"/>
      <c r="AW613" s="19"/>
    </row>
    <row r="614" spans="8:49" ht="15.75" customHeight="1" x14ac:dyDescent="0.3">
      <c r="H614" s="17"/>
      <c r="S614" s="17"/>
      <c r="W614" s="18"/>
      <c r="X614" s="18"/>
      <c r="Z614" s="17"/>
      <c r="AJ614" s="17"/>
      <c r="AK614" s="17"/>
      <c r="AN614" s="17"/>
      <c r="AQ614" s="17"/>
      <c r="AW614" s="19"/>
    </row>
    <row r="615" spans="8:49" ht="15.75" customHeight="1" x14ac:dyDescent="0.3">
      <c r="H615" s="17"/>
      <c r="S615" s="17"/>
      <c r="W615" s="18"/>
      <c r="X615" s="18"/>
      <c r="Z615" s="17"/>
      <c r="AJ615" s="17"/>
      <c r="AK615" s="17"/>
      <c r="AN615" s="17"/>
      <c r="AQ615" s="17"/>
      <c r="AW615" s="19"/>
    </row>
    <row r="616" spans="8:49" ht="15.75" customHeight="1" x14ac:dyDescent="0.3">
      <c r="H616" s="17"/>
      <c r="S616" s="17"/>
      <c r="W616" s="18"/>
      <c r="X616" s="18"/>
      <c r="Z616" s="17"/>
      <c r="AJ616" s="17"/>
      <c r="AK616" s="17"/>
      <c r="AN616" s="17"/>
      <c r="AQ616" s="17"/>
      <c r="AW616" s="19"/>
    </row>
    <row r="617" spans="8:49" ht="15.75" customHeight="1" x14ac:dyDescent="0.3">
      <c r="H617" s="17"/>
      <c r="S617" s="17"/>
      <c r="W617" s="18"/>
      <c r="X617" s="18"/>
      <c r="Z617" s="17"/>
      <c r="AJ617" s="17"/>
      <c r="AK617" s="17"/>
      <c r="AN617" s="17"/>
      <c r="AQ617" s="17"/>
      <c r="AW617" s="19"/>
    </row>
    <row r="618" spans="8:49" ht="15.75" customHeight="1" x14ac:dyDescent="0.3">
      <c r="H618" s="17"/>
      <c r="S618" s="17"/>
      <c r="W618" s="18"/>
      <c r="X618" s="18"/>
      <c r="Z618" s="17"/>
      <c r="AJ618" s="17"/>
      <c r="AK618" s="17"/>
      <c r="AN618" s="17"/>
      <c r="AQ618" s="17"/>
      <c r="AW618" s="19"/>
    </row>
    <row r="619" spans="8:49" ht="15.75" customHeight="1" x14ac:dyDescent="0.3">
      <c r="H619" s="17"/>
      <c r="S619" s="17"/>
      <c r="W619" s="18"/>
      <c r="X619" s="18"/>
      <c r="Z619" s="17"/>
      <c r="AJ619" s="17"/>
      <c r="AK619" s="17"/>
      <c r="AN619" s="17"/>
      <c r="AQ619" s="17"/>
      <c r="AW619" s="19"/>
    </row>
    <row r="620" spans="8:49" ht="15.75" customHeight="1" x14ac:dyDescent="0.3">
      <c r="H620" s="17"/>
      <c r="S620" s="17"/>
      <c r="W620" s="18"/>
      <c r="X620" s="18"/>
      <c r="Z620" s="17"/>
      <c r="AJ620" s="17"/>
      <c r="AK620" s="17"/>
      <c r="AN620" s="17"/>
      <c r="AQ620" s="17"/>
      <c r="AW620" s="19"/>
    </row>
    <row r="621" spans="8:49" ht="15.75" customHeight="1" x14ac:dyDescent="0.3">
      <c r="H621" s="17"/>
      <c r="S621" s="17"/>
      <c r="W621" s="18"/>
      <c r="X621" s="18"/>
      <c r="Z621" s="17"/>
      <c r="AJ621" s="17"/>
      <c r="AK621" s="17"/>
      <c r="AN621" s="17"/>
      <c r="AQ621" s="17"/>
      <c r="AW621" s="19"/>
    </row>
    <row r="622" spans="8:49" ht="15.75" customHeight="1" x14ac:dyDescent="0.3">
      <c r="H622" s="17"/>
      <c r="S622" s="17"/>
      <c r="W622" s="18"/>
      <c r="X622" s="18"/>
      <c r="Z622" s="17"/>
      <c r="AJ622" s="17"/>
      <c r="AK622" s="17"/>
      <c r="AN622" s="17"/>
      <c r="AQ622" s="17"/>
      <c r="AW622" s="19"/>
    </row>
    <row r="623" spans="8:49" ht="15.75" customHeight="1" x14ac:dyDescent="0.3">
      <c r="H623" s="17"/>
      <c r="S623" s="17"/>
      <c r="W623" s="18"/>
      <c r="X623" s="18"/>
      <c r="Z623" s="17"/>
      <c r="AJ623" s="17"/>
      <c r="AK623" s="17"/>
      <c r="AN623" s="17"/>
      <c r="AQ623" s="17"/>
      <c r="AW623" s="19"/>
    </row>
    <row r="624" spans="8:49" ht="15.75" customHeight="1" x14ac:dyDescent="0.3">
      <c r="H624" s="17"/>
      <c r="S624" s="17"/>
      <c r="W624" s="18"/>
      <c r="X624" s="18"/>
      <c r="Z624" s="17"/>
      <c r="AJ624" s="17"/>
      <c r="AK624" s="17"/>
      <c r="AN624" s="17"/>
      <c r="AQ624" s="17"/>
      <c r="AW624" s="19"/>
    </row>
    <row r="625" spans="8:49" ht="15.75" customHeight="1" x14ac:dyDescent="0.3">
      <c r="H625" s="17"/>
      <c r="S625" s="17"/>
      <c r="W625" s="18"/>
      <c r="X625" s="18"/>
      <c r="Z625" s="17"/>
      <c r="AJ625" s="17"/>
      <c r="AK625" s="17"/>
      <c r="AN625" s="17"/>
      <c r="AQ625" s="17"/>
      <c r="AW625" s="19"/>
    </row>
    <row r="626" spans="8:49" ht="15.75" customHeight="1" x14ac:dyDescent="0.3">
      <c r="H626" s="17"/>
      <c r="S626" s="17"/>
      <c r="W626" s="18"/>
      <c r="X626" s="18"/>
      <c r="Z626" s="17"/>
      <c r="AJ626" s="17"/>
      <c r="AK626" s="17"/>
      <c r="AN626" s="17"/>
      <c r="AQ626" s="17"/>
      <c r="AW626" s="19"/>
    </row>
    <row r="627" spans="8:49" ht="15.75" customHeight="1" x14ac:dyDescent="0.3">
      <c r="H627" s="17"/>
      <c r="S627" s="17"/>
      <c r="W627" s="18"/>
      <c r="X627" s="18"/>
      <c r="Z627" s="17"/>
      <c r="AJ627" s="17"/>
      <c r="AK627" s="17"/>
      <c r="AN627" s="17"/>
      <c r="AQ627" s="17"/>
      <c r="AW627" s="19"/>
    </row>
    <row r="628" spans="8:49" ht="15.75" customHeight="1" x14ac:dyDescent="0.3">
      <c r="H628" s="17"/>
      <c r="S628" s="17"/>
      <c r="W628" s="18"/>
      <c r="X628" s="18"/>
      <c r="Z628" s="17"/>
      <c r="AJ628" s="17"/>
      <c r="AK628" s="17"/>
      <c r="AN628" s="17"/>
      <c r="AQ628" s="17"/>
      <c r="AW628" s="19"/>
    </row>
    <row r="629" spans="8:49" ht="15.75" customHeight="1" x14ac:dyDescent="0.3">
      <c r="H629" s="17"/>
      <c r="S629" s="17"/>
      <c r="W629" s="18"/>
      <c r="X629" s="18"/>
      <c r="Z629" s="17"/>
      <c r="AJ629" s="17"/>
      <c r="AK629" s="17"/>
      <c r="AN629" s="17"/>
      <c r="AQ629" s="17"/>
      <c r="AW629" s="19"/>
    </row>
    <row r="630" spans="8:49" ht="15.75" customHeight="1" x14ac:dyDescent="0.3">
      <c r="H630" s="17"/>
      <c r="S630" s="17"/>
      <c r="W630" s="18"/>
      <c r="X630" s="18"/>
      <c r="Z630" s="17"/>
      <c r="AJ630" s="17"/>
      <c r="AK630" s="17"/>
      <c r="AN630" s="17"/>
      <c r="AQ630" s="17"/>
      <c r="AW630" s="19"/>
    </row>
    <row r="631" spans="8:49" ht="15.75" customHeight="1" x14ac:dyDescent="0.3">
      <c r="H631" s="17"/>
      <c r="S631" s="17"/>
      <c r="W631" s="18"/>
      <c r="X631" s="18"/>
      <c r="Z631" s="17"/>
      <c r="AJ631" s="17"/>
      <c r="AK631" s="17"/>
      <c r="AN631" s="17"/>
      <c r="AQ631" s="17"/>
      <c r="AW631" s="19"/>
    </row>
    <row r="632" spans="8:49" ht="15.75" customHeight="1" x14ac:dyDescent="0.3">
      <c r="H632" s="17"/>
      <c r="S632" s="17"/>
      <c r="W632" s="18"/>
      <c r="X632" s="18"/>
      <c r="Z632" s="17"/>
      <c r="AJ632" s="17"/>
      <c r="AK632" s="17"/>
      <c r="AN632" s="17"/>
      <c r="AQ632" s="17"/>
      <c r="AW632" s="19"/>
    </row>
    <row r="633" spans="8:49" ht="15.75" customHeight="1" x14ac:dyDescent="0.3">
      <c r="H633" s="17"/>
      <c r="S633" s="17"/>
      <c r="W633" s="18"/>
      <c r="X633" s="18"/>
      <c r="Z633" s="17"/>
      <c r="AJ633" s="17"/>
      <c r="AK633" s="17"/>
      <c r="AN633" s="17"/>
      <c r="AQ633" s="17"/>
      <c r="AW633" s="19"/>
    </row>
    <row r="634" spans="8:49" ht="15.75" customHeight="1" x14ac:dyDescent="0.3">
      <c r="H634" s="17"/>
      <c r="S634" s="17"/>
      <c r="W634" s="18"/>
      <c r="X634" s="18"/>
      <c r="Z634" s="17"/>
      <c r="AJ634" s="17"/>
      <c r="AK634" s="17"/>
      <c r="AN634" s="17"/>
      <c r="AQ634" s="17"/>
      <c r="AW634" s="19"/>
    </row>
    <row r="635" spans="8:49" ht="15.75" customHeight="1" x14ac:dyDescent="0.3">
      <c r="H635" s="17"/>
      <c r="S635" s="17"/>
      <c r="W635" s="18"/>
      <c r="X635" s="18"/>
      <c r="Z635" s="17"/>
      <c r="AJ635" s="17"/>
      <c r="AK635" s="17"/>
      <c r="AN635" s="17"/>
      <c r="AQ635" s="17"/>
      <c r="AW635" s="19"/>
    </row>
    <row r="636" spans="8:49" ht="15.75" customHeight="1" x14ac:dyDescent="0.3">
      <c r="H636" s="17"/>
      <c r="S636" s="17"/>
      <c r="W636" s="18"/>
      <c r="X636" s="18"/>
      <c r="Z636" s="17"/>
      <c r="AJ636" s="17"/>
      <c r="AK636" s="17"/>
      <c r="AN636" s="17"/>
      <c r="AQ636" s="17"/>
      <c r="AW636" s="19"/>
    </row>
    <row r="637" spans="8:49" ht="15.75" customHeight="1" x14ac:dyDescent="0.3">
      <c r="H637" s="17"/>
      <c r="S637" s="17"/>
      <c r="W637" s="18"/>
      <c r="X637" s="18"/>
      <c r="Z637" s="17"/>
      <c r="AJ637" s="17"/>
      <c r="AK637" s="17"/>
      <c r="AN637" s="17"/>
      <c r="AQ637" s="17"/>
      <c r="AW637" s="19"/>
    </row>
    <row r="638" spans="8:49" ht="15.75" customHeight="1" x14ac:dyDescent="0.3">
      <c r="H638" s="17"/>
      <c r="S638" s="17"/>
      <c r="W638" s="18"/>
      <c r="X638" s="18"/>
      <c r="Z638" s="17"/>
      <c r="AJ638" s="17"/>
      <c r="AK638" s="17"/>
      <c r="AN638" s="17"/>
      <c r="AQ638" s="17"/>
      <c r="AW638" s="19"/>
    </row>
    <row r="639" spans="8:49" ht="15.75" customHeight="1" x14ac:dyDescent="0.3">
      <c r="H639" s="17"/>
      <c r="S639" s="17"/>
      <c r="W639" s="18"/>
      <c r="X639" s="18"/>
      <c r="Z639" s="17"/>
      <c r="AJ639" s="17"/>
      <c r="AK639" s="17"/>
      <c r="AN639" s="17"/>
      <c r="AQ639" s="17"/>
      <c r="AW639" s="19"/>
    </row>
    <row r="640" spans="8:49" ht="15.75" customHeight="1" x14ac:dyDescent="0.3">
      <c r="H640" s="17"/>
      <c r="S640" s="17"/>
      <c r="W640" s="18"/>
      <c r="X640" s="18"/>
      <c r="Z640" s="17"/>
      <c r="AJ640" s="17"/>
      <c r="AK640" s="17"/>
      <c r="AN640" s="17"/>
      <c r="AQ640" s="17"/>
      <c r="AW640" s="19"/>
    </row>
    <row r="641" spans="8:49" ht="15.75" customHeight="1" x14ac:dyDescent="0.3">
      <c r="H641" s="17"/>
      <c r="S641" s="17"/>
      <c r="W641" s="18"/>
      <c r="X641" s="18"/>
      <c r="Z641" s="17"/>
      <c r="AJ641" s="17"/>
      <c r="AK641" s="17"/>
      <c r="AN641" s="17"/>
      <c r="AQ641" s="17"/>
      <c r="AW641" s="19"/>
    </row>
    <row r="642" spans="8:49" ht="15.75" customHeight="1" x14ac:dyDescent="0.3">
      <c r="H642" s="17"/>
      <c r="S642" s="17"/>
      <c r="W642" s="18"/>
      <c r="X642" s="18"/>
      <c r="Z642" s="17"/>
      <c r="AJ642" s="17"/>
      <c r="AK642" s="17"/>
      <c r="AN642" s="17"/>
      <c r="AQ642" s="17"/>
      <c r="AW642" s="19"/>
    </row>
    <row r="643" spans="8:49" ht="15.75" customHeight="1" x14ac:dyDescent="0.3">
      <c r="H643" s="17"/>
      <c r="S643" s="17"/>
      <c r="W643" s="18"/>
      <c r="X643" s="18"/>
      <c r="Z643" s="17"/>
      <c r="AJ643" s="17"/>
      <c r="AK643" s="17"/>
      <c r="AN643" s="17"/>
      <c r="AQ643" s="17"/>
      <c r="AW643" s="19"/>
    </row>
    <row r="644" spans="8:49" ht="15.75" customHeight="1" x14ac:dyDescent="0.3">
      <c r="H644" s="17"/>
      <c r="S644" s="17"/>
      <c r="W644" s="18"/>
      <c r="X644" s="18"/>
      <c r="Z644" s="17"/>
      <c r="AJ644" s="17"/>
      <c r="AK644" s="17"/>
      <c r="AN644" s="17"/>
      <c r="AQ644" s="17"/>
      <c r="AW644" s="19"/>
    </row>
    <row r="645" spans="8:49" ht="15.75" customHeight="1" x14ac:dyDescent="0.3">
      <c r="H645" s="17"/>
      <c r="S645" s="17"/>
      <c r="W645" s="18"/>
      <c r="X645" s="18"/>
      <c r="Z645" s="17"/>
      <c r="AJ645" s="17"/>
      <c r="AK645" s="17"/>
      <c r="AN645" s="17"/>
      <c r="AQ645" s="17"/>
      <c r="AW645" s="19"/>
    </row>
    <row r="646" spans="8:49" ht="15.75" customHeight="1" x14ac:dyDescent="0.3">
      <c r="H646" s="17"/>
      <c r="S646" s="17"/>
      <c r="W646" s="18"/>
      <c r="X646" s="18"/>
      <c r="Z646" s="17"/>
      <c r="AJ646" s="17"/>
      <c r="AK646" s="17"/>
      <c r="AN646" s="17"/>
      <c r="AQ646" s="17"/>
      <c r="AW646" s="19"/>
    </row>
    <row r="647" spans="8:49" ht="15.75" customHeight="1" x14ac:dyDescent="0.3">
      <c r="H647" s="17"/>
      <c r="S647" s="17"/>
      <c r="W647" s="18"/>
      <c r="X647" s="18"/>
      <c r="Z647" s="17"/>
      <c r="AJ647" s="17"/>
      <c r="AK647" s="17"/>
      <c r="AN647" s="17"/>
      <c r="AQ647" s="17"/>
      <c r="AW647" s="19"/>
    </row>
    <row r="648" spans="8:49" ht="15.75" customHeight="1" x14ac:dyDescent="0.3">
      <c r="H648" s="17"/>
      <c r="S648" s="17"/>
      <c r="W648" s="18"/>
      <c r="X648" s="18"/>
      <c r="Z648" s="17"/>
      <c r="AJ648" s="17"/>
      <c r="AK648" s="17"/>
      <c r="AN648" s="17"/>
      <c r="AQ648" s="17"/>
      <c r="AW648" s="19"/>
    </row>
    <row r="649" spans="8:49" ht="15.75" customHeight="1" x14ac:dyDescent="0.3">
      <c r="H649" s="17"/>
      <c r="S649" s="17"/>
      <c r="W649" s="18"/>
      <c r="X649" s="18"/>
      <c r="Z649" s="17"/>
      <c r="AJ649" s="17"/>
      <c r="AK649" s="17"/>
      <c r="AN649" s="17"/>
      <c r="AQ649" s="17"/>
      <c r="AW649" s="19"/>
    </row>
    <row r="650" spans="8:49" ht="15.75" customHeight="1" x14ac:dyDescent="0.3">
      <c r="H650" s="17"/>
      <c r="S650" s="17"/>
      <c r="W650" s="18"/>
      <c r="X650" s="18"/>
      <c r="Z650" s="17"/>
      <c r="AJ650" s="17"/>
      <c r="AK650" s="17"/>
      <c r="AN650" s="17"/>
      <c r="AQ650" s="17"/>
      <c r="AW650" s="19"/>
    </row>
    <row r="651" spans="8:49" ht="15.75" customHeight="1" x14ac:dyDescent="0.3">
      <c r="H651" s="17"/>
      <c r="S651" s="17"/>
      <c r="W651" s="18"/>
      <c r="X651" s="18"/>
      <c r="Z651" s="17"/>
      <c r="AJ651" s="17"/>
      <c r="AK651" s="17"/>
      <c r="AN651" s="17"/>
      <c r="AQ651" s="17"/>
      <c r="AW651" s="19"/>
    </row>
    <row r="652" spans="8:49" ht="15.75" customHeight="1" x14ac:dyDescent="0.3">
      <c r="H652" s="17"/>
      <c r="S652" s="17"/>
      <c r="W652" s="18"/>
      <c r="X652" s="18"/>
      <c r="Z652" s="17"/>
      <c r="AJ652" s="17"/>
      <c r="AK652" s="17"/>
      <c r="AN652" s="17"/>
      <c r="AQ652" s="17"/>
      <c r="AW652" s="19"/>
    </row>
    <row r="653" spans="8:49" ht="15.75" customHeight="1" x14ac:dyDescent="0.3">
      <c r="H653" s="17"/>
      <c r="S653" s="17"/>
      <c r="W653" s="18"/>
      <c r="X653" s="18"/>
      <c r="Z653" s="17"/>
      <c r="AJ653" s="17"/>
      <c r="AK653" s="17"/>
      <c r="AN653" s="17"/>
      <c r="AQ653" s="17"/>
      <c r="AW653" s="19"/>
    </row>
    <row r="654" spans="8:49" ht="15.75" customHeight="1" x14ac:dyDescent="0.3">
      <c r="H654" s="17"/>
      <c r="S654" s="17"/>
      <c r="W654" s="18"/>
      <c r="X654" s="18"/>
      <c r="Z654" s="17"/>
      <c r="AJ654" s="17"/>
      <c r="AK654" s="17"/>
      <c r="AN654" s="17"/>
      <c r="AQ654" s="17"/>
      <c r="AW654" s="19"/>
    </row>
    <row r="655" spans="8:49" ht="15.75" customHeight="1" x14ac:dyDescent="0.3">
      <c r="H655" s="17"/>
      <c r="S655" s="17"/>
      <c r="W655" s="18"/>
      <c r="X655" s="18"/>
      <c r="Z655" s="17"/>
      <c r="AJ655" s="17"/>
      <c r="AK655" s="17"/>
      <c r="AN655" s="17"/>
      <c r="AQ655" s="17"/>
      <c r="AW655" s="19"/>
    </row>
    <row r="656" spans="8:49" ht="15.75" customHeight="1" x14ac:dyDescent="0.3">
      <c r="H656" s="17"/>
      <c r="S656" s="17"/>
      <c r="W656" s="18"/>
      <c r="X656" s="18"/>
      <c r="Z656" s="17"/>
      <c r="AJ656" s="17"/>
      <c r="AK656" s="17"/>
      <c r="AN656" s="17"/>
      <c r="AQ656" s="17"/>
      <c r="AW656" s="19"/>
    </row>
    <row r="657" spans="8:49" ht="15.75" customHeight="1" x14ac:dyDescent="0.3">
      <c r="H657" s="17"/>
      <c r="S657" s="17"/>
      <c r="W657" s="18"/>
      <c r="X657" s="18"/>
      <c r="Z657" s="17"/>
      <c r="AJ657" s="17"/>
      <c r="AK657" s="17"/>
      <c r="AN657" s="17"/>
      <c r="AQ657" s="17"/>
      <c r="AW657" s="19"/>
    </row>
    <row r="658" spans="8:49" ht="15.75" customHeight="1" x14ac:dyDescent="0.3">
      <c r="H658" s="17"/>
      <c r="S658" s="17"/>
      <c r="W658" s="18"/>
      <c r="X658" s="18"/>
      <c r="Z658" s="17"/>
      <c r="AJ658" s="17"/>
      <c r="AK658" s="17"/>
      <c r="AN658" s="17"/>
      <c r="AQ658" s="17"/>
      <c r="AW658" s="19"/>
    </row>
    <row r="659" spans="8:49" ht="15.75" customHeight="1" x14ac:dyDescent="0.3">
      <c r="H659" s="17"/>
      <c r="S659" s="17"/>
      <c r="W659" s="18"/>
      <c r="X659" s="18"/>
      <c r="Z659" s="17"/>
      <c r="AJ659" s="17"/>
      <c r="AK659" s="17"/>
      <c r="AN659" s="17"/>
      <c r="AQ659" s="17"/>
      <c r="AW659" s="19"/>
    </row>
    <row r="660" spans="8:49" ht="15.75" customHeight="1" x14ac:dyDescent="0.3">
      <c r="H660" s="17"/>
      <c r="S660" s="17"/>
      <c r="W660" s="18"/>
      <c r="X660" s="18"/>
      <c r="Z660" s="17"/>
      <c r="AJ660" s="17"/>
      <c r="AK660" s="17"/>
      <c r="AN660" s="17"/>
      <c r="AQ660" s="17"/>
      <c r="AW660" s="19"/>
    </row>
    <row r="661" spans="8:49" ht="15.75" customHeight="1" x14ac:dyDescent="0.3">
      <c r="H661" s="17"/>
      <c r="S661" s="17"/>
      <c r="W661" s="18"/>
      <c r="X661" s="18"/>
      <c r="Z661" s="17"/>
      <c r="AJ661" s="17"/>
      <c r="AK661" s="17"/>
      <c r="AN661" s="17"/>
      <c r="AQ661" s="17"/>
      <c r="AW661" s="19"/>
    </row>
    <row r="662" spans="8:49" ht="15.75" customHeight="1" x14ac:dyDescent="0.3">
      <c r="H662" s="17"/>
      <c r="S662" s="17"/>
      <c r="W662" s="18"/>
      <c r="X662" s="18"/>
      <c r="Z662" s="17"/>
      <c r="AJ662" s="17"/>
      <c r="AK662" s="17"/>
      <c r="AN662" s="17"/>
      <c r="AQ662" s="17"/>
      <c r="AW662" s="19"/>
    </row>
    <row r="663" spans="8:49" ht="15.75" customHeight="1" x14ac:dyDescent="0.3">
      <c r="H663" s="17"/>
      <c r="S663" s="17"/>
      <c r="W663" s="18"/>
      <c r="X663" s="18"/>
      <c r="Z663" s="17"/>
      <c r="AJ663" s="17"/>
      <c r="AK663" s="17"/>
      <c r="AN663" s="17"/>
      <c r="AQ663" s="17"/>
      <c r="AW663" s="19"/>
    </row>
    <row r="664" spans="8:49" ht="15.75" customHeight="1" x14ac:dyDescent="0.3">
      <c r="H664" s="17"/>
      <c r="S664" s="17"/>
      <c r="W664" s="18"/>
      <c r="X664" s="18"/>
      <c r="Z664" s="17"/>
      <c r="AJ664" s="17"/>
      <c r="AK664" s="17"/>
      <c r="AN664" s="17"/>
      <c r="AQ664" s="17"/>
      <c r="AW664" s="19"/>
    </row>
    <row r="665" spans="8:49" ht="15.75" customHeight="1" x14ac:dyDescent="0.3">
      <c r="H665" s="17"/>
      <c r="S665" s="17"/>
      <c r="W665" s="18"/>
      <c r="X665" s="18"/>
      <c r="Z665" s="17"/>
      <c r="AJ665" s="17"/>
      <c r="AK665" s="17"/>
      <c r="AN665" s="17"/>
      <c r="AQ665" s="17"/>
      <c r="AW665" s="19"/>
    </row>
    <row r="666" spans="8:49" ht="15.75" customHeight="1" x14ac:dyDescent="0.3">
      <c r="H666" s="17"/>
      <c r="S666" s="17"/>
      <c r="W666" s="18"/>
      <c r="X666" s="18"/>
      <c r="Z666" s="17"/>
      <c r="AJ666" s="17"/>
      <c r="AK666" s="17"/>
      <c r="AN666" s="17"/>
      <c r="AQ666" s="17"/>
      <c r="AW666" s="19"/>
    </row>
    <row r="667" spans="8:49" ht="15.75" customHeight="1" x14ac:dyDescent="0.3">
      <c r="H667" s="17"/>
      <c r="S667" s="17"/>
      <c r="W667" s="18"/>
      <c r="X667" s="18"/>
      <c r="Z667" s="17"/>
      <c r="AJ667" s="17"/>
      <c r="AK667" s="17"/>
      <c r="AN667" s="17"/>
      <c r="AQ667" s="17"/>
      <c r="AW667" s="19"/>
    </row>
    <row r="668" spans="8:49" ht="15.75" customHeight="1" x14ac:dyDescent="0.3">
      <c r="H668" s="17"/>
      <c r="S668" s="17"/>
      <c r="W668" s="18"/>
      <c r="X668" s="18"/>
      <c r="Z668" s="17"/>
      <c r="AJ668" s="17"/>
      <c r="AK668" s="17"/>
      <c r="AN668" s="17"/>
      <c r="AQ668" s="17"/>
      <c r="AW668" s="19"/>
    </row>
    <row r="669" spans="8:49" ht="15.75" customHeight="1" x14ac:dyDescent="0.3">
      <c r="H669" s="17"/>
      <c r="S669" s="17"/>
      <c r="W669" s="18"/>
      <c r="X669" s="18"/>
      <c r="Z669" s="17"/>
      <c r="AJ669" s="17"/>
      <c r="AK669" s="17"/>
      <c r="AN669" s="17"/>
      <c r="AQ669" s="17"/>
      <c r="AW669" s="19"/>
    </row>
    <row r="670" spans="8:49" ht="15.75" customHeight="1" x14ac:dyDescent="0.3">
      <c r="H670" s="17"/>
      <c r="S670" s="17"/>
      <c r="W670" s="18"/>
      <c r="X670" s="18"/>
      <c r="Z670" s="17"/>
      <c r="AJ670" s="17"/>
      <c r="AK670" s="17"/>
      <c r="AN670" s="17"/>
      <c r="AQ670" s="17"/>
      <c r="AW670" s="19"/>
    </row>
    <row r="671" spans="8:49" ht="15.75" customHeight="1" x14ac:dyDescent="0.3">
      <c r="H671" s="17"/>
      <c r="S671" s="17"/>
      <c r="W671" s="18"/>
      <c r="X671" s="18"/>
      <c r="Z671" s="17"/>
      <c r="AJ671" s="17"/>
      <c r="AK671" s="17"/>
      <c r="AN671" s="17"/>
      <c r="AQ671" s="17"/>
      <c r="AW671" s="19"/>
    </row>
    <row r="672" spans="8:49" ht="15.75" customHeight="1" x14ac:dyDescent="0.3">
      <c r="H672" s="17"/>
      <c r="S672" s="17"/>
      <c r="W672" s="18"/>
      <c r="X672" s="18"/>
      <c r="Z672" s="17"/>
      <c r="AJ672" s="17"/>
      <c r="AK672" s="17"/>
      <c r="AN672" s="17"/>
      <c r="AQ672" s="17"/>
      <c r="AW672" s="19"/>
    </row>
    <row r="673" spans="8:49" ht="15.75" customHeight="1" x14ac:dyDescent="0.3">
      <c r="H673" s="17"/>
      <c r="S673" s="17"/>
      <c r="W673" s="18"/>
      <c r="X673" s="18"/>
      <c r="Z673" s="17"/>
      <c r="AJ673" s="17"/>
      <c r="AK673" s="17"/>
      <c r="AN673" s="17"/>
      <c r="AQ673" s="17"/>
      <c r="AW673" s="19"/>
    </row>
    <row r="674" spans="8:49" ht="15.75" customHeight="1" x14ac:dyDescent="0.3">
      <c r="H674" s="17"/>
      <c r="S674" s="17"/>
      <c r="W674" s="18"/>
      <c r="X674" s="18"/>
      <c r="Z674" s="17"/>
      <c r="AJ674" s="17"/>
      <c r="AK674" s="17"/>
      <c r="AN674" s="17"/>
      <c r="AQ674" s="17"/>
      <c r="AW674" s="19"/>
    </row>
    <row r="675" spans="8:49" ht="15.75" customHeight="1" x14ac:dyDescent="0.3">
      <c r="H675" s="17"/>
      <c r="S675" s="17"/>
      <c r="W675" s="18"/>
      <c r="X675" s="18"/>
      <c r="Z675" s="17"/>
      <c r="AJ675" s="17"/>
      <c r="AK675" s="17"/>
      <c r="AN675" s="17"/>
      <c r="AQ675" s="17"/>
      <c r="AW675" s="19"/>
    </row>
    <row r="676" spans="8:49" ht="15.75" customHeight="1" x14ac:dyDescent="0.3">
      <c r="H676" s="17"/>
      <c r="S676" s="17"/>
      <c r="W676" s="18"/>
      <c r="X676" s="18"/>
      <c r="Z676" s="17"/>
      <c r="AJ676" s="17"/>
      <c r="AK676" s="17"/>
      <c r="AN676" s="17"/>
      <c r="AQ676" s="17"/>
      <c r="AW676" s="19"/>
    </row>
    <row r="677" spans="8:49" ht="15.75" customHeight="1" x14ac:dyDescent="0.3">
      <c r="H677" s="17"/>
      <c r="S677" s="17"/>
      <c r="W677" s="18"/>
      <c r="X677" s="18"/>
      <c r="Z677" s="17"/>
      <c r="AJ677" s="17"/>
      <c r="AK677" s="17"/>
      <c r="AN677" s="17"/>
      <c r="AQ677" s="17"/>
      <c r="AW677" s="19"/>
    </row>
    <row r="678" spans="8:49" ht="15.75" customHeight="1" x14ac:dyDescent="0.3">
      <c r="H678" s="17"/>
      <c r="S678" s="17"/>
      <c r="W678" s="18"/>
      <c r="X678" s="18"/>
      <c r="Z678" s="17"/>
      <c r="AJ678" s="17"/>
      <c r="AK678" s="17"/>
      <c r="AN678" s="17"/>
      <c r="AQ678" s="17"/>
      <c r="AW678" s="19"/>
    </row>
    <row r="679" spans="8:49" ht="15.75" customHeight="1" x14ac:dyDescent="0.3">
      <c r="H679" s="17"/>
      <c r="S679" s="17"/>
      <c r="W679" s="18"/>
      <c r="X679" s="18"/>
      <c r="Z679" s="17"/>
      <c r="AJ679" s="17"/>
      <c r="AK679" s="17"/>
      <c r="AN679" s="17"/>
      <c r="AQ679" s="17"/>
      <c r="AW679" s="19"/>
    </row>
    <row r="680" spans="8:49" ht="15.75" customHeight="1" x14ac:dyDescent="0.3">
      <c r="H680" s="17"/>
      <c r="S680" s="17"/>
      <c r="W680" s="18"/>
      <c r="X680" s="18"/>
      <c r="Z680" s="17"/>
      <c r="AJ680" s="17"/>
      <c r="AK680" s="17"/>
      <c r="AN680" s="17"/>
      <c r="AQ680" s="17"/>
      <c r="AW680" s="19"/>
    </row>
    <row r="681" spans="8:49" ht="15.75" customHeight="1" x14ac:dyDescent="0.3">
      <c r="H681" s="17"/>
      <c r="S681" s="17"/>
      <c r="W681" s="18"/>
      <c r="X681" s="18"/>
      <c r="Z681" s="17"/>
      <c r="AJ681" s="17"/>
      <c r="AK681" s="17"/>
      <c r="AN681" s="17"/>
      <c r="AQ681" s="17"/>
      <c r="AW681" s="19"/>
    </row>
    <row r="682" spans="8:49" ht="15.75" customHeight="1" x14ac:dyDescent="0.3">
      <c r="H682" s="17"/>
      <c r="S682" s="17"/>
      <c r="W682" s="18"/>
      <c r="X682" s="18"/>
      <c r="Z682" s="17"/>
      <c r="AJ682" s="17"/>
      <c r="AK682" s="17"/>
      <c r="AN682" s="17"/>
      <c r="AQ682" s="17"/>
      <c r="AW682" s="19"/>
    </row>
    <row r="683" spans="8:49" ht="15.75" customHeight="1" x14ac:dyDescent="0.3">
      <c r="H683" s="17"/>
      <c r="S683" s="17"/>
      <c r="W683" s="18"/>
      <c r="X683" s="18"/>
      <c r="Z683" s="17"/>
      <c r="AJ683" s="17"/>
      <c r="AK683" s="17"/>
      <c r="AN683" s="17"/>
      <c r="AQ683" s="17"/>
      <c r="AW683" s="19"/>
    </row>
    <row r="684" spans="8:49" ht="15.75" customHeight="1" x14ac:dyDescent="0.3">
      <c r="H684" s="17"/>
      <c r="S684" s="17"/>
      <c r="W684" s="18"/>
      <c r="X684" s="18"/>
      <c r="Z684" s="17"/>
      <c r="AJ684" s="17"/>
      <c r="AK684" s="17"/>
      <c r="AN684" s="17"/>
      <c r="AQ684" s="17"/>
      <c r="AW684" s="19"/>
    </row>
    <row r="685" spans="8:49" ht="15.75" customHeight="1" x14ac:dyDescent="0.3">
      <c r="H685" s="17"/>
      <c r="S685" s="17"/>
      <c r="W685" s="18"/>
      <c r="X685" s="18"/>
      <c r="Z685" s="17"/>
      <c r="AJ685" s="17"/>
      <c r="AK685" s="17"/>
      <c r="AN685" s="17"/>
      <c r="AQ685" s="17"/>
      <c r="AW685" s="19"/>
    </row>
    <row r="686" spans="8:49" ht="15.75" customHeight="1" x14ac:dyDescent="0.3">
      <c r="H686" s="17"/>
      <c r="S686" s="17"/>
      <c r="W686" s="18"/>
      <c r="X686" s="18"/>
      <c r="Z686" s="17"/>
      <c r="AJ686" s="17"/>
      <c r="AK686" s="17"/>
      <c r="AN686" s="17"/>
      <c r="AQ686" s="17"/>
      <c r="AW686" s="19"/>
    </row>
    <row r="687" spans="8:49" ht="15.75" customHeight="1" x14ac:dyDescent="0.3">
      <c r="H687" s="17"/>
      <c r="S687" s="17"/>
      <c r="W687" s="18"/>
      <c r="X687" s="18"/>
      <c r="Z687" s="17"/>
      <c r="AJ687" s="17"/>
      <c r="AK687" s="17"/>
      <c r="AN687" s="17"/>
      <c r="AQ687" s="17"/>
      <c r="AW687" s="19"/>
    </row>
    <row r="688" spans="8:49" ht="15.75" customHeight="1" x14ac:dyDescent="0.3">
      <c r="H688" s="17"/>
      <c r="S688" s="17"/>
      <c r="W688" s="18"/>
      <c r="X688" s="18"/>
      <c r="Z688" s="17"/>
      <c r="AJ688" s="17"/>
      <c r="AK688" s="17"/>
      <c r="AN688" s="17"/>
      <c r="AQ688" s="17"/>
      <c r="AW688" s="19"/>
    </row>
    <row r="689" spans="8:49" ht="15.75" customHeight="1" x14ac:dyDescent="0.3">
      <c r="H689" s="17"/>
      <c r="S689" s="17"/>
      <c r="W689" s="18"/>
      <c r="X689" s="18"/>
      <c r="Z689" s="17"/>
      <c r="AJ689" s="17"/>
      <c r="AK689" s="17"/>
      <c r="AN689" s="17"/>
      <c r="AQ689" s="17"/>
      <c r="AW689" s="19"/>
    </row>
    <row r="690" spans="8:49" ht="15.75" customHeight="1" x14ac:dyDescent="0.3">
      <c r="H690" s="17"/>
      <c r="S690" s="17"/>
      <c r="W690" s="18"/>
      <c r="X690" s="18"/>
      <c r="Z690" s="17"/>
      <c r="AJ690" s="17"/>
      <c r="AK690" s="17"/>
      <c r="AN690" s="17"/>
      <c r="AQ690" s="17"/>
      <c r="AW690" s="19"/>
    </row>
    <row r="691" spans="8:49" ht="15.75" customHeight="1" x14ac:dyDescent="0.3">
      <c r="H691" s="17"/>
      <c r="S691" s="17"/>
      <c r="W691" s="18"/>
      <c r="X691" s="18"/>
      <c r="Z691" s="17"/>
      <c r="AJ691" s="17"/>
      <c r="AK691" s="17"/>
      <c r="AN691" s="17"/>
      <c r="AQ691" s="17"/>
      <c r="AW691" s="19"/>
    </row>
    <row r="692" spans="8:49" ht="15.75" customHeight="1" x14ac:dyDescent="0.3">
      <c r="H692" s="17"/>
      <c r="S692" s="17"/>
      <c r="W692" s="18"/>
      <c r="X692" s="18"/>
      <c r="Z692" s="17"/>
      <c r="AJ692" s="17"/>
      <c r="AK692" s="17"/>
      <c r="AN692" s="17"/>
      <c r="AQ692" s="17"/>
      <c r="AW692" s="19"/>
    </row>
    <row r="693" spans="8:49" ht="15.75" customHeight="1" x14ac:dyDescent="0.3">
      <c r="H693" s="17"/>
      <c r="S693" s="17"/>
      <c r="W693" s="18"/>
      <c r="X693" s="18"/>
      <c r="Z693" s="17"/>
      <c r="AJ693" s="17"/>
      <c r="AK693" s="17"/>
      <c r="AN693" s="17"/>
      <c r="AQ693" s="17"/>
      <c r="AW693" s="19"/>
    </row>
    <row r="694" spans="8:49" ht="15.75" customHeight="1" x14ac:dyDescent="0.3">
      <c r="H694" s="17"/>
      <c r="S694" s="17"/>
      <c r="W694" s="18"/>
      <c r="X694" s="18"/>
      <c r="Z694" s="17"/>
      <c r="AJ694" s="17"/>
      <c r="AK694" s="17"/>
      <c r="AN694" s="17"/>
      <c r="AQ694" s="17"/>
      <c r="AW694" s="19"/>
    </row>
    <row r="695" spans="8:49" ht="15.75" customHeight="1" x14ac:dyDescent="0.3">
      <c r="H695" s="17"/>
      <c r="S695" s="17"/>
      <c r="W695" s="18"/>
      <c r="X695" s="18"/>
      <c r="Z695" s="17"/>
      <c r="AJ695" s="17"/>
      <c r="AK695" s="17"/>
      <c r="AN695" s="17"/>
      <c r="AQ695" s="17"/>
      <c r="AW695" s="19"/>
    </row>
    <row r="696" spans="8:49" ht="15.75" customHeight="1" x14ac:dyDescent="0.3">
      <c r="H696" s="17"/>
      <c r="S696" s="17"/>
      <c r="W696" s="18"/>
      <c r="X696" s="18"/>
      <c r="Z696" s="17"/>
      <c r="AJ696" s="17"/>
      <c r="AK696" s="17"/>
      <c r="AN696" s="17"/>
      <c r="AQ696" s="17"/>
      <c r="AW696" s="19"/>
    </row>
    <row r="697" spans="8:49" ht="15.75" customHeight="1" x14ac:dyDescent="0.3">
      <c r="H697" s="17"/>
      <c r="S697" s="17"/>
      <c r="W697" s="18"/>
      <c r="X697" s="18"/>
      <c r="Z697" s="17"/>
      <c r="AJ697" s="17"/>
      <c r="AK697" s="17"/>
      <c r="AN697" s="17"/>
      <c r="AQ697" s="17"/>
      <c r="AW697" s="19"/>
    </row>
    <row r="698" spans="8:49" ht="15.75" customHeight="1" x14ac:dyDescent="0.3">
      <c r="H698" s="17"/>
      <c r="S698" s="17"/>
      <c r="W698" s="18"/>
      <c r="X698" s="18"/>
      <c r="Z698" s="17"/>
      <c r="AJ698" s="17"/>
      <c r="AK698" s="17"/>
      <c r="AN698" s="17"/>
      <c r="AQ698" s="17"/>
      <c r="AW698" s="19"/>
    </row>
    <row r="699" spans="8:49" ht="15.75" customHeight="1" x14ac:dyDescent="0.3">
      <c r="H699" s="17"/>
      <c r="S699" s="17"/>
      <c r="W699" s="18"/>
      <c r="X699" s="18"/>
      <c r="Z699" s="17"/>
      <c r="AJ699" s="17"/>
      <c r="AK699" s="17"/>
      <c r="AN699" s="17"/>
      <c r="AQ699" s="17"/>
      <c r="AW699" s="19"/>
    </row>
    <row r="700" spans="8:49" ht="15.75" customHeight="1" x14ac:dyDescent="0.3">
      <c r="H700" s="17"/>
      <c r="S700" s="17"/>
      <c r="W700" s="18"/>
      <c r="X700" s="18"/>
      <c r="Z700" s="17"/>
      <c r="AJ700" s="17"/>
      <c r="AK700" s="17"/>
      <c r="AN700" s="17"/>
      <c r="AQ700" s="17"/>
      <c r="AW700" s="19"/>
    </row>
    <row r="701" spans="8:49" ht="15.75" customHeight="1" x14ac:dyDescent="0.3">
      <c r="H701" s="17"/>
      <c r="S701" s="17"/>
      <c r="W701" s="18"/>
      <c r="X701" s="18"/>
      <c r="Z701" s="17"/>
      <c r="AJ701" s="17"/>
      <c r="AK701" s="17"/>
      <c r="AN701" s="17"/>
      <c r="AQ701" s="17"/>
      <c r="AW701" s="19"/>
    </row>
    <row r="702" spans="8:49" ht="15.75" customHeight="1" x14ac:dyDescent="0.3">
      <c r="H702" s="17"/>
      <c r="S702" s="17"/>
      <c r="W702" s="18"/>
      <c r="X702" s="18"/>
      <c r="Z702" s="17"/>
      <c r="AJ702" s="17"/>
      <c r="AK702" s="17"/>
      <c r="AN702" s="17"/>
      <c r="AQ702" s="17"/>
      <c r="AW702" s="19"/>
    </row>
    <row r="703" spans="8:49" ht="15.75" customHeight="1" x14ac:dyDescent="0.3">
      <c r="H703" s="17"/>
      <c r="S703" s="17"/>
      <c r="W703" s="18"/>
      <c r="X703" s="18"/>
      <c r="Z703" s="17"/>
      <c r="AJ703" s="17"/>
      <c r="AK703" s="17"/>
      <c r="AN703" s="17"/>
      <c r="AQ703" s="17"/>
      <c r="AW703" s="19"/>
    </row>
    <row r="704" spans="8:49" ht="15.75" customHeight="1" x14ac:dyDescent="0.3">
      <c r="H704" s="17"/>
      <c r="S704" s="17"/>
      <c r="W704" s="18"/>
      <c r="X704" s="18"/>
      <c r="Z704" s="17"/>
      <c r="AJ704" s="17"/>
      <c r="AK704" s="17"/>
      <c r="AN704" s="17"/>
      <c r="AQ704" s="17"/>
      <c r="AW704" s="19"/>
    </row>
    <row r="705" spans="8:49" ht="15.75" customHeight="1" x14ac:dyDescent="0.3">
      <c r="H705" s="17"/>
      <c r="S705" s="17"/>
      <c r="W705" s="18"/>
      <c r="X705" s="18"/>
      <c r="Z705" s="17"/>
      <c r="AJ705" s="17"/>
      <c r="AK705" s="17"/>
      <c r="AN705" s="17"/>
      <c r="AQ705" s="17"/>
      <c r="AW705" s="19"/>
    </row>
    <row r="706" spans="8:49" ht="15.75" customHeight="1" x14ac:dyDescent="0.3">
      <c r="H706" s="17"/>
      <c r="S706" s="17"/>
      <c r="W706" s="18"/>
      <c r="X706" s="18"/>
      <c r="Z706" s="17"/>
      <c r="AJ706" s="17"/>
      <c r="AK706" s="17"/>
      <c r="AN706" s="17"/>
      <c r="AQ706" s="17"/>
      <c r="AW706" s="19"/>
    </row>
    <row r="707" spans="8:49" ht="15.75" customHeight="1" x14ac:dyDescent="0.3">
      <c r="H707" s="17"/>
      <c r="S707" s="17"/>
      <c r="W707" s="18"/>
      <c r="X707" s="18"/>
      <c r="Z707" s="17"/>
      <c r="AJ707" s="17"/>
      <c r="AK707" s="17"/>
      <c r="AN707" s="17"/>
      <c r="AQ707" s="17"/>
      <c r="AW707" s="19"/>
    </row>
    <row r="708" spans="8:49" ht="15.75" customHeight="1" x14ac:dyDescent="0.3">
      <c r="H708" s="17"/>
      <c r="S708" s="17"/>
      <c r="W708" s="18"/>
      <c r="X708" s="18"/>
      <c r="Z708" s="17"/>
      <c r="AJ708" s="17"/>
      <c r="AK708" s="17"/>
      <c r="AN708" s="17"/>
      <c r="AQ708" s="17"/>
      <c r="AW708" s="19"/>
    </row>
    <row r="709" spans="8:49" ht="15.75" customHeight="1" x14ac:dyDescent="0.3">
      <c r="H709" s="17"/>
      <c r="S709" s="17"/>
      <c r="W709" s="18"/>
      <c r="X709" s="18"/>
      <c r="Z709" s="17"/>
      <c r="AJ709" s="17"/>
      <c r="AK709" s="17"/>
      <c r="AN709" s="17"/>
      <c r="AQ709" s="17"/>
      <c r="AW709" s="19"/>
    </row>
    <row r="710" spans="8:49" ht="15.75" customHeight="1" x14ac:dyDescent="0.3">
      <c r="H710" s="17"/>
      <c r="S710" s="17"/>
      <c r="W710" s="18"/>
      <c r="X710" s="18"/>
      <c r="Z710" s="17"/>
      <c r="AJ710" s="17"/>
      <c r="AK710" s="17"/>
      <c r="AN710" s="17"/>
      <c r="AQ710" s="17"/>
      <c r="AW710" s="19"/>
    </row>
    <row r="711" spans="8:49" ht="15.75" customHeight="1" x14ac:dyDescent="0.3">
      <c r="H711" s="17"/>
      <c r="S711" s="17"/>
      <c r="W711" s="18"/>
      <c r="X711" s="18"/>
      <c r="Z711" s="17"/>
      <c r="AJ711" s="17"/>
      <c r="AK711" s="17"/>
      <c r="AN711" s="17"/>
      <c r="AQ711" s="17"/>
      <c r="AW711" s="19"/>
    </row>
    <row r="712" spans="8:49" ht="15.75" customHeight="1" x14ac:dyDescent="0.3">
      <c r="H712" s="17"/>
      <c r="S712" s="17"/>
      <c r="W712" s="18"/>
      <c r="X712" s="18"/>
      <c r="Z712" s="17"/>
      <c r="AJ712" s="17"/>
      <c r="AK712" s="17"/>
      <c r="AN712" s="17"/>
      <c r="AQ712" s="17"/>
      <c r="AW712" s="19"/>
    </row>
    <row r="713" spans="8:49" ht="15.75" customHeight="1" x14ac:dyDescent="0.3">
      <c r="H713" s="17"/>
      <c r="S713" s="17"/>
      <c r="W713" s="18"/>
      <c r="X713" s="18"/>
      <c r="Z713" s="17"/>
      <c r="AJ713" s="17"/>
      <c r="AK713" s="17"/>
      <c r="AN713" s="17"/>
      <c r="AQ713" s="17"/>
      <c r="AW713" s="19"/>
    </row>
    <row r="714" spans="8:49" ht="15.75" customHeight="1" x14ac:dyDescent="0.3">
      <c r="H714" s="17"/>
      <c r="S714" s="17"/>
      <c r="W714" s="18"/>
      <c r="X714" s="18"/>
      <c r="Z714" s="17"/>
      <c r="AJ714" s="17"/>
      <c r="AK714" s="17"/>
      <c r="AN714" s="17"/>
      <c r="AQ714" s="17"/>
      <c r="AW714" s="19"/>
    </row>
    <row r="715" spans="8:49" ht="15.75" customHeight="1" x14ac:dyDescent="0.3">
      <c r="H715" s="17"/>
      <c r="S715" s="17"/>
      <c r="W715" s="18"/>
      <c r="X715" s="18"/>
      <c r="Z715" s="17"/>
      <c r="AJ715" s="17"/>
      <c r="AK715" s="17"/>
      <c r="AN715" s="17"/>
      <c r="AQ715" s="17"/>
      <c r="AW715" s="19"/>
    </row>
    <row r="716" spans="8:49" ht="15.75" customHeight="1" x14ac:dyDescent="0.3">
      <c r="H716" s="17"/>
      <c r="S716" s="17"/>
      <c r="W716" s="18"/>
      <c r="X716" s="18"/>
      <c r="Z716" s="17"/>
      <c r="AJ716" s="17"/>
      <c r="AK716" s="17"/>
      <c r="AN716" s="17"/>
      <c r="AQ716" s="17"/>
      <c r="AW716" s="19"/>
    </row>
    <row r="717" spans="8:49" ht="15.75" customHeight="1" x14ac:dyDescent="0.3">
      <c r="H717" s="17"/>
      <c r="S717" s="17"/>
      <c r="W717" s="18"/>
      <c r="X717" s="18"/>
      <c r="Z717" s="17"/>
      <c r="AJ717" s="17"/>
      <c r="AK717" s="17"/>
      <c r="AN717" s="17"/>
      <c r="AQ717" s="17"/>
      <c r="AW717" s="19"/>
    </row>
    <row r="718" spans="8:49" ht="15.75" customHeight="1" x14ac:dyDescent="0.3">
      <c r="H718" s="17"/>
      <c r="S718" s="17"/>
      <c r="W718" s="18"/>
      <c r="X718" s="18"/>
      <c r="Z718" s="17"/>
      <c r="AJ718" s="17"/>
      <c r="AK718" s="17"/>
      <c r="AN718" s="17"/>
      <c r="AQ718" s="17"/>
      <c r="AW718" s="19"/>
    </row>
    <row r="719" spans="8:49" ht="15.75" customHeight="1" x14ac:dyDescent="0.3">
      <c r="H719" s="17"/>
      <c r="S719" s="17"/>
      <c r="W719" s="18"/>
      <c r="X719" s="18"/>
      <c r="Z719" s="17"/>
      <c r="AJ719" s="17"/>
      <c r="AK719" s="17"/>
      <c r="AN719" s="17"/>
      <c r="AQ719" s="17"/>
      <c r="AW719" s="19"/>
    </row>
    <row r="720" spans="8:49" ht="15.75" customHeight="1" x14ac:dyDescent="0.3">
      <c r="H720" s="17"/>
      <c r="S720" s="17"/>
      <c r="W720" s="18"/>
      <c r="X720" s="18"/>
      <c r="Z720" s="17"/>
      <c r="AJ720" s="17"/>
      <c r="AK720" s="17"/>
      <c r="AN720" s="17"/>
      <c r="AQ720" s="17"/>
      <c r="AW720" s="19"/>
    </row>
    <row r="721" spans="8:49" ht="15.75" customHeight="1" x14ac:dyDescent="0.3">
      <c r="H721" s="17"/>
      <c r="S721" s="17"/>
      <c r="W721" s="18"/>
      <c r="X721" s="18"/>
      <c r="Z721" s="17"/>
      <c r="AJ721" s="17"/>
      <c r="AK721" s="17"/>
      <c r="AN721" s="17"/>
      <c r="AQ721" s="17"/>
      <c r="AW721" s="19"/>
    </row>
    <row r="722" spans="8:49" ht="15.75" customHeight="1" x14ac:dyDescent="0.3">
      <c r="H722" s="17"/>
      <c r="S722" s="17"/>
      <c r="W722" s="18"/>
      <c r="X722" s="18"/>
      <c r="Z722" s="17"/>
      <c r="AJ722" s="17"/>
      <c r="AK722" s="17"/>
      <c r="AN722" s="17"/>
      <c r="AQ722" s="17"/>
      <c r="AW722" s="19"/>
    </row>
    <row r="723" spans="8:49" ht="15.75" customHeight="1" x14ac:dyDescent="0.3">
      <c r="H723" s="17"/>
      <c r="S723" s="17"/>
      <c r="W723" s="18"/>
      <c r="X723" s="18"/>
      <c r="Z723" s="17"/>
      <c r="AJ723" s="17"/>
      <c r="AK723" s="17"/>
      <c r="AN723" s="17"/>
      <c r="AQ723" s="17"/>
      <c r="AW723" s="19"/>
    </row>
    <row r="724" spans="8:49" ht="15.75" customHeight="1" x14ac:dyDescent="0.3">
      <c r="H724" s="17"/>
      <c r="S724" s="17"/>
      <c r="W724" s="18"/>
      <c r="X724" s="18"/>
      <c r="Z724" s="17"/>
      <c r="AJ724" s="17"/>
      <c r="AK724" s="17"/>
      <c r="AN724" s="17"/>
      <c r="AQ724" s="17"/>
      <c r="AW724" s="19"/>
    </row>
    <row r="725" spans="8:49" ht="15.75" customHeight="1" x14ac:dyDescent="0.3">
      <c r="H725" s="17"/>
      <c r="S725" s="17"/>
      <c r="W725" s="18"/>
      <c r="X725" s="18"/>
      <c r="Z725" s="17"/>
      <c r="AJ725" s="17"/>
      <c r="AK725" s="17"/>
      <c r="AN725" s="17"/>
      <c r="AQ725" s="17"/>
      <c r="AW725" s="19"/>
    </row>
    <row r="726" spans="8:49" ht="15.75" customHeight="1" x14ac:dyDescent="0.3">
      <c r="H726" s="17"/>
      <c r="S726" s="17"/>
      <c r="W726" s="18"/>
      <c r="X726" s="18"/>
      <c r="Z726" s="17"/>
      <c r="AJ726" s="17"/>
      <c r="AK726" s="17"/>
      <c r="AN726" s="17"/>
      <c r="AQ726" s="17"/>
      <c r="AW726" s="19"/>
    </row>
    <row r="727" spans="8:49" ht="15.75" customHeight="1" x14ac:dyDescent="0.3">
      <c r="H727" s="17"/>
      <c r="S727" s="17"/>
      <c r="W727" s="18"/>
      <c r="X727" s="18"/>
      <c r="Z727" s="17"/>
      <c r="AJ727" s="17"/>
      <c r="AK727" s="17"/>
      <c r="AN727" s="17"/>
      <c r="AQ727" s="17"/>
      <c r="AW727" s="19"/>
    </row>
    <row r="728" spans="8:49" ht="15.75" customHeight="1" x14ac:dyDescent="0.3">
      <c r="H728" s="17"/>
      <c r="S728" s="17"/>
      <c r="W728" s="18"/>
      <c r="X728" s="18"/>
      <c r="Z728" s="17"/>
      <c r="AJ728" s="17"/>
      <c r="AK728" s="17"/>
      <c r="AN728" s="17"/>
      <c r="AQ728" s="17"/>
      <c r="AW728" s="19"/>
    </row>
    <row r="729" spans="8:49" ht="15.75" customHeight="1" x14ac:dyDescent="0.3">
      <c r="H729" s="17"/>
      <c r="S729" s="17"/>
      <c r="W729" s="18"/>
      <c r="X729" s="18"/>
      <c r="Z729" s="17"/>
      <c r="AJ729" s="17"/>
      <c r="AK729" s="17"/>
      <c r="AN729" s="17"/>
      <c r="AQ729" s="17"/>
      <c r="AW729" s="19"/>
    </row>
    <row r="730" spans="8:49" ht="15.75" customHeight="1" x14ac:dyDescent="0.3">
      <c r="H730" s="17"/>
      <c r="S730" s="17"/>
      <c r="W730" s="18"/>
      <c r="X730" s="18"/>
      <c r="Z730" s="17"/>
      <c r="AJ730" s="17"/>
      <c r="AK730" s="17"/>
      <c r="AN730" s="17"/>
      <c r="AQ730" s="17"/>
      <c r="AW730" s="19"/>
    </row>
    <row r="731" spans="8:49" ht="15.75" customHeight="1" x14ac:dyDescent="0.3">
      <c r="H731" s="17"/>
      <c r="S731" s="17"/>
      <c r="W731" s="18"/>
      <c r="X731" s="18"/>
      <c r="Z731" s="17"/>
      <c r="AJ731" s="17"/>
      <c r="AK731" s="17"/>
      <c r="AN731" s="17"/>
      <c r="AQ731" s="17"/>
      <c r="AW731" s="19"/>
    </row>
    <row r="732" spans="8:49" ht="15.75" customHeight="1" x14ac:dyDescent="0.3">
      <c r="H732" s="17"/>
      <c r="S732" s="17"/>
      <c r="W732" s="18"/>
      <c r="X732" s="18"/>
      <c r="Z732" s="17"/>
      <c r="AJ732" s="17"/>
      <c r="AK732" s="17"/>
      <c r="AN732" s="17"/>
      <c r="AQ732" s="17"/>
      <c r="AW732" s="19"/>
    </row>
    <row r="733" spans="8:49" ht="15.75" customHeight="1" x14ac:dyDescent="0.3">
      <c r="H733" s="17"/>
      <c r="S733" s="17"/>
      <c r="W733" s="18"/>
      <c r="X733" s="18"/>
      <c r="Z733" s="17"/>
      <c r="AJ733" s="17"/>
      <c r="AK733" s="17"/>
      <c r="AN733" s="17"/>
      <c r="AQ733" s="17"/>
      <c r="AW733" s="19"/>
    </row>
    <row r="734" spans="8:49" ht="15.75" customHeight="1" x14ac:dyDescent="0.3">
      <c r="H734" s="17"/>
      <c r="S734" s="17"/>
      <c r="W734" s="18"/>
      <c r="X734" s="18"/>
      <c r="Z734" s="17"/>
      <c r="AJ734" s="17"/>
      <c r="AK734" s="17"/>
      <c r="AN734" s="17"/>
      <c r="AQ734" s="17"/>
      <c r="AW734" s="19"/>
    </row>
    <row r="735" spans="8:49" ht="15.75" customHeight="1" x14ac:dyDescent="0.3">
      <c r="H735" s="17"/>
      <c r="S735" s="17"/>
      <c r="W735" s="18"/>
      <c r="X735" s="18"/>
      <c r="Z735" s="17"/>
      <c r="AJ735" s="17"/>
      <c r="AK735" s="17"/>
      <c r="AN735" s="17"/>
      <c r="AQ735" s="17"/>
      <c r="AW735" s="19"/>
    </row>
    <row r="736" spans="8:49" ht="15.75" customHeight="1" x14ac:dyDescent="0.3">
      <c r="H736" s="17"/>
      <c r="S736" s="17"/>
      <c r="W736" s="18"/>
      <c r="X736" s="18"/>
      <c r="Z736" s="17"/>
      <c r="AJ736" s="17"/>
      <c r="AK736" s="17"/>
      <c r="AN736" s="17"/>
      <c r="AQ736" s="17"/>
      <c r="AW736" s="19"/>
    </row>
    <row r="737" spans="8:49" ht="15.75" customHeight="1" x14ac:dyDescent="0.3">
      <c r="H737" s="17"/>
      <c r="S737" s="17"/>
      <c r="W737" s="18"/>
      <c r="X737" s="18"/>
      <c r="Z737" s="17"/>
      <c r="AJ737" s="17"/>
      <c r="AK737" s="17"/>
      <c r="AN737" s="17"/>
      <c r="AQ737" s="17"/>
      <c r="AW737" s="19"/>
    </row>
    <row r="738" spans="8:49" ht="15.75" customHeight="1" x14ac:dyDescent="0.3">
      <c r="H738" s="17"/>
      <c r="S738" s="17"/>
      <c r="W738" s="18"/>
      <c r="X738" s="18"/>
      <c r="Z738" s="17"/>
      <c r="AJ738" s="17"/>
      <c r="AK738" s="17"/>
      <c r="AN738" s="17"/>
      <c r="AQ738" s="17"/>
      <c r="AW738" s="19"/>
    </row>
    <row r="739" spans="8:49" ht="15.75" customHeight="1" x14ac:dyDescent="0.3">
      <c r="H739" s="17"/>
      <c r="S739" s="17"/>
      <c r="W739" s="18"/>
      <c r="X739" s="18"/>
      <c r="Z739" s="17"/>
      <c r="AJ739" s="17"/>
      <c r="AK739" s="17"/>
      <c r="AN739" s="17"/>
      <c r="AQ739" s="17"/>
      <c r="AW739" s="19"/>
    </row>
    <row r="740" spans="8:49" ht="15.75" customHeight="1" x14ac:dyDescent="0.3">
      <c r="H740" s="17"/>
      <c r="S740" s="17"/>
      <c r="W740" s="18"/>
      <c r="X740" s="18"/>
      <c r="Z740" s="17"/>
      <c r="AJ740" s="17"/>
      <c r="AK740" s="17"/>
      <c r="AN740" s="17"/>
      <c r="AQ740" s="17"/>
      <c r="AW740" s="19"/>
    </row>
    <row r="741" spans="8:49" ht="15.75" customHeight="1" x14ac:dyDescent="0.3">
      <c r="H741" s="17"/>
      <c r="S741" s="17"/>
      <c r="W741" s="18"/>
      <c r="X741" s="18"/>
      <c r="Z741" s="17"/>
      <c r="AJ741" s="17"/>
      <c r="AK741" s="17"/>
      <c r="AN741" s="17"/>
      <c r="AQ741" s="17"/>
      <c r="AW741" s="19"/>
    </row>
    <row r="742" spans="8:49" ht="15.75" customHeight="1" x14ac:dyDescent="0.3">
      <c r="H742" s="17"/>
      <c r="S742" s="17"/>
      <c r="W742" s="18"/>
      <c r="X742" s="18"/>
      <c r="Z742" s="17"/>
      <c r="AJ742" s="17"/>
      <c r="AK742" s="17"/>
      <c r="AN742" s="17"/>
      <c r="AQ742" s="17"/>
      <c r="AW742" s="19"/>
    </row>
    <row r="743" spans="8:49" ht="15.75" customHeight="1" x14ac:dyDescent="0.3">
      <c r="H743" s="17"/>
      <c r="S743" s="17"/>
      <c r="W743" s="18"/>
      <c r="X743" s="18"/>
      <c r="Z743" s="17"/>
      <c r="AJ743" s="17"/>
      <c r="AK743" s="17"/>
      <c r="AN743" s="17"/>
      <c r="AQ743" s="17"/>
      <c r="AW743" s="19"/>
    </row>
    <row r="744" spans="8:49" ht="15.75" customHeight="1" x14ac:dyDescent="0.3">
      <c r="H744" s="17"/>
      <c r="S744" s="17"/>
      <c r="W744" s="18"/>
      <c r="X744" s="18"/>
      <c r="Z744" s="17"/>
      <c r="AJ744" s="17"/>
      <c r="AK744" s="17"/>
      <c r="AN744" s="17"/>
      <c r="AQ744" s="17"/>
      <c r="AW744" s="19"/>
    </row>
    <row r="745" spans="8:49" ht="15.75" customHeight="1" x14ac:dyDescent="0.3">
      <c r="H745" s="17"/>
      <c r="S745" s="17"/>
      <c r="W745" s="18"/>
      <c r="X745" s="18"/>
      <c r="Z745" s="17"/>
      <c r="AJ745" s="17"/>
      <c r="AK745" s="17"/>
      <c r="AN745" s="17"/>
      <c r="AQ745" s="17"/>
      <c r="AW745" s="19"/>
    </row>
    <row r="746" spans="8:49" ht="15.75" customHeight="1" x14ac:dyDescent="0.3">
      <c r="H746" s="17"/>
      <c r="S746" s="17"/>
      <c r="W746" s="18"/>
      <c r="X746" s="18"/>
      <c r="Z746" s="17"/>
      <c r="AJ746" s="17"/>
      <c r="AK746" s="17"/>
      <c r="AN746" s="17"/>
      <c r="AQ746" s="17"/>
      <c r="AW746" s="19"/>
    </row>
    <row r="747" spans="8:49" ht="15.75" customHeight="1" x14ac:dyDescent="0.3">
      <c r="H747" s="17"/>
      <c r="S747" s="17"/>
      <c r="W747" s="18"/>
      <c r="X747" s="18"/>
      <c r="Z747" s="17"/>
      <c r="AJ747" s="17"/>
      <c r="AK747" s="17"/>
      <c r="AN747" s="17"/>
      <c r="AQ747" s="17"/>
      <c r="AW747" s="19"/>
    </row>
    <row r="748" spans="8:49" ht="15.75" customHeight="1" x14ac:dyDescent="0.3">
      <c r="H748" s="17"/>
      <c r="S748" s="17"/>
      <c r="W748" s="18"/>
      <c r="X748" s="18"/>
      <c r="Z748" s="17"/>
      <c r="AJ748" s="17"/>
      <c r="AK748" s="17"/>
      <c r="AN748" s="17"/>
      <c r="AQ748" s="17"/>
      <c r="AW748" s="19"/>
    </row>
    <row r="749" spans="8:49" ht="15.75" customHeight="1" x14ac:dyDescent="0.3">
      <c r="H749" s="17"/>
      <c r="S749" s="17"/>
      <c r="W749" s="18"/>
      <c r="X749" s="18"/>
      <c r="Z749" s="17"/>
      <c r="AJ749" s="17"/>
      <c r="AK749" s="17"/>
      <c r="AN749" s="17"/>
      <c r="AQ749" s="17"/>
      <c r="AW749" s="19"/>
    </row>
    <row r="750" spans="8:49" ht="15.75" customHeight="1" x14ac:dyDescent="0.3">
      <c r="H750" s="17"/>
      <c r="S750" s="17"/>
      <c r="W750" s="18"/>
      <c r="X750" s="18"/>
      <c r="Z750" s="17"/>
      <c r="AJ750" s="17"/>
      <c r="AK750" s="17"/>
      <c r="AN750" s="17"/>
      <c r="AQ750" s="17"/>
      <c r="AW750" s="19"/>
    </row>
    <row r="751" spans="8:49" ht="15.75" customHeight="1" x14ac:dyDescent="0.3">
      <c r="H751" s="17"/>
      <c r="S751" s="17"/>
      <c r="W751" s="18"/>
      <c r="X751" s="18"/>
      <c r="Z751" s="17"/>
      <c r="AJ751" s="17"/>
      <c r="AK751" s="17"/>
      <c r="AN751" s="17"/>
      <c r="AQ751" s="17"/>
      <c r="AW751" s="19"/>
    </row>
    <row r="752" spans="8:49" ht="15.75" customHeight="1" x14ac:dyDescent="0.3">
      <c r="H752" s="17"/>
      <c r="S752" s="17"/>
      <c r="W752" s="18"/>
      <c r="X752" s="18"/>
      <c r="Z752" s="17"/>
      <c r="AJ752" s="17"/>
      <c r="AK752" s="17"/>
      <c r="AN752" s="17"/>
      <c r="AQ752" s="17"/>
      <c r="AW752" s="19"/>
    </row>
    <row r="753" spans="8:49" ht="15.75" customHeight="1" x14ac:dyDescent="0.3">
      <c r="H753" s="17"/>
      <c r="S753" s="17"/>
      <c r="W753" s="18"/>
      <c r="X753" s="18"/>
      <c r="Z753" s="17"/>
      <c r="AJ753" s="17"/>
      <c r="AK753" s="17"/>
      <c r="AN753" s="17"/>
      <c r="AQ753" s="17"/>
      <c r="AW753" s="19"/>
    </row>
    <row r="754" spans="8:49" ht="15.75" customHeight="1" x14ac:dyDescent="0.3">
      <c r="H754" s="17"/>
      <c r="S754" s="17"/>
      <c r="W754" s="18"/>
      <c r="X754" s="18"/>
      <c r="Z754" s="17"/>
      <c r="AJ754" s="17"/>
      <c r="AK754" s="17"/>
      <c r="AN754" s="17"/>
      <c r="AQ754" s="17"/>
      <c r="AW754" s="19"/>
    </row>
    <row r="755" spans="8:49" ht="15.75" customHeight="1" x14ac:dyDescent="0.3">
      <c r="H755" s="17"/>
      <c r="S755" s="17"/>
      <c r="W755" s="18"/>
      <c r="X755" s="18"/>
      <c r="Z755" s="17"/>
      <c r="AJ755" s="17"/>
      <c r="AK755" s="17"/>
      <c r="AN755" s="17"/>
      <c r="AQ755" s="17"/>
      <c r="AW755" s="19"/>
    </row>
    <row r="756" spans="8:49" ht="15.75" customHeight="1" x14ac:dyDescent="0.3">
      <c r="H756" s="17"/>
      <c r="S756" s="17"/>
      <c r="W756" s="18"/>
      <c r="X756" s="18"/>
      <c r="Z756" s="17"/>
      <c r="AJ756" s="17"/>
      <c r="AK756" s="17"/>
      <c r="AN756" s="17"/>
      <c r="AQ756" s="17"/>
      <c r="AW756" s="19"/>
    </row>
    <row r="757" spans="8:49" ht="15.75" customHeight="1" x14ac:dyDescent="0.3">
      <c r="H757" s="17"/>
      <c r="S757" s="17"/>
      <c r="W757" s="18"/>
      <c r="X757" s="18"/>
      <c r="Z757" s="17"/>
      <c r="AJ757" s="17"/>
      <c r="AK757" s="17"/>
      <c r="AN757" s="17"/>
      <c r="AQ757" s="17"/>
      <c r="AW757" s="19"/>
    </row>
    <row r="758" spans="8:49" ht="15.75" customHeight="1" x14ac:dyDescent="0.3">
      <c r="H758" s="17"/>
      <c r="S758" s="17"/>
      <c r="W758" s="18"/>
      <c r="X758" s="18"/>
      <c r="Z758" s="17"/>
      <c r="AJ758" s="17"/>
      <c r="AK758" s="17"/>
      <c r="AN758" s="17"/>
      <c r="AQ758" s="17"/>
      <c r="AW758" s="19"/>
    </row>
    <row r="759" spans="8:49" ht="15.75" customHeight="1" x14ac:dyDescent="0.3">
      <c r="H759" s="17"/>
      <c r="S759" s="17"/>
      <c r="W759" s="18"/>
      <c r="X759" s="18"/>
      <c r="Z759" s="17"/>
      <c r="AJ759" s="17"/>
      <c r="AK759" s="17"/>
      <c r="AN759" s="17"/>
      <c r="AQ759" s="17"/>
      <c r="AW759" s="19"/>
    </row>
    <row r="760" spans="8:49" ht="15.75" customHeight="1" x14ac:dyDescent="0.3">
      <c r="H760" s="17"/>
      <c r="S760" s="17"/>
      <c r="W760" s="18"/>
      <c r="X760" s="18"/>
      <c r="Z760" s="17"/>
      <c r="AJ760" s="17"/>
      <c r="AK760" s="17"/>
      <c r="AN760" s="17"/>
      <c r="AQ760" s="17"/>
      <c r="AW760" s="19"/>
    </row>
    <row r="761" spans="8:49" ht="15.75" customHeight="1" x14ac:dyDescent="0.3">
      <c r="H761" s="17"/>
      <c r="S761" s="17"/>
      <c r="W761" s="18"/>
      <c r="X761" s="18"/>
      <c r="Z761" s="17"/>
      <c r="AJ761" s="17"/>
      <c r="AK761" s="17"/>
      <c r="AN761" s="17"/>
      <c r="AQ761" s="17"/>
      <c r="AW761" s="19"/>
    </row>
    <row r="762" spans="8:49" ht="15.75" customHeight="1" x14ac:dyDescent="0.3">
      <c r="H762" s="17"/>
      <c r="S762" s="17"/>
      <c r="W762" s="18"/>
      <c r="X762" s="18"/>
      <c r="Z762" s="17"/>
      <c r="AJ762" s="17"/>
      <c r="AK762" s="17"/>
      <c r="AN762" s="17"/>
      <c r="AQ762" s="17"/>
      <c r="AW762" s="19"/>
    </row>
    <row r="763" spans="8:49" ht="15.75" customHeight="1" x14ac:dyDescent="0.3">
      <c r="H763" s="17"/>
      <c r="S763" s="17"/>
      <c r="W763" s="18"/>
      <c r="X763" s="18"/>
      <c r="Z763" s="17"/>
      <c r="AJ763" s="17"/>
      <c r="AK763" s="17"/>
      <c r="AN763" s="17"/>
      <c r="AQ763" s="17"/>
      <c r="AW763" s="19"/>
    </row>
    <row r="764" spans="8:49" ht="15.75" customHeight="1" x14ac:dyDescent="0.3">
      <c r="H764" s="17"/>
      <c r="S764" s="17"/>
      <c r="W764" s="18"/>
      <c r="X764" s="18"/>
      <c r="Z764" s="17"/>
      <c r="AJ764" s="17"/>
      <c r="AK764" s="17"/>
      <c r="AN764" s="17"/>
      <c r="AQ764" s="17"/>
      <c r="AW764" s="19"/>
    </row>
    <row r="765" spans="8:49" ht="15.75" customHeight="1" x14ac:dyDescent="0.3">
      <c r="H765" s="17"/>
      <c r="S765" s="17"/>
      <c r="W765" s="18"/>
      <c r="X765" s="18"/>
      <c r="Z765" s="17"/>
      <c r="AJ765" s="17"/>
      <c r="AK765" s="17"/>
      <c r="AN765" s="17"/>
      <c r="AQ765" s="17"/>
      <c r="AW765" s="19"/>
    </row>
    <row r="766" spans="8:49" ht="15.75" customHeight="1" x14ac:dyDescent="0.3">
      <c r="H766" s="17"/>
      <c r="S766" s="17"/>
      <c r="W766" s="18"/>
      <c r="X766" s="18"/>
      <c r="Z766" s="17"/>
      <c r="AJ766" s="17"/>
      <c r="AK766" s="17"/>
      <c r="AN766" s="17"/>
      <c r="AQ766" s="17"/>
      <c r="AW766" s="19"/>
    </row>
    <row r="767" spans="8:49" ht="15.75" customHeight="1" x14ac:dyDescent="0.3">
      <c r="H767" s="17"/>
      <c r="S767" s="17"/>
      <c r="W767" s="18"/>
      <c r="X767" s="18"/>
      <c r="Z767" s="17"/>
      <c r="AJ767" s="17"/>
      <c r="AK767" s="17"/>
      <c r="AN767" s="17"/>
      <c r="AQ767" s="17"/>
      <c r="AW767" s="19"/>
    </row>
    <row r="768" spans="8:49" ht="15.75" customHeight="1" x14ac:dyDescent="0.3">
      <c r="H768" s="17"/>
      <c r="S768" s="17"/>
      <c r="W768" s="18"/>
      <c r="X768" s="18"/>
      <c r="Z768" s="17"/>
      <c r="AJ768" s="17"/>
      <c r="AK768" s="17"/>
      <c r="AN768" s="17"/>
      <c r="AQ768" s="17"/>
      <c r="AW768" s="19"/>
    </row>
    <row r="769" spans="8:49" ht="15.75" customHeight="1" x14ac:dyDescent="0.3">
      <c r="H769" s="17"/>
      <c r="S769" s="17"/>
      <c r="W769" s="18"/>
      <c r="X769" s="18"/>
      <c r="Z769" s="17"/>
      <c r="AJ769" s="17"/>
      <c r="AK769" s="17"/>
      <c r="AN769" s="17"/>
      <c r="AQ769" s="17"/>
      <c r="AW769" s="19"/>
    </row>
    <row r="770" spans="8:49" ht="15.75" customHeight="1" x14ac:dyDescent="0.3">
      <c r="H770" s="17"/>
      <c r="S770" s="17"/>
      <c r="W770" s="18"/>
      <c r="X770" s="18"/>
      <c r="Z770" s="17"/>
      <c r="AJ770" s="17"/>
      <c r="AK770" s="17"/>
      <c r="AN770" s="17"/>
      <c r="AQ770" s="17"/>
      <c r="AW770" s="19"/>
    </row>
    <row r="771" spans="8:49" ht="15.75" customHeight="1" x14ac:dyDescent="0.3">
      <c r="H771" s="17"/>
      <c r="S771" s="17"/>
      <c r="W771" s="18"/>
      <c r="X771" s="18"/>
      <c r="Z771" s="17"/>
      <c r="AJ771" s="17"/>
      <c r="AK771" s="17"/>
      <c r="AN771" s="17"/>
      <c r="AQ771" s="17"/>
      <c r="AW771" s="19"/>
    </row>
    <row r="772" spans="8:49" ht="15.75" customHeight="1" x14ac:dyDescent="0.3">
      <c r="H772" s="17"/>
      <c r="S772" s="17"/>
      <c r="W772" s="18"/>
      <c r="X772" s="18"/>
      <c r="Z772" s="17"/>
      <c r="AJ772" s="17"/>
      <c r="AK772" s="17"/>
      <c r="AN772" s="17"/>
      <c r="AQ772" s="17"/>
      <c r="AW772" s="19"/>
    </row>
    <row r="773" spans="8:49" ht="15.75" customHeight="1" x14ac:dyDescent="0.3">
      <c r="H773" s="17"/>
      <c r="S773" s="17"/>
      <c r="W773" s="18"/>
      <c r="X773" s="18"/>
      <c r="Z773" s="17"/>
      <c r="AJ773" s="17"/>
      <c r="AK773" s="17"/>
      <c r="AN773" s="17"/>
      <c r="AQ773" s="17"/>
      <c r="AW773" s="19"/>
    </row>
    <row r="774" spans="8:49" ht="15.75" customHeight="1" x14ac:dyDescent="0.3">
      <c r="H774" s="17"/>
      <c r="S774" s="17"/>
      <c r="W774" s="18"/>
      <c r="X774" s="18"/>
      <c r="Z774" s="17"/>
      <c r="AJ774" s="17"/>
      <c r="AK774" s="17"/>
      <c r="AN774" s="17"/>
      <c r="AQ774" s="17"/>
      <c r="AW774" s="19"/>
    </row>
    <row r="775" spans="8:49" ht="15.75" customHeight="1" x14ac:dyDescent="0.3">
      <c r="H775" s="17"/>
      <c r="S775" s="17"/>
      <c r="W775" s="18"/>
      <c r="X775" s="18"/>
      <c r="Z775" s="17"/>
      <c r="AJ775" s="17"/>
      <c r="AK775" s="17"/>
      <c r="AN775" s="17"/>
      <c r="AQ775" s="17"/>
      <c r="AW775" s="19"/>
    </row>
    <row r="776" spans="8:49" ht="15.75" customHeight="1" x14ac:dyDescent="0.3">
      <c r="H776" s="17"/>
      <c r="S776" s="17"/>
      <c r="W776" s="18"/>
      <c r="X776" s="18"/>
      <c r="Z776" s="17"/>
      <c r="AJ776" s="17"/>
      <c r="AK776" s="17"/>
      <c r="AN776" s="17"/>
      <c r="AQ776" s="17"/>
      <c r="AW776" s="19"/>
    </row>
    <row r="777" spans="8:49" ht="15.75" customHeight="1" x14ac:dyDescent="0.3">
      <c r="H777" s="17"/>
      <c r="S777" s="17"/>
      <c r="W777" s="18"/>
      <c r="X777" s="18"/>
      <c r="Z777" s="17"/>
      <c r="AJ777" s="17"/>
      <c r="AK777" s="17"/>
      <c r="AN777" s="17"/>
      <c r="AQ777" s="17"/>
      <c r="AW777" s="19"/>
    </row>
    <row r="778" spans="8:49" ht="15.75" customHeight="1" x14ac:dyDescent="0.3">
      <c r="H778" s="17"/>
      <c r="S778" s="17"/>
      <c r="W778" s="18"/>
      <c r="X778" s="18"/>
      <c r="Z778" s="17"/>
      <c r="AJ778" s="17"/>
      <c r="AK778" s="17"/>
      <c r="AN778" s="17"/>
      <c r="AQ778" s="17"/>
      <c r="AW778" s="19"/>
    </row>
    <row r="779" spans="8:49" ht="15.75" customHeight="1" x14ac:dyDescent="0.3">
      <c r="H779" s="17"/>
      <c r="S779" s="17"/>
      <c r="W779" s="18"/>
      <c r="X779" s="18"/>
      <c r="Z779" s="17"/>
      <c r="AJ779" s="17"/>
      <c r="AK779" s="17"/>
      <c r="AN779" s="17"/>
      <c r="AQ779" s="17"/>
      <c r="AW779" s="19"/>
    </row>
    <row r="780" spans="8:49" ht="15.75" customHeight="1" x14ac:dyDescent="0.3">
      <c r="H780" s="17"/>
      <c r="S780" s="17"/>
      <c r="W780" s="18"/>
      <c r="X780" s="18"/>
      <c r="Z780" s="17"/>
      <c r="AJ780" s="17"/>
      <c r="AK780" s="17"/>
      <c r="AN780" s="17"/>
      <c r="AQ780" s="17"/>
      <c r="AW780" s="19"/>
    </row>
    <row r="781" spans="8:49" ht="15.75" customHeight="1" x14ac:dyDescent="0.3">
      <c r="H781" s="17"/>
      <c r="S781" s="17"/>
      <c r="W781" s="18"/>
      <c r="X781" s="18"/>
      <c r="Z781" s="17"/>
      <c r="AJ781" s="17"/>
      <c r="AK781" s="17"/>
      <c r="AN781" s="17"/>
      <c r="AQ781" s="17"/>
      <c r="AW781" s="19"/>
    </row>
    <row r="782" spans="8:49" ht="15.75" customHeight="1" x14ac:dyDescent="0.3">
      <c r="H782" s="17"/>
      <c r="S782" s="17"/>
      <c r="W782" s="18"/>
      <c r="X782" s="18"/>
      <c r="Z782" s="17"/>
      <c r="AJ782" s="17"/>
      <c r="AK782" s="17"/>
      <c r="AN782" s="17"/>
      <c r="AQ782" s="17"/>
      <c r="AW782" s="19"/>
    </row>
    <row r="783" spans="8:49" ht="15.75" customHeight="1" x14ac:dyDescent="0.3">
      <c r="H783" s="17"/>
      <c r="S783" s="17"/>
      <c r="W783" s="18"/>
      <c r="X783" s="18"/>
      <c r="Z783" s="17"/>
      <c r="AJ783" s="17"/>
      <c r="AK783" s="17"/>
      <c r="AN783" s="17"/>
      <c r="AQ783" s="17"/>
      <c r="AW783" s="19"/>
    </row>
    <row r="784" spans="8:49" ht="15.75" customHeight="1" x14ac:dyDescent="0.3">
      <c r="H784" s="17"/>
      <c r="S784" s="17"/>
      <c r="W784" s="18"/>
      <c r="X784" s="18"/>
      <c r="Z784" s="17"/>
      <c r="AJ784" s="17"/>
      <c r="AK784" s="17"/>
      <c r="AN784" s="17"/>
      <c r="AQ784" s="17"/>
      <c r="AW784" s="19"/>
    </row>
    <row r="785" spans="8:49" ht="15.75" customHeight="1" x14ac:dyDescent="0.3">
      <c r="H785" s="17"/>
      <c r="S785" s="17"/>
      <c r="W785" s="18"/>
      <c r="X785" s="18"/>
      <c r="Z785" s="17"/>
      <c r="AJ785" s="17"/>
      <c r="AK785" s="17"/>
      <c r="AN785" s="17"/>
      <c r="AQ785" s="17"/>
      <c r="AW785" s="19"/>
    </row>
    <row r="786" spans="8:49" ht="15.75" customHeight="1" x14ac:dyDescent="0.3">
      <c r="H786" s="17"/>
      <c r="S786" s="17"/>
      <c r="W786" s="18"/>
      <c r="X786" s="18"/>
      <c r="Z786" s="17"/>
      <c r="AJ786" s="17"/>
      <c r="AK786" s="17"/>
      <c r="AN786" s="17"/>
      <c r="AQ786" s="17"/>
      <c r="AW786" s="19"/>
    </row>
    <row r="787" spans="8:49" ht="15.75" customHeight="1" x14ac:dyDescent="0.3">
      <c r="H787" s="17"/>
      <c r="S787" s="17"/>
      <c r="W787" s="18"/>
      <c r="X787" s="18"/>
      <c r="Z787" s="17"/>
      <c r="AJ787" s="17"/>
      <c r="AK787" s="17"/>
      <c r="AN787" s="17"/>
      <c r="AQ787" s="17"/>
      <c r="AW787" s="19"/>
    </row>
    <row r="788" spans="8:49" ht="15.75" customHeight="1" x14ac:dyDescent="0.3">
      <c r="H788" s="17"/>
      <c r="S788" s="17"/>
      <c r="W788" s="18"/>
      <c r="X788" s="18"/>
      <c r="Z788" s="17"/>
      <c r="AJ788" s="17"/>
      <c r="AK788" s="17"/>
      <c r="AN788" s="17"/>
      <c r="AQ788" s="17"/>
      <c r="AW788" s="19"/>
    </row>
    <row r="789" spans="8:49" ht="15.75" customHeight="1" x14ac:dyDescent="0.3">
      <c r="H789" s="17"/>
      <c r="S789" s="17"/>
      <c r="W789" s="18"/>
      <c r="X789" s="18"/>
      <c r="Z789" s="17"/>
      <c r="AJ789" s="17"/>
      <c r="AK789" s="17"/>
      <c r="AN789" s="17"/>
      <c r="AQ789" s="17"/>
      <c r="AW789" s="19"/>
    </row>
    <row r="790" spans="8:49" ht="15.75" customHeight="1" x14ac:dyDescent="0.3">
      <c r="H790" s="17"/>
      <c r="S790" s="17"/>
      <c r="W790" s="18"/>
      <c r="X790" s="18"/>
      <c r="Z790" s="17"/>
      <c r="AJ790" s="17"/>
      <c r="AK790" s="17"/>
      <c r="AN790" s="17"/>
      <c r="AQ790" s="17"/>
      <c r="AW790" s="19"/>
    </row>
    <row r="791" spans="8:49" ht="15.75" customHeight="1" x14ac:dyDescent="0.3">
      <c r="H791" s="17"/>
      <c r="S791" s="17"/>
      <c r="W791" s="18"/>
      <c r="X791" s="18"/>
      <c r="Z791" s="17"/>
      <c r="AJ791" s="17"/>
      <c r="AK791" s="17"/>
      <c r="AN791" s="17"/>
      <c r="AQ791" s="17"/>
      <c r="AW791" s="19"/>
    </row>
    <row r="792" spans="8:49" ht="15.75" customHeight="1" x14ac:dyDescent="0.3">
      <c r="H792" s="17"/>
      <c r="S792" s="17"/>
      <c r="W792" s="18"/>
      <c r="X792" s="18"/>
      <c r="Z792" s="17"/>
      <c r="AJ792" s="17"/>
      <c r="AK792" s="17"/>
      <c r="AN792" s="17"/>
      <c r="AQ792" s="17"/>
      <c r="AW792" s="19"/>
    </row>
    <row r="793" spans="8:49" ht="15.75" customHeight="1" x14ac:dyDescent="0.3">
      <c r="H793" s="17"/>
      <c r="S793" s="17"/>
      <c r="W793" s="18"/>
      <c r="X793" s="18"/>
      <c r="Z793" s="17"/>
      <c r="AJ793" s="17"/>
      <c r="AK793" s="17"/>
      <c r="AN793" s="17"/>
      <c r="AQ793" s="17"/>
      <c r="AW793" s="19"/>
    </row>
    <row r="794" spans="8:49" ht="15.75" customHeight="1" x14ac:dyDescent="0.3">
      <c r="H794" s="17"/>
      <c r="S794" s="17"/>
      <c r="W794" s="18"/>
      <c r="X794" s="18"/>
      <c r="Z794" s="17"/>
      <c r="AJ794" s="17"/>
      <c r="AK794" s="17"/>
      <c r="AN794" s="17"/>
      <c r="AQ794" s="17"/>
      <c r="AW794" s="19"/>
    </row>
    <row r="795" spans="8:49" ht="15.75" customHeight="1" x14ac:dyDescent="0.3">
      <c r="H795" s="17"/>
      <c r="S795" s="17"/>
      <c r="W795" s="18"/>
      <c r="X795" s="18"/>
      <c r="Z795" s="17"/>
      <c r="AJ795" s="17"/>
      <c r="AK795" s="17"/>
      <c r="AN795" s="17"/>
      <c r="AQ795" s="17"/>
      <c r="AW795" s="19"/>
    </row>
    <row r="796" spans="8:49" ht="15.75" customHeight="1" x14ac:dyDescent="0.3">
      <c r="H796" s="17"/>
      <c r="S796" s="17"/>
      <c r="W796" s="18"/>
      <c r="X796" s="18"/>
      <c r="Z796" s="17"/>
      <c r="AJ796" s="17"/>
      <c r="AK796" s="17"/>
      <c r="AN796" s="17"/>
      <c r="AQ796" s="17"/>
      <c r="AW796" s="19"/>
    </row>
    <row r="797" spans="8:49" ht="15.75" customHeight="1" x14ac:dyDescent="0.3">
      <c r="H797" s="17"/>
      <c r="S797" s="17"/>
      <c r="W797" s="18"/>
      <c r="X797" s="18"/>
      <c r="Z797" s="17"/>
      <c r="AJ797" s="17"/>
      <c r="AK797" s="17"/>
      <c r="AN797" s="17"/>
      <c r="AQ797" s="17"/>
      <c r="AW797" s="19"/>
    </row>
    <row r="798" spans="8:49" ht="15.75" customHeight="1" x14ac:dyDescent="0.3">
      <c r="H798" s="17"/>
      <c r="S798" s="17"/>
      <c r="W798" s="18"/>
      <c r="X798" s="18"/>
      <c r="Z798" s="17"/>
      <c r="AJ798" s="17"/>
      <c r="AK798" s="17"/>
      <c r="AN798" s="17"/>
      <c r="AQ798" s="17"/>
      <c r="AW798" s="19"/>
    </row>
    <row r="799" spans="8:49" ht="15.75" customHeight="1" x14ac:dyDescent="0.3">
      <c r="H799" s="17"/>
      <c r="S799" s="17"/>
      <c r="W799" s="18"/>
      <c r="X799" s="18"/>
      <c r="Z799" s="17"/>
      <c r="AJ799" s="17"/>
      <c r="AK799" s="17"/>
      <c r="AN799" s="17"/>
      <c r="AQ799" s="17"/>
      <c r="AW799" s="19"/>
    </row>
    <row r="800" spans="8:49" ht="15.75" customHeight="1" x14ac:dyDescent="0.3">
      <c r="H800" s="17"/>
      <c r="S800" s="17"/>
      <c r="W800" s="18"/>
      <c r="X800" s="18"/>
      <c r="Z800" s="17"/>
      <c r="AJ800" s="17"/>
      <c r="AK800" s="17"/>
      <c r="AN800" s="17"/>
      <c r="AQ800" s="17"/>
      <c r="AW800" s="19"/>
    </row>
    <row r="801" spans="8:49" ht="15.75" customHeight="1" x14ac:dyDescent="0.3">
      <c r="H801" s="17"/>
      <c r="S801" s="17"/>
      <c r="W801" s="18"/>
      <c r="X801" s="18"/>
      <c r="Z801" s="17"/>
      <c r="AJ801" s="17"/>
      <c r="AK801" s="17"/>
      <c r="AN801" s="17"/>
      <c r="AQ801" s="17"/>
      <c r="AW801" s="19"/>
    </row>
    <row r="802" spans="8:49" ht="15.75" customHeight="1" x14ac:dyDescent="0.3">
      <c r="H802" s="17"/>
      <c r="S802" s="17"/>
      <c r="W802" s="18"/>
      <c r="X802" s="18"/>
      <c r="Z802" s="17"/>
      <c r="AJ802" s="17"/>
      <c r="AK802" s="17"/>
      <c r="AN802" s="17"/>
      <c r="AQ802" s="17"/>
      <c r="AW802" s="19"/>
    </row>
    <row r="803" spans="8:49" ht="15.75" customHeight="1" x14ac:dyDescent="0.3">
      <c r="H803" s="17"/>
      <c r="S803" s="17"/>
      <c r="W803" s="18"/>
      <c r="X803" s="18"/>
      <c r="Z803" s="17"/>
      <c r="AJ803" s="17"/>
      <c r="AK803" s="17"/>
      <c r="AN803" s="17"/>
      <c r="AQ803" s="17"/>
      <c r="AW803" s="19"/>
    </row>
    <row r="804" spans="8:49" ht="15.75" customHeight="1" x14ac:dyDescent="0.3">
      <c r="H804" s="17"/>
      <c r="S804" s="17"/>
      <c r="W804" s="18"/>
      <c r="X804" s="18"/>
      <c r="Z804" s="17"/>
      <c r="AJ804" s="17"/>
      <c r="AK804" s="17"/>
      <c r="AN804" s="17"/>
      <c r="AQ804" s="17"/>
      <c r="AW804" s="19"/>
    </row>
    <row r="805" spans="8:49" ht="15.75" customHeight="1" x14ac:dyDescent="0.3">
      <c r="H805" s="17"/>
      <c r="S805" s="17"/>
      <c r="W805" s="18"/>
      <c r="X805" s="18"/>
      <c r="Z805" s="17"/>
      <c r="AJ805" s="17"/>
      <c r="AK805" s="17"/>
      <c r="AN805" s="17"/>
      <c r="AQ805" s="17"/>
      <c r="AW805" s="19"/>
    </row>
    <row r="806" spans="8:49" ht="15.75" customHeight="1" x14ac:dyDescent="0.3">
      <c r="H806" s="17"/>
      <c r="S806" s="17"/>
      <c r="W806" s="18"/>
      <c r="X806" s="18"/>
      <c r="Z806" s="17"/>
      <c r="AJ806" s="17"/>
      <c r="AK806" s="17"/>
      <c r="AN806" s="17"/>
      <c r="AQ806" s="17"/>
      <c r="AW806" s="19"/>
    </row>
    <row r="807" spans="8:49" ht="15.75" customHeight="1" x14ac:dyDescent="0.3">
      <c r="H807" s="17"/>
      <c r="S807" s="17"/>
      <c r="W807" s="18"/>
      <c r="X807" s="18"/>
      <c r="Z807" s="17"/>
      <c r="AJ807" s="17"/>
      <c r="AK807" s="17"/>
      <c r="AN807" s="17"/>
      <c r="AQ807" s="17"/>
      <c r="AW807" s="19"/>
    </row>
    <row r="808" spans="8:49" ht="15.75" customHeight="1" x14ac:dyDescent="0.3">
      <c r="H808" s="17"/>
      <c r="S808" s="17"/>
      <c r="W808" s="18"/>
      <c r="X808" s="18"/>
      <c r="Z808" s="17"/>
      <c r="AJ808" s="17"/>
      <c r="AK808" s="17"/>
      <c r="AN808" s="17"/>
      <c r="AQ808" s="17"/>
      <c r="AW808" s="19"/>
    </row>
    <row r="809" spans="8:49" ht="15.75" customHeight="1" x14ac:dyDescent="0.3">
      <c r="H809" s="17"/>
      <c r="S809" s="17"/>
      <c r="W809" s="18"/>
      <c r="X809" s="18"/>
      <c r="Z809" s="17"/>
      <c r="AJ809" s="17"/>
      <c r="AK809" s="17"/>
      <c r="AN809" s="17"/>
      <c r="AQ809" s="17"/>
      <c r="AW809" s="19"/>
    </row>
    <row r="810" spans="8:49" ht="15.75" customHeight="1" x14ac:dyDescent="0.3">
      <c r="H810" s="17"/>
      <c r="S810" s="17"/>
      <c r="W810" s="18"/>
      <c r="X810" s="18"/>
      <c r="Z810" s="17"/>
      <c r="AJ810" s="17"/>
      <c r="AK810" s="17"/>
      <c r="AN810" s="17"/>
      <c r="AQ810" s="17"/>
      <c r="AW810" s="19"/>
    </row>
    <row r="811" spans="8:49" ht="15.75" customHeight="1" x14ac:dyDescent="0.3">
      <c r="H811" s="17"/>
      <c r="S811" s="17"/>
      <c r="W811" s="18"/>
      <c r="X811" s="18"/>
      <c r="Z811" s="17"/>
      <c r="AJ811" s="17"/>
      <c r="AK811" s="17"/>
      <c r="AN811" s="17"/>
      <c r="AQ811" s="17"/>
      <c r="AW811" s="19"/>
    </row>
    <row r="812" spans="8:49" ht="15.75" customHeight="1" x14ac:dyDescent="0.3">
      <c r="H812" s="17"/>
      <c r="S812" s="17"/>
      <c r="W812" s="18"/>
      <c r="X812" s="18"/>
      <c r="Z812" s="17"/>
      <c r="AJ812" s="17"/>
      <c r="AK812" s="17"/>
      <c r="AN812" s="17"/>
      <c r="AQ812" s="17"/>
      <c r="AW812" s="19"/>
    </row>
    <row r="813" spans="8:49" ht="15.75" customHeight="1" x14ac:dyDescent="0.3">
      <c r="H813" s="17"/>
      <c r="S813" s="17"/>
      <c r="W813" s="18"/>
      <c r="X813" s="18"/>
      <c r="Z813" s="17"/>
      <c r="AJ813" s="17"/>
      <c r="AK813" s="17"/>
      <c r="AN813" s="17"/>
      <c r="AQ813" s="17"/>
      <c r="AW813" s="19"/>
    </row>
    <row r="814" spans="8:49" ht="15.75" customHeight="1" x14ac:dyDescent="0.3">
      <c r="H814" s="17"/>
      <c r="S814" s="17"/>
      <c r="W814" s="18"/>
      <c r="X814" s="18"/>
      <c r="Z814" s="17"/>
      <c r="AJ814" s="17"/>
      <c r="AK814" s="17"/>
      <c r="AN814" s="17"/>
      <c r="AQ814" s="17"/>
      <c r="AW814" s="19"/>
    </row>
    <row r="815" spans="8:49" ht="15.75" customHeight="1" x14ac:dyDescent="0.3">
      <c r="H815" s="17"/>
      <c r="S815" s="17"/>
      <c r="W815" s="18"/>
      <c r="X815" s="18"/>
      <c r="Z815" s="17"/>
      <c r="AJ815" s="17"/>
      <c r="AK815" s="17"/>
      <c r="AN815" s="17"/>
      <c r="AQ815" s="17"/>
      <c r="AW815" s="19"/>
    </row>
    <row r="816" spans="8:49" ht="15.75" customHeight="1" x14ac:dyDescent="0.3">
      <c r="H816" s="17"/>
      <c r="S816" s="17"/>
      <c r="W816" s="18"/>
      <c r="X816" s="18"/>
      <c r="Z816" s="17"/>
      <c r="AJ816" s="17"/>
      <c r="AK816" s="17"/>
      <c r="AN816" s="17"/>
      <c r="AQ816" s="17"/>
      <c r="AW816" s="19"/>
    </row>
    <row r="817" spans="8:49" ht="15.75" customHeight="1" x14ac:dyDescent="0.3">
      <c r="H817" s="17"/>
      <c r="S817" s="17"/>
      <c r="W817" s="18"/>
      <c r="X817" s="18"/>
      <c r="Z817" s="17"/>
      <c r="AJ817" s="17"/>
      <c r="AK817" s="17"/>
      <c r="AN817" s="17"/>
      <c r="AQ817" s="17"/>
      <c r="AW817" s="19"/>
    </row>
    <row r="818" spans="8:49" ht="15.75" customHeight="1" x14ac:dyDescent="0.3">
      <c r="H818" s="17"/>
      <c r="S818" s="17"/>
      <c r="W818" s="18"/>
      <c r="X818" s="18"/>
      <c r="Z818" s="17"/>
      <c r="AJ818" s="17"/>
      <c r="AK818" s="17"/>
      <c r="AN818" s="17"/>
      <c r="AQ818" s="17"/>
      <c r="AW818" s="19"/>
    </row>
    <row r="819" spans="8:49" ht="15.75" customHeight="1" x14ac:dyDescent="0.3">
      <c r="H819" s="17"/>
      <c r="S819" s="17"/>
      <c r="W819" s="18"/>
      <c r="X819" s="18"/>
      <c r="Z819" s="17"/>
      <c r="AJ819" s="17"/>
      <c r="AK819" s="17"/>
      <c r="AN819" s="17"/>
      <c r="AQ819" s="17"/>
      <c r="AW819" s="19"/>
    </row>
    <row r="820" spans="8:49" ht="15.75" customHeight="1" x14ac:dyDescent="0.3">
      <c r="H820" s="17"/>
      <c r="S820" s="17"/>
      <c r="W820" s="18"/>
      <c r="X820" s="18"/>
      <c r="Z820" s="17"/>
      <c r="AJ820" s="17"/>
      <c r="AK820" s="17"/>
      <c r="AN820" s="17"/>
      <c r="AQ820" s="17"/>
      <c r="AW820" s="19"/>
    </row>
    <row r="821" spans="8:49" ht="15.75" customHeight="1" x14ac:dyDescent="0.3">
      <c r="H821" s="17"/>
      <c r="S821" s="17"/>
      <c r="W821" s="18"/>
      <c r="X821" s="18"/>
      <c r="Z821" s="17"/>
      <c r="AJ821" s="17"/>
      <c r="AK821" s="17"/>
      <c r="AN821" s="17"/>
      <c r="AQ821" s="17"/>
      <c r="AW821" s="19"/>
    </row>
    <row r="822" spans="8:49" ht="15.75" customHeight="1" x14ac:dyDescent="0.3">
      <c r="H822" s="17"/>
      <c r="S822" s="17"/>
      <c r="W822" s="18"/>
      <c r="X822" s="18"/>
      <c r="Z822" s="17"/>
      <c r="AJ822" s="17"/>
      <c r="AK822" s="17"/>
      <c r="AN822" s="17"/>
      <c r="AQ822" s="17"/>
      <c r="AW822" s="19"/>
    </row>
    <row r="823" spans="8:49" ht="15.75" customHeight="1" x14ac:dyDescent="0.3">
      <c r="H823" s="17"/>
      <c r="S823" s="17"/>
      <c r="W823" s="18"/>
      <c r="X823" s="18"/>
      <c r="Z823" s="17"/>
      <c r="AJ823" s="17"/>
      <c r="AK823" s="17"/>
      <c r="AN823" s="17"/>
      <c r="AQ823" s="17"/>
      <c r="AW823" s="19"/>
    </row>
    <row r="824" spans="8:49" ht="15.75" customHeight="1" x14ac:dyDescent="0.3">
      <c r="H824" s="17"/>
      <c r="S824" s="17"/>
      <c r="W824" s="18"/>
      <c r="X824" s="18"/>
      <c r="Z824" s="17"/>
      <c r="AJ824" s="17"/>
      <c r="AK824" s="17"/>
      <c r="AN824" s="17"/>
      <c r="AQ824" s="17"/>
      <c r="AW824" s="19"/>
    </row>
    <row r="825" spans="8:49" ht="15.75" customHeight="1" x14ac:dyDescent="0.3">
      <c r="H825" s="17"/>
      <c r="S825" s="17"/>
      <c r="W825" s="18"/>
      <c r="X825" s="18"/>
      <c r="Z825" s="17"/>
      <c r="AJ825" s="17"/>
      <c r="AK825" s="17"/>
      <c r="AN825" s="17"/>
      <c r="AQ825" s="17"/>
      <c r="AW825" s="19"/>
    </row>
    <row r="826" spans="8:49" ht="15.75" customHeight="1" x14ac:dyDescent="0.3">
      <c r="H826" s="17"/>
      <c r="S826" s="17"/>
      <c r="W826" s="18"/>
      <c r="X826" s="18"/>
      <c r="Z826" s="17"/>
      <c r="AJ826" s="17"/>
      <c r="AK826" s="17"/>
      <c r="AN826" s="17"/>
      <c r="AQ826" s="17"/>
      <c r="AW826" s="19"/>
    </row>
    <row r="827" spans="8:49" ht="15.75" customHeight="1" x14ac:dyDescent="0.3">
      <c r="H827" s="17"/>
      <c r="S827" s="17"/>
      <c r="W827" s="18"/>
      <c r="X827" s="18"/>
      <c r="Z827" s="17"/>
      <c r="AJ827" s="17"/>
      <c r="AK827" s="17"/>
      <c r="AN827" s="17"/>
      <c r="AQ827" s="17"/>
      <c r="AW827" s="19"/>
    </row>
    <row r="828" spans="8:49" ht="15.75" customHeight="1" x14ac:dyDescent="0.3">
      <c r="H828" s="17"/>
      <c r="S828" s="17"/>
      <c r="W828" s="18"/>
      <c r="X828" s="18"/>
      <c r="Z828" s="17"/>
      <c r="AJ828" s="17"/>
      <c r="AK828" s="17"/>
      <c r="AN828" s="17"/>
      <c r="AQ828" s="17"/>
      <c r="AW828" s="19"/>
    </row>
    <row r="829" spans="8:49" ht="15.75" customHeight="1" x14ac:dyDescent="0.3">
      <c r="H829" s="17"/>
      <c r="S829" s="17"/>
      <c r="W829" s="18"/>
      <c r="X829" s="18"/>
      <c r="Z829" s="17"/>
      <c r="AJ829" s="17"/>
      <c r="AK829" s="17"/>
      <c r="AN829" s="17"/>
      <c r="AQ829" s="17"/>
      <c r="AW829" s="19"/>
    </row>
    <row r="830" spans="8:49" ht="15.75" customHeight="1" x14ac:dyDescent="0.3">
      <c r="H830" s="17"/>
      <c r="S830" s="17"/>
      <c r="W830" s="18"/>
      <c r="X830" s="18"/>
      <c r="Z830" s="17"/>
      <c r="AJ830" s="17"/>
      <c r="AK830" s="17"/>
      <c r="AN830" s="17"/>
      <c r="AQ830" s="17"/>
      <c r="AW830" s="19"/>
    </row>
    <row r="831" spans="8:49" ht="15.75" customHeight="1" x14ac:dyDescent="0.3">
      <c r="H831" s="17"/>
      <c r="S831" s="17"/>
      <c r="W831" s="18"/>
      <c r="X831" s="18"/>
      <c r="Z831" s="17"/>
      <c r="AJ831" s="17"/>
      <c r="AK831" s="17"/>
      <c r="AN831" s="17"/>
      <c r="AQ831" s="17"/>
      <c r="AW831" s="19"/>
    </row>
    <row r="832" spans="8:49" ht="15.75" customHeight="1" x14ac:dyDescent="0.3">
      <c r="H832" s="17"/>
      <c r="S832" s="17"/>
      <c r="W832" s="18"/>
      <c r="X832" s="18"/>
      <c r="Z832" s="17"/>
      <c r="AJ832" s="17"/>
      <c r="AK832" s="17"/>
      <c r="AN832" s="17"/>
      <c r="AQ832" s="17"/>
      <c r="AW832" s="19"/>
    </row>
    <row r="833" spans="8:49" ht="15.75" customHeight="1" x14ac:dyDescent="0.3">
      <c r="H833" s="17"/>
      <c r="S833" s="17"/>
      <c r="W833" s="18"/>
      <c r="X833" s="18"/>
      <c r="Z833" s="17"/>
      <c r="AJ833" s="17"/>
      <c r="AK833" s="17"/>
      <c r="AN833" s="17"/>
      <c r="AQ833" s="17"/>
      <c r="AW833" s="19"/>
    </row>
    <row r="834" spans="8:49" ht="15.75" customHeight="1" x14ac:dyDescent="0.3">
      <c r="H834" s="17"/>
      <c r="S834" s="17"/>
      <c r="W834" s="18"/>
      <c r="X834" s="18"/>
      <c r="Z834" s="17"/>
      <c r="AJ834" s="17"/>
      <c r="AK834" s="17"/>
      <c r="AN834" s="17"/>
      <c r="AQ834" s="17"/>
      <c r="AW834" s="19"/>
    </row>
    <row r="835" spans="8:49" ht="15.75" customHeight="1" x14ac:dyDescent="0.3">
      <c r="H835" s="17"/>
      <c r="S835" s="17"/>
      <c r="W835" s="18"/>
      <c r="X835" s="18"/>
      <c r="Z835" s="17"/>
      <c r="AJ835" s="17"/>
      <c r="AK835" s="17"/>
      <c r="AN835" s="17"/>
      <c r="AQ835" s="17"/>
      <c r="AW835" s="19"/>
    </row>
    <row r="836" spans="8:49" ht="15.75" customHeight="1" x14ac:dyDescent="0.3">
      <c r="H836" s="17"/>
      <c r="S836" s="17"/>
      <c r="W836" s="18"/>
      <c r="X836" s="18"/>
      <c r="Z836" s="17"/>
      <c r="AJ836" s="17"/>
      <c r="AK836" s="17"/>
      <c r="AN836" s="17"/>
      <c r="AQ836" s="17"/>
      <c r="AW836" s="19"/>
    </row>
    <row r="837" spans="8:49" ht="15.75" customHeight="1" x14ac:dyDescent="0.3">
      <c r="H837" s="17"/>
      <c r="S837" s="17"/>
      <c r="W837" s="18"/>
      <c r="X837" s="18"/>
      <c r="Z837" s="17"/>
      <c r="AJ837" s="17"/>
      <c r="AK837" s="17"/>
      <c r="AN837" s="17"/>
      <c r="AQ837" s="17"/>
      <c r="AW837" s="19"/>
    </row>
    <row r="838" spans="8:49" ht="15.75" customHeight="1" x14ac:dyDescent="0.3">
      <c r="H838" s="17"/>
      <c r="S838" s="17"/>
      <c r="W838" s="18"/>
      <c r="X838" s="18"/>
      <c r="Z838" s="17"/>
      <c r="AJ838" s="17"/>
      <c r="AK838" s="17"/>
      <c r="AN838" s="17"/>
      <c r="AQ838" s="17"/>
      <c r="AW838" s="19"/>
    </row>
    <row r="839" spans="8:49" ht="15.75" customHeight="1" x14ac:dyDescent="0.3">
      <c r="H839" s="17"/>
      <c r="S839" s="17"/>
      <c r="W839" s="18"/>
      <c r="X839" s="18"/>
      <c r="Z839" s="17"/>
      <c r="AJ839" s="17"/>
      <c r="AK839" s="17"/>
      <c r="AN839" s="17"/>
      <c r="AQ839" s="17"/>
      <c r="AW839" s="19"/>
    </row>
    <row r="840" spans="8:49" ht="15.75" customHeight="1" x14ac:dyDescent="0.3">
      <c r="H840" s="17"/>
      <c r="S840" s="17"/>
      <c r="W840" s="18"/>
      <c r="X840" s="18"/>
      <c r="Z840" s="17"/>
      <c r="AJ840" s="17"/>
      <c r="AK840" s="17"/>
      <c r="AN840" s="17"/>
      <c r="AQ840" s="17"/>
      <c r="AW840" s="19"/>
    </row>
    <row r="841" spans="8:49" ht="15.75" customHeight="1" x14ac:dyDescent="0.3">
      <c r="H841" s="17"/>
      <c r="S841" s="17"/>
      <c r="W841" s="18"/>
      <c r="X841" s="18"/>
      <c r="Z841" s="17"/>
      <c r="AJ841" s="17"/>
      <c r="AK841" s="17"/>
      <c r="AN841" s="17"/>
      <c r="AQ841" s="17"/>
      <c r="AW841" s="19"/>
    </row>
    <row r="842" spans="8:49" ht="15.75" customHeight="1" x14ac:dyDescent="0.3">
      <c r="H842" s="17"/>
      <c r="S842" s="17"/>
      <c r="W842" s="18"/>
      <c r="X842" s="18"/>
      <c r="Z842" s="17"/>
      <c r="AJ842" s="17"/>
      <c r="AK842" s="17"/>
      <c r="AN842" s="17"/>
      <c r="AQ842" s="17"/>
      <c r="AW842" s="19"/>
    </row>
    <row r="843" spans="8:49" ht="15.75" customHeight="1" x14ac:dyDescent="0.3">
      <c r="H843" s="17"/>
      <c r="S843" s="17"/>
      <c r="W843" s="18"/>
      <c r="X843" s="18"/>
      <c r="Z843" s="17"/>
      <c r="AJ843" s="17"/>
      <c r="AK843" s="17"/>
      <c r="AN843" s="17"/>
      <c r="AQ843" s="17"/>
      <c r="AW843" s="19"/>
    </row>
    <row r="844" spans="8:49" ht="15.75" customHeight="1" x14ac:dyDescent="0.3">
      <c r="H844" s="17"/>
      <c r="S844" s="17"/>
      <c r="W844" s="18"/>
      <c r="X844" s="18"/>
      <c r="Z844" s="17"/>
      <c r="AJ844" s="17"/>
      <c r="AK844" s="17"/>
      <c r="AN844" s="17"/>
      <c r="AQ844" s="17"/>
      <c r="AW844" s="19"/>
    </row>
    <row r="845" spans="8:49" ht="15.75" customHeight="1" x14ac:dyDescent="0.3">
      <c r="H845" s="17"/>
      <c r="S845" s="17"/>
      <c r="W845" s="18"/>
      <c r="X845" s="18"/>
      <c r="Z845" s="17"/>
      <c r="AJ845" s="17"/>
      <c r="AK845" s="17"/>
      <c r="AN845" s="17"/>
      <c r="AQ845" s="17"/>
      <c r="AW845" s="19"/>
    </row>
    <row r="846" spans="8:49" ht="15.75" customHeight="1" x14ac:dyDescent="0.3">
      <c r="H846" s="17"/>
      <c r="S846" s="17"/>
      <c r="W846" s="18"/>
      <c r="X846" s="18"/>
      <c r="Z846" s="17"/>
      <c r="AJ846" s="17"/>
      <c r="AK846" s="17"/>
      <c r="AN846" s="17"/>
      <c r="AQ846" s="17"/>
      <c r="AW846" s="19"/>
    </row>
    <row r="847" spans="8:49" ht="15.75" customHeight="1" x14ac:dyDescent="0.3">
      <c r="H847" s="17"/>
      <c r="S847" s="17"/>
      <c r="W847" s="18"/>
      <c r="X847" s="18"/>
      <c r="Z847" s="17"/>
      <c r="AJ847" s="17"/>
      <c r="AK847" s="17"/>
      <c r="AN847" s="17"/>
      <c r="AQ847" s="17"/>
      <c r="AW847" s="19"/>
    </row>
    <row r="848" spans="8:49" ht="15.75" customHeight="1" x14ac:dyDescent="0.3">
      <c r="H848" s="17"/>
      <c r="S848" s="17"/>
      <c r="W848" s="18"/>
      <c r="X848" s="18"/>
      <c r="Z848" s="17"/>
      <c r="AJ848" s="17"/>
      <c r="AK848" s="17"/>
      <c r="AN848" s="17"/>
      <c r="AQ848" s="17"/>
      <c r="AW848" s="19"/>
    </row>
    <row r="849" spans="8:49" ht="15.75" customHeight="1" x14ac:dyDescent="0.3">
      <c r="H849" s="17"/>
      <c r="S849" s="17"/>
      <c r="W849" s="18"/>
      <c r="X849" s="18"/>
      <c r="Z849" s="17"/>
      <c r="AJ849" s="17"/>
      <c r="AK849" s="17"/>
      <c r="AN849" s="17"/>
      <c r="AQ849" s="17"/>
      <c r="AW849" s="19"/>
    </row>
    <row r="850" spans="8:49" ht="15.75" customHeight="1" x14ac:dyDescent="0.3">
      <c r="H850" s="17"/>
      <c r="S850" s="17"/>
      <c r="W850" s="18"/>
      <c r="X850" s="18"/>
      <c r="Z850" s="17"/>
      <c r="AJ850" s="17"/>
      <c r="AK850" s="17"/>
      <c r="AN850" s="17"/>
      <c r="AQ850" s="17"/>
      <c r="AW850" s="19"/>
    </row>
    <row r="851" spans="8:49" ht="15.75" customHeight="1" x14ac:dyDescent="0.3">
      <c r="H851" s="17"/>
      <c r="S851" s="17"/>
      <c r="W851" s="18"/>
      <c r="X851" s="18"/>
      <c r="Z851" s="17"/>
      <c r="AJ851" s="17"/>
      <c r="AK851" s="17"/>
      <c r="AN851" s="17"/>
      <c r="AQ851" s="17"/>
      <c r="AW851" s="19"/>
    </row>
    <row r="852" spans="8:49" ht="15.75" customHeight="1" x14ac:dyDescent="0.3">
      <c r="H852" s="17"/>
      <c r="S852" s="17"/>
      <c r="W852" s="18"/>
      <c r="X852" s="18"/>
      <c r="Z852" s="17"/>
      <c r="AJ852" s="17"/>
      <c r="AK852" s="17"/>
      <c r="AN852" s="17"/>
      <c r="AQ852" s="17"/>
      <c r="AW852" s="19"/>
    </row>
    <row r="853" spans="8:49" ht="15.75" customHeight="1" x14ac:dyDescent="0.3">
      <c r="H853" s="17"/>
      <c r="S853" s="17"/>
      <c r="W853" s="18"/>
      <c r="X853" s="18"/>
      <c r="Z853" s="17"/>
      <c r="AJ853" s="17"/>
      <c r="AK853" s="17"/>
      <c r="AN853" s="17"/>
      <c r="AQ853" s="17"/>
      <c r="AW853" s="19"/>
    </row>
    <row r="854" spans="8:49" ht="15.75" customHeight="1" x14ac:dyDescent="0.3">
      <c r="H854" s="17"/>
      <c r="S854" s="17"/>
      <c r="W854" s="18"/>
      <c r="X854" s="18"/>
      <c r="Z854" s="17"/>
      <c r="AJ854" s="17"/>
      <c r="AK854" s="17"/>
      <c r="AN854" s="17"/>
      <c r="AQ854" s="17"/>
      <c r="AW854" s="19"/>
    </row>
    <row r="855" spans="8:49" ht="15.75" customHeight="1" x14ac:dyDescent="0.3">
      <c r="H855" s="17"/>
      <c r="S855" s="17"/>
      <c r="W855" s="18"/>
      <c r="X855" s="18"/>
      <c r="Z855" s="17"/>
      <c r="AJ855" s="17"/>
      <c r="AK855" s="17"/>
      <c r="AN855" s="17"/>
      <c r="AQ855" s="17"/>
      <c r="AW855" s="19"/>
    </row>
    <row r="856" spans="8:49" ht="15.75" customHeight="1" x14ac:dyDescent="0.3">
      <c r="H856" s="17"/>
      <c r="S856" s="17"/>
      <c r="W856" s="18"/>
      <c r="X856" s="18"/>
      <c r="Z856" s="17"/>
      <c r="AJ856" s="17"/>
      <c r="AK856" s="17"/>
      <c r="AN856" s="17"/>
      <c r="AQ856" s="17"/>
      <c r="AW856" s="19"/>
    </row>
    <row r="857" spans="8:49" ht="15.75" customHeight="1" x14ac:dyDescent="0.3">
      <c r="H857" s="17"/>
      <c r="S857" s="17"/>
      <c r="W857" s="18"/>
      <c r="X857" s="18"/>
      <c r="Z857" s="17"/>
      <c r="AJ857" s="17"/>
      <c r="AK857" s="17"/>
      <c r="AN857" s="17"/>
      <c r="AQ857" s="17"/>
      <c r="AW857" s="19"/>
    </row>
    <row r="858" spans="8:49" ht="15.75" customHeight="1" x14ac:dyDescent="0.3">
      <c r="H858" s="17"/>
      <c r="S858" s="17"/>
      <c r="W858" s="18"/>
      <c r="X858" s="18"/>
      <c r="Z858" s="17"/>
      <c r="AJ858" s="17"/>
      <c r="AK858" s="17"/>
      <c r="AN858" s="17"/>
      <c r="AQ858" s="17"/>
      <c r="AW858" s="19"/>
    </row>
    <row r="859" spans="8:49" ht="15.75" customHeight="1" x14ac:dyDescent="0.3">
      <c r="H859" s="17"/>
      <c r="S859" s="17"/>
      <c r="W859" s="18"/>
      <c r="X859" s="18"/>
      <c r="Z859" s="17"/>
      <c r="AJ859" s="17"/>
      <c r="AK859" s="17"/>
      <c r="AN859" s="17"/>
      <c r="AQ859" s="17"/>
      <c r="AW859" s="19"/>
    </row>
    <row r="860" spans="8:49" ht="15.75" customHeight="1" x14ac:dyDescent="0.3">
      <c r="H860" s="17"/>
      <c r="S860" s="17"/>
      <c r="W860" s="18"/>
      <c r="X860" s="18"/>
      <c r="Z860" s="17"/>
      <c r="AJ860" s="17"/>
      <c r="AK860" s="17"/>
      <c r="AN860" s="17"/>
      <c r="AQ860" s="17"/>
      <c r="AW860" s="19"/>
    </row>
    <row r="861" spans="8:49" ht="15.75" customHeight="1" x14ac:dyDescent="0.3">
      <c r="H861" s="17"/>
      <c r="S861" s="17"/>
      <c r="W861" s="18"/>
      <c r="X861" s="18"/>
      <c r="Z861" s="17"/>
      <c r="AJ861" s="17"/>
      <c r="AK861" s="17"/>
      <c r="AN861" s="17"/>
      <c r="AQ861" s="17"/>
      <c r="AW861" s="19"/>
    </row>
    <row r="862" spans="8:49" ht="15.75" customHeight="1" x14ac:dyDescent="0.3">
      <c r="H862" s="17"/>
      <c r="S862" s="17"/>
      <c r="W862" s="18"/>
      <c r="X862" s="18"/>
      <c r="Z862" s="17"/>
      <c r="AJ862" s="17"/>
      <c r="AK862" s="17"/>
      <c r="AN862" s="17"/>
      <c r="AQ862" s="17"/>
      <c r="AW862" s="19"/>
    </row>
    <row r="863" spans="8:49" ht="15.75" customHeight="1" x14ac:dyDescent="0.3">
      <c r="H863" s="17"/>
      <c r="S863" s="17"/>
      <c r="W863" s="18"/>
      <c r="X863" s="18"/>
      <c r="Z863" s="17"/>
      <c r="AJ863" s="17"/>
      <c r="AK863" s="17"/>
      <c r="AN863" s="17"/>
      <c r="AQ863" s="17"/>
      <c r="AW863" s="19"/>
    </row>
    <row r="864" spans="8:49" ht="15.75" customHeight="1" x14ac:dyDescent="0.3">
      <c r="H864" s="17"/>
      <c r="S864" s="17"/>
      <c r="W864" s="18"/>
      <c r="X864" s="18"/>
      <c r="Z864" s="17"/>
      <c r="AJ864" s="17"/>
      <c r="AK864" s="17"/>
      <c r="AN864" s="17"/>
      <c r="AQ864" s="17"/>
      <c r="AW864" s="19"/>
    </row>
    <row r="865" spans="8:49" ht="15.75" customHeight="1" x14ac:dyDescent="0.3">
      <c r="H865" s="17"/>
      <c r="S865" s="17"/>
      <c r="W865" s="18"/>
      <c r="X865" s="18"/>
      <c r="Z865" s="17"/>
      <c r="AJ865" s="17"/>
      <c r="AK865" s="17"/>
      <c r="AN865" s="17"/>
      <c r="AQ865" s="17"/>
      <c r="AW865" s="19"/>
    </row>
    <row r="866" spans="8:49" ht="15.75" customHeight="1" x14ac:dyDescent="0.3">
      <c r="H866" s="17"/>
      <c r="S866" s="17"/>
      <c r="W866" s="18"/>
      <c r="X866" s="18"/>
      <c r="Z866" s="17"/>
      <c r="AJ866" s="17"/>
      <c r="AK866" s="17"/>
      <c r="AN866" s="17"/>
      <c r="AQ866" s="17"/>
      <c r="AW866" s="19"/>
    </row>
    <row r="867" spans="8:49" ht="15.75" customHeight="1" x14ac:dyDescent="0.3">
      <c r="H867" s="17"/>
      <c r="S867" s="17"/>
      <c r="W867" s="18"/>
      <c r="X867" s="18"/>
      <c r="Z867" s="17"/>
      <c r="AJ867" s="17"/>
      <c r="AK867" s="17"/>
      <c r="AN867" s="17"/>
      <c r="AQ867" s="17"/>
      <c r="AW867" s="19"/>
    </row>
    <row r="868" spans="8:49" ht="15.75" customHeight="1" x14ac:dyDescent="0.3">
      <c r="H868" s="17"/>
      <c r="S868" s="17"/>
      <c r="W868" s="18"/>
      <c r="X868" s="18"/>
      <c r="Z868" s="17"/>
      <c r="AJ868" s="17"/>
      <c r="AK868" s="17"/>
      <c r="AN868" s="17"/>
      <c r="AQ868" s="17"/>
      <c r="AW868" s="19"/>
    </row>
    <row r="869" spans="8:49" ht="15.75" customHeight="1" x14ac:dyDescent="0.3">
      <c r="H869" s="17"/>
      <c r="S869" s="17"/>
      <c r="W869" s="18"/>
      <c r="X869" s="18"/>
      <c r="Z869" s="17"/>
      <c r="AJ869" s="17"/>
      <c r="AK869" s="17"/>
      <c r="AN869" s="17"/>
      <c r="AQ869" s="17"/>
      <c r="AW869" s="19"/>
    </row>
    <row r="870" spans="8:49" ht="15.75" customHeight="1" x14ac:dyDescent="0.3">
      <c r="H870" s="17"/>
      <c r="S870" s="17"/>
      <c r="W870" s="18"/>
      <c r="X870" s="18"/>
      <c r="Z870" s="17"/>
      <c r="AJ870" s="17"/>
      <c r="AK870" s="17"/>
      <c r="AN870" s="17"/>
      <c r="AQ870" s="17"/>
      <c r="AW870" s="19"/>
    </row>
    <row r="871" spans="8:49" ht="15.75" customHeight="1" x14ac:dyDescent="0.3">
      <c r="H871" s="17"/>
      <c r="S871" s="17"/>
      <c r="W871" s="18"/>
      <c r="X871" s="18"/>
      <c r="Z871" s="17"/>
      <c r="AJ871" s="17"/>
      <c r="AK871" s="17"/>
      <c r="AN871" s="17"/>
      <c r="AQ871" s="17"/>
      <c r="AW871" s="19"/>
    </row>
    <row r="872" spans="8:49" ht="15.75" customHeight="1" x14ac:dyDescent="0.3">
      <c r="H872" s="17"/>
      <c r="S872" s="17"/>
      <c r="W872" s="18"/>
      <c r="X872" s="18"/>
      <c r="Z872" s="17"/>
      <c r="AJ872" s="17"/>
      <c r="AK872" s="17"/>
      <c r="AN872" s="17"/>
      <c r="AQ872" s="17"/>
      <c r="AW872" s="19"/>
    </row>
    <row r="873" spans="8:49" ht="15.75" customHeight="1" x14ac:dyDescent="0.3">
      <c r="H873" s="17"/>
      <c r="S873" s="17"/>
      <c r="W873" s="18"/>
      <c r="X873" s="18"/>
      <c r="Z873" s="17"/>
      <c r="AJ873" s="17"/>
      <c r="AK873" s="17"/>
      <c r="AN873" s="17"/>
      <c r="AQ873" s="17"/>
      <c r="AW873" s="19"/>
    </row>
    <row r="874" spans="8:49" ht="15.75" customHeight="1" x14ac:dyDescent="0.3">
      <c r="H874" s="17"/>
      <c r="S874" s="17"/>
      <c r="W874" s="18"/>
      <c r="X874" s="18"/>
      <c r="Z874" s="17"/>
      <c r="AJ874" s="17"/>
      <c r="AK874" s="17"/>
      <c r="AN874" s="17"/>
      <c r="AQ874" s="17"/>
      <c r="AW874" s="19"/>
    </row>
    <row r="875" spans="8:49" ht="15.75" customHeight="1" x14ac:dyDescent="0.3">
      <c r="H875" s="17"/>
      <c r="S875" s="17"/>
      <c r="W875" s="18"/>
      <c r="X875" s="18"/>
      <c r="Z875" s="17"/>
      <c r="AJ875" s="17"/>
      <c r="AK875" s="17"/>
      <c r="AN875" s="17"/>
      <c r="AQ875" s="17"/>
      <c r="AW875" s="19"/>
    </row>
    <row r="876" spans="8:49" ht="15.75" customHeight="1" x14ac:dyDescent="0.3">
      <c r="H876" s="17"/>
      <c r="S876" s="17"/>
      <c r="W876" s="18"/>
      <c r="X876" s="18"/>
      <c r="Z876" s="17"/>
      <c r="AJ876" s="17"/>
      <c r="AK876" s="17"/>
      <c r="AN876" s="17"/>
      <c r="AQ876" s="17"/>
      <c r="AW876" s="19"/>
    </row>
    <row r="877" spans="8:49" ht="15.75" customHeight="1" x14ac:dyDescent="0.3">
      <c r="H877" s="17"/>
      <c r="S877" s="17"/>
      <c r="W877" s="18"/>
      <c r="X877" s="18"/>
      <c r="Z877" s="17"/>
      <c r="AJ877" s="17"/>
      <c r="AK877" s="17"/>
      <c r="AN877" s="17"/>
      <c r="AQ877" s="17"/>
      <c r="AW877" s="19"/>
    </row>
    <row r="878" spans="8:49" ht="15.75" customHeight="1" x14ac:dyDescent="0.3">
      <c r="H878" s="17"/>
      <c r="S878" s="17"/>
      <c r="W878" s="18"/>
      <c r="X878" s="18"/>
      <c r="Z878" s="17"/>
      <c r="AJ878" s="17"/>
      <c r="AK878" s="17"/>
      <c r="AN878" s="17"/>
      <c r="AQ878" s="17"/>
      <c r="AW878" s="19"/>
    </row>
    <row r="879" spans="8:49" ht="15.75" customHeight="1" x14ac:dyDescent="0.3">
      <c r="H879" s="17"/>
      <c r="S879" s="17"/>
      <c r="W879" s="18"/>
      <c r="X879" s="18"/>
      <c r="Z879" s="17"/>
      <c r="AJ879" s="17"/>
      <c r="AK879" s="17"/>
      <c r="AN879" s="17"/>
      <c r="AQ879" s="17"/>
      <c r="AW879" s="19"/>
    </row>
    <row r="880" spans="8:49" ht="15.75" customHeight="1" x14ac:dyDescent="0.3">
      <c r="H880" s="17"/>
      <c r="S880" s="17"/>
      <c r="W880" s="18"/>
      <c r="X880" s="18"/>
      <c r="Z880" s="17"/>
      <c r="AJ880" s="17"/>
      <c r="AK880" s="17"/>
      <c r="AN880" s="17"/>
      <c r="AQ880" s="17"/>
      <c r="AW880" s="19"/>
    </row>
    <row r="881" spans="8:49" ht="15.75" customHeight="1" x14ac:dyDescent="0.3">
      <c r="H881" s="17"/>
      <c r="S881" s="17"/>
      <c r="W881" s="18"/>
      <c r="X881" s="18"/>
      <c r="Z881" s="17"/>
      <c r="AJ881" s="17"/>
      <c r="AK881" s="17"/>
      <c r="AN881" s="17"/>
      <c r="AQ881" s="17"/>
      <c r="AW881" s="19"/>
    </row>
    <row r="882" spans="8:49" ht="15.75" customHeight="1" x14ac:dyDescent="0.3">
      <c r="H882" s="17"/>
      <c r="S882" s="17"/>
      <c r="W882" s="18"/>
      <c r="X882" s="18"/>
      <c r="Z882" s="17"/>
      <c r="AJ882" s="17"/>
      <c r="AK882" s="17"/>
      <c r="AN882" s="17"/>
      <c r="AQ882" s="17"/>
      <c r="AW882" s="19"/>
    </row>
    <row r="883" spans="8:49" ht="15.75" customHeight="1" x14ac:dyDescent="0.3">
      <c r="H883" s="17"/>
      <c r="S883" s="17"/>
      <c r="W883" s="18"/>
      <c r="X883" s="18"/>
      <c r="Z883" s="17"/>
      <c r="AJ883" s="17"/>
      <c r="AK883" s="17"/>
      <c r="AN883" s="17"/>
      <c r="AQ883" s="17"/>
      <c r="AW883" s="19"/>
    </row>
    <row r="884" spans="8:49" ht="15.75" customHeight="1" x14ac:dyDescent="0.3">
      <c r="H884" s="17"/>
      <c r="S884" s="17"/>
      <c r="W884" s="18"/>
      <c r="X884" s="18"/>
      <c r="Z884" s="17"/>
      <c r="AJ884" s="17"/>
      <c r="AK884" s="17"/>
      <c r="AN884" s="17"/>
      <c r="AQ884" s="17"/>
      <c r="AW884" s="19"/>
    </row>
    <row r="885" spans="8:49" ht="15.75" customHeight="1" x14ac:dyDescent="0.3">
      <c r="H885" s="17"/>
      <c r="S885" s="17"/>
      <c r="W885" s="18"/>
      <c r="X885" s="18"/>
      <c r="Z885" s="17"/>
      <c r="AJ885" s="17"/>
      <c r="AK885" s="17"/>
      <c r="AN885" s="17"/>
      <c r="AQ885" s="17"/>
      <c r="AW885" s="19"/>
    </row>
    <row r="886" spans="8:49" ht="15.75" customHeight="1" x14ac:dyDescent="0.3">
      <c r="H886" s="17"/>
      <c r="S886" s="17"/>
      <c r="W886" s="18"/>
      <c r="X886" s="18"/>
      <c r="Z886" s="17"/>
      <c r="AJ886" s="17"/>
      <c r="AK886" s="17"/>
      <c r="AN886" s="17"/>
      <c r="AQ886" s="17"/>
      <c r="AW886" s="19"/>
    </row>
    <row r="887" spans="8:49" ht="15.75" customHeight="1" x14ac:dyDescent="0.3">
      <c r="H887" s="17"/>
      <c r="S887" s="17"/>
      <c r="W887" s="18"/>
      <c r="X887" s="18"/>
      <c r="Z887" s="17"/>
      <c r="AJ887" s="17"/>
      <c r="AK887" s="17"/>
      <c r="AN887" s="17"/>
      <c r="AQ887" s="17"/>
      <c r="AW887" s="19"/>
    </row>
    <row r="888" spans="8:49" ht="15.75" customHeight="1" x14ac:dyDescent="0.3">
      <c r="H888" s="17"/>
      <c r="S888" s="17"/>
      <c r="W888" s="18"/>
      <c r="X888" s="18"/>
      <c r="Z888" s="17"/>
      <c r="AJ888" s="17"/>
      <c r="AK888" s="17"/>
      <c r="AN888" s="17"/>
      <c r="AQ888" s="17"/>
      <c r="AW888" s="19"/>
    </row>
    <row r="889" spans="8:49" ht="15.75" customHeight="1" x14ac:dyDescent="0.3">
      <c r="H889" s="17"/>
      <c r="S889" s="17"/>
      <c r="W889" s="18"/>
      <c r="X889" s="18"/>
      <c r="Z889" s="17"/>
      <c r="AJ889" s="17"/>
      <c r="AK889" s="17"/>
      <c r="AN889" s="17"/>
      <c r="AQ889" s="17"/>
      <c r="AW889" s="19"/>
    </row>
    <row r="890" spans="8:49" ht="15.75" customHeight="1" x14ac:dyDescent="0.3">
      <c r="H890" s="17"/>
      <c r="S890" s="17"/>
      <c r="W890" s="18"/>
      <c r="X890" s="18"/>
      <c r="Z890" s="17"/>
      <c r="AJ890" s="17"/>
      <c r="AK890" s="17"/>
      <c r="AN890" s="17"/>
      <c r="AQ890" s="17"/>
      <c r="AW890" s="19"/>
    </row>
    <row r="891" spans="8:49" ht="15.75" customHeight="1" x14ac:dyDescent="0.3">
      <c r="H891" s="17"/>
      <c r="S891" s="17"/>
      <c r="W891" s="18"/>
      <c r="X891" s="18"/>
      <c r="Z891" s="17"/>
      <c r="AJ891" s="17"/>
      <c r="AK891" s="17"/>
      <c r="AN891" s="17"/>
      <c r="AQ891" s="17"/>
      <c r="AW891" s="19"/>
    </row>
    <row r="892" spans="8:49" ht="15.75" customHeight="1" x14ac:dyDescent="0.3">
      <c r="H892" s="17"/>
      <c r="S892" s="17"/>
      <c r="W892" s="18"/>
      <c r="X892" s="18"/>
      <c r="Z892" s="17"/>
      <c r="AJ892" s="17"/>
      <c r="AK892" s="17"/>
      <c r="AN892" s="17"/>
      <c r="AQ892" s="17"/>
      <c r="AW892" s="19"/>
    </row>
    <row r="893" spans="8:49" ht="15.75" customHeight="1" x14ac:dyDescent="0.3">
      <c r="H893" s="17"/>
      <c r="S893" s="17"/>
      <c r="W893" s="18"/>
      <c r="X893" s="18"/>
      <c r="Z893" s="17"/>
      <c r="AJ893" s="17"/>
      <c r="AK893" s="17"/>
      <c r="AN893" s="17"/>
      <c r="AQ893" s="17"/>
      <c r="AW893" s="19"/>
    </row>
    <row r="894" spans="8:49" ht="15.75" customHeight="1" x14ac:dyDescent="0.3">
      <c r="H894" s="17"/>
      <c r="S894" s="17"/>
      <c r="W894" s="18"/>
      <c r="X894" s="18"/>
      <c r="Z894" s="17"/>
      <c r="AJ894" s="17"/>
      <c r="AK894" s="17"/>
      <c r="AN894" s="17"/>
      <c r="AQ894" s="17"/>
      <c r="AW894" s="19"/>
    </row>
    <row r="895" spans="8:49" ht="15.75" customHeight="1" x14ac:dyDescent="0.3">
      <c r="H895" s="17"/>
      <c r="S895" s="17"/>
      <c r="W895" s="18"/>
      <c r="X895" s="18"/>
      <c r="Z895" s="17"/>
      <c r="AJ895" s="17"/>
      <c r="AK895" s="17"/>
      <c r="AN895" s="17"/>
      <c r="AQ895" s="17"/>
      <c r="AW895" s="19"/>
    </row>
    <row r="896" spans="8:49" ht="15.75" customHeight="1" x14ac:dyDescent="0.3">
      <c r="H896" s="17"/>
      <c r="S896" s="17"/>
      <c r="W896" s="18"/>
      <c r="X896" s="18"/>
      <c r="Z896" s="17"/>
      <c r="AJ896" s="17"/>
      <c r="AK896" s="17"/>
      <c r="AN896" s="17"/>
      <c r="AQ896" s="17"/>
      <c r="AW896" s="19"/>
    </row>
    <row r="897" spans="8:49" ht="15.75" customHeight="1" x14ac:dyDescent="0.3">
      <c r="H897" s="17"/>
      <c r="S897" s="17"/>
      <c r="W897" s="18"/>
      <c r="X897" s="18"/>
      <c r="Z897" s="17"/>
      <c r="AJ897" s="17"/>
      <c r="AK897" s="17"/>
      <c r="AN897" s="17"/>
      <c r="AQ897" s="17"/>
      <c r="AW897" s="19"/>
    </row>
    <row r="898" spans="8:49" ht="15.75" customHeight="1" x14ac:dyDescent="0.3">
      <c r="H898" s="17"/>
      <c r="S898" s="17"/>
      <c r="W898" s="18"/>
      <c r="X898" s="18"/>
      <c r="Z898" s="17"/>
      <c r="AJ898" s="17"/>
      <c r="AK898" s="17"/>
      <c r="AN898" s="17"/>
      <c r="AQ898" s="17"/>
      <c r="AW898" s="19"/>
    </row>
    <row r="899" spans="8:49" ht="15.75" customHeight="1" x14ac:dyDescent="0.3">
      <c r="H899" s="17"/>
      <c r="S899" s="17"/>
      <c r="W899" s="18"/>
      <c r="X899" s="18"/>
      <c r="Z899" s="17"/>
      <c r="AJ899" s="17"/>
      <c r="AK899" s="17"/>
      <c r="AN899" s="17"/>
      <c r="AQ899" s="17"/>
      <c r="AW899" s="19"/>
    </row>
    <row r="900" spans="8:49" ht="15.75" customHeight="1" x14ac:dyDescent="0.3">
      <c r="H900" s="17"/>
      <c r="S900" s="17"/>
      <c r="W900" s="18"/>
      <c r="X900" s="18"/>
      <c r="Z900" s="17"/>
      <c r="AJ900" s="17"/>
      <c r="AK900" s="17"/>
      <c r="AN900" s="17"/>
      <c r="AQ900" s="17"/>
      <c r="AW900" s="19"/>
    </row>
    <row r="901" spans="8:49" ht="15.75" customHeight="1" x14ac:dyDescent="0.3">
      <c r="H901" s="17"/>
      <c r="S901" s="17"/>
      <c r="W901" s="18"/>
      <c r="X901" s="18"/>
      <c r="Z901" s="17"/>
      <c r="AJ901" s="17"/>
      <c r="AK901" s="17"/>
      <c r="AN901" s="17"/>
      <c r="AQ901" s="17"/>
      <c r="AW901" s="19"/>
    </row>
    <row r="902" spans="8:49" ht="15.75" customHeight="1" x14ac:dyDescent="0.3">
      <c r="H902" s="17"/>
      <c r="S902" s="17"/>
      <c r="W902" s="18"/>
      <c r="X902" s="18"/>
      <c r="Z902" s="17"/>
      <c r="AJ902" s="17"/>
      <c r="AK902" s="17"/>
      <c r="AN902" s="17"/>
      <c r="AQ902" s="17"/>
      <c r="AW902" s="19"/>
    </row>
    <row r="903" spans="8:49" ht="15.75" customHeight="1" x14ac:dyDescent="0.3">
      <c r="H903" s="17"/>
      <c r="S903" s="17"/>
      <c r="W903" s="18"/>
      <c r="X903" s="18"/>
      <c r="Z903" s="17"/>
      <c r="AJ903" s="17"/>
      <c r="AK903" s="17"/>
      <c r="AN903" s="17"/>
      <c r="AQ903" s="17"/>
      <c r="AW903" s="19"/>
    </row>
    <row r="904" spans="8:49" ht="15.75" customHeight="1" x14ac:dyDescent="0.3">
      <c r="H904" s="17"/>
      <c r="S904" s="17"/>
      <c r="W904" s="18"/>
      <c r="X904" s="18"/>
      <c r="Z904" s="17"/>
      <c r="AJ904" s="17"/>
      <c r="AK904" s="17"/>
      <c r="AN904" s="17"/>
      <c r="AQ904" s="17"/>
      <c r="AW904" s="19"/>
    </row>
    <row r="905" spans="8:49" ht="15.75" customHeight="1" x14ac:dyDescent="0.3">
      <c r="H905" s="17"/>
      <c r="S905" s="17"/>
      <c r="W905" s="18"/>
      <c r="X905" s="18"/>
      <c r="Z905" s="17"/>
      <c r="AJ905" s="17"/>
      <c r="AK905" s="17"/>
      <c r="AN905" s="17"/>
      <c r="AQ905" s="17"/>
      <c r="AW905" s="19"/>
    </row>
    <row r="906" spans="8:49" ht="15.75" customHeight="1" x14ac:dyDescent="0.3">
      <c r="H906" s="17"/>
      <c r="S906" s="17"/>
      <c r="W906" s="18"/>
      <c r="X906" s="18"/>
      <c r="Z906" s="17"/>
      <c r="AJ906" s="17"/>
      <c r="AK906" s="17"/>
      <c r="AN906" s="17"/>
      <c r="AQ906" s="17"/>
      <c r="AW906" s="19"/>
    </row>
    <row r="907" spans="8:49" ht="15.75" customHeight="1" x14ac:dyDescent="0.3">
      <c r="H907" s="17"/>
      <c r="S907" s="17"/>
      <c r="W907" s="18"/>
      <c r="X907" s="18"/>
      <c r="Z907" s="17"/>
      <c r="AJ907" s="17"/>
      <c r="AK907" s="17"/>
      <c r="AN907" s="17"/>
      <c r="AQ907" s="17"/>
      <c r="AW907" s="19"/>
    </row>
    <row r="908" spans="8:49" ht="15.75" customHeight="1" x14ac:dyDescent="0.3">
      <c r="H908" s="17"/>
      <c r="S908" s="17"/>
      <c r="W908" s="18"/>
      <c r="X908" s="18"/>
      <c r="Z908" s="17"/>
      <c r="AJ908" s="17"/>
      <c r="AK908" s="17"/>
      <c r="AN908" s="17"/>
      <c r="AQ908" s="17"/>
      <c r="AW908" s="19"/>
    </row>
    <row r="909" spans="8:49" ht="15.75" customHeight="1" x14ac:dyDescent="0.3">
      <c r="H909" s="17"/>
      <c r="S909" s="17"/>
      <c r="W909" s="18"/>
      <c r="X909" s="18"/>
      <c r="Z909" s="17"/>
      <c r="AJ909" s="17"/>
      <c r="AK909" s="17"/>
      <c r="AN909" s="17"/>
      <c r="AQ909" s="17"/>
      <c r="AW909" s="19"/>
    </row>
    <row r="910" spans="8:49" ht="15.75" customHeight="1" x14ac:dyDescent="0.3">
      <c r="H910" s="17"/>
      <c r="S910" s="17"/>
      <c r="W910" s="18"/>
      <c r="X910" s="18"/>
      <c r="Z910" s="17"/>
      <c r="AJ910" s="17"/>
      <c r="AK910" s="17"/>
      <c r="AN910" s="17"/>
      <c r="AQ910" s="17"/>
      <c r="AW910" s="19"/>
    </row>
    <row r="911" spans="8:49" ht="15.75" customHeight="1" x14ac:dyDescent="0.3">
      <c r="H911" s="17"/>
      <c r="S911" s="17"/>
      <c r="W911" s="18"/>
      <c r="X911" s="18"/>
      <c r="Z911" s="17"/>
      <c r="AJ911" s="17"/>
      <c r="AK911" s="17"/>
      <c r="AN911" s="17"/>
      <c r="AQ911" s="17"/>
      <c r="AW911" s="19"/>
    </row>
    <row r="912" spans="8:49" ht="15.75" customHeight="1" x14ac:dyDescent="0.3">
      <c r="H912" s="17"/>
      <c r="S912" s="17"/>
      <c r="W912" s="18"/>
      <c r="X912" s="18"/>
      <c r="Z912" s="17"/>
      <c r="AJ912" s="17"/>
      <c r="AK912" s="17"/>
      <c r="AN912" s="17"/>
      <c r="AQ912" s="17"/>
      <c r="AW912" s="19"/>
    </row>
    <row r="913" spans="8:49" ht="15.75" customHeight="1" x14ac:dyDescent="0.3">
      <c r="H913" s="17"/>
      <c r="S913" s="17"/>
      <c r="W913" s="18"/>
      <c r="X913" s="18"/>
      <c r="Z913" s="17"/>
      <c r="AJ913" s="17"/>
      <c r="AK913" s="17"/>
      <c r="AN913" s="17"/>
      <c r="AQ913" s="17"/>
      <c r="AW913" s="19"/>
    </row>
    <row r="914" spans="8:49" ht="15.75" customHeight="1" x14ac:dyDescent="0.3">
      <c r="H914" s="17"/>
      <c r="S914" s="17"/>
      <c r="W914" s="18"/>
      <c r="X914" s="18"/>
      <c r="Z914" s="17"/>
      <c r="AJ914" s="17"/>
      <c r="AK914" s="17"/>
      <c r="AN914" s="17"/>
      <c r="AQ914" s="17"/>
      <c r="AW914" s="19"/>
    </row>
    <row r="915" spans="8:49" ht="15.75" customHeight="1" x14ac:dyDescent="0.3">
      <c r="H915" s="17"/>
      <c r="S915" s="17"/>
      <c r="W915" s="18"/>
      <c r="X915" s="18"/>
      <c r="Z915" s="17"/>
      <c r="AJ915" s="17"/>
      <c r="AK915" s="17"/>
      <c r="AN915" s="17"/>
      <c r="AQ915" s="17"/>
      <c r="AW915" s="19"/>
    </row>
    <row r="916" spans="8:49" ht="15.75" customHeight="1" x14ac:dyDescent="0.3">
      <c r="H916" s="17"/>
      <c r="S916" s="17"/>
      <c r="W916" s="18"/>
      <c r="X916" s="18"/>
      <c r="Z916" s="17"/>
      <c r="AJ916" s="17"/>
      <c r="AK916" s="17"/>
      <c r="AN916" s="17"/>
      <c r="AQ916" s="17"/>
      <c r="AW916" s="19"/>
    </row>
    <row r="917" spans="8:49" ht="15.75" customHeight="1" x14ac:dyDescent="0.3">
      <c r="H917" s="17"/>
      <c r="S917" s="17"/>
      <c r="W917" s="18"/>
      <c r="X917" s="18"/>
      <c r="Z917" s="17"/>
      <c r="AJ917" s="17"/>
      <c r="AK917" s="17"/>
      <c r="AN917" s="17"/>
      <c r="AQ917" s="17"/>
      <c r="AW917" s="19"/>
    </row>
    <row r="918" spans="8:49" ht="15.75" customHeight="1" x14ac:dyDescent="0.3">
      <c r="H918" s="17"/>
      <c r="S918" s="17"/>
      <c r="W918" s="18"/>
      <c r="X918" s="18"/>
      <c r="Z918" s="17"/>
      <c r="AJ918" s="17"/>
      <c r="AK918" s="17"/>
      <c r="AN918" s="17"/>
      <c r="AQ918" s="17"/>
      <c r="AW918" s="19"/>
    </row>
    <row r="919" spans="8:49" ht="15.75" customHeight="1" x14ac:dyDescent="0.3">
      <c r="H919" s="17"/>
      <c r="S919" s="17"/>
      <c r="W919" s="18"/>
      <c r="X919" s="18"/>
      <c r="Z919" s="17"/>
      <c r="AJ919" s="17"/>
      <c r="AK919" s="17"/>
      <c r="AN919" s="17"/>
      <c r="AQ919" s="17"/>
      <c r="AW919" s="19"/>
    </row>
    <row r="920" spans="8:49" ht="15.75" customHeight="1" x14ac:dyDescent="0.3">
      <c r="H920" s="17"/>
      <c r="S920" s="17"/>
      <c r="W920" s="18"/>
      <c r="X920" s="18"/>
      <c r="Z920" s="17"/>
      <c r="AJ920" s="17"/>
      <c r="AK920" s="17"/>
      <c r="AN920" s="17"/>
      <c r="AQ920" s="17"/>
      <c r="AW920" s="19"/>
    </row>
    <row r="921" spans="8:49" ht="15.75" customHeight="1" x14ac:dyDescent="0.3">
      <c r="H921" s="17"/>
      <c r="S921" s="17"/>
      <c r="W921" s="18"/>
      <c r="X921" s="18"/>
      <c r="Z921" s="17"/>
      <c r="AJ921" s="17"/>
      <c r="AK921" s="17"/>
      <c r="AN921" s="17"/>
      <c r="AQ921" s="17"/>
      <c r="AW921" s="19"/>
    </row>
    <row r="922" spans="8:49" ht="15.75" customHeight="1" x14ac:dyDescent="0.3">
      <c r="H922" s="17"/>
      <c r="S922" s="17"/>
      <c r="W922" s="18"/>
      <c r="X922" s="18"/>
      <c r="Z922" s="17"/>
      <c r="AJ922" s="17"/>
      <c r="AK922" s="17"/>
      <c r="AN922" s="17"/>
      <c r="AQ922" s="17"/>
      <c r="AW922" s="19"/>
    </row>
    <row r="923" spans="8:49" ht="15.75" customHeight="1" x14ac:dyDescent="0.3">
      <c r="H923" s="17"/>
      <c r="S923" s="17"/>
      <c r="W923" s="18"/>
      <c r="X923" s="18"/>
      <c r="Z923" s="17"/>
      <c r="AJ923" s="17"/>
      <c r="AK923" s="17"/>
      <c r="AN923" s="17"/>
      <c r="AQ923" s="17"/>
      <c r="AW923" s="19"/>
    </row>
    <row r="924" spans="8:49" ht="15.75" customHeight="1" x14ac:dyDescent="0.3">
      <c r="H924" s="17"/>
      <c r="S924" s="17"/>
      <c r="W924" s="18"/>
      <c r="X924" s="18"/>
      <c r="Z924" s="17"/>
      <c r="AJ924" s="17"/>
      <c r="AK924" s="17"/>
      <c r="AN924" s="17"/>
      <c r="AQ924" s="17"/>
      <c r="AW924" s="19"/>
    </row>
    <row r="925" spans="8:49" ht="15.75" customHeight="1" x14ac:dyDescent="0.3">
      <c r="H925" s="17"/>
      <c r="S925" s="17"/>
      <c r="W925" s="18"/>
      <c r="X925" s="18"/>
      <c r="Z925" s="17"/>
      <c r="AJ925" s="17"/>
      <c r="AK925" s="17"/>
      <c r="AN925" s="17"/>
      <c r="AQ925" s="17"/>
      <c r="AW925" s="19"/>
    </row>
    <row r="926" spans="8:49" ht="15.75" customHeight="1" x14ac:dyDescent="0.3">
      <c r="H926" s="17"/>
      <c r="S926" s="17"/>
      <c r="W926" s="18"/>
      <c r="X926" s="18"/>
      <c r="Z926" s="17"/>
      <c r="AJ926" s="17"/>
      <c r="AK926" s="17"/>
      <c r="AN926" s="17"/>
      <c r="AQ926" s="17"/>
      <c r="AW926" s="19"/>
    </row>
    <row r="927" spans="8:49" ht="15.75" customHeight="1" x14ac:dyDescent="0.3">
      <c r="H927" s="17"/>
      <c r="S927" s="17"/>
      <c r="W927" s="18"/>
      <c r="X927" s="18"/>
      <c r="Z927" s="17"/>
      <c r="AJ927" s="17"/>
      <c r="AK927" s="17"/>
      <c r="AN927" s="17"/>
      <c r="AQ927" s="17"/>
      <c r="AW927" s="19"/>
    </row>
    <row r="928" spans="8:49" ht="15.75" customHeight="1" x14ac:dyDescent="0.3">
      <c r="H928" s="17"/>
      <c r="S928" s="17"/>
      <c r="W928" s="18"/>
      <c r="X928" s="18"/>
      <c r="Z928" s="17"/>
      <c r="AJ928" s="17"/>
      <c r="AK928" s="17"/>
      <c r="AN928" s="17"/>
      <c r="AQ928" s="17"/>
      <c r="AW928" s="19"/>
    </row>
    <row r="929" spans="8:49" ht="15.75" customHeight="1" x14ac:dyDescent="0.3">
      <c r="H929" s="17"/>
      <c r="S929" s="17"/>
      <c r="W929" s="18"/>
      <c r="X929" s="18"/>
      <c r="Z929" s="17"/>
      <c r="AJ929" s="17"/>
      <c r="AK929" s="17"/>
      <c r="AN929" s="17"/>
      <c r="AQ929" s="17"/>
      <c r="AW929" s="19"/>
    </row>
    <row r="930" spans="8:49" ht="15.75" customHeight="1" x14ac:dyDescent="0.3">
      <c r="H930" s="17"/>
      <c r="S930" s="17"/>
      <c r="W930" s="18"/>
      <c r="X930" s="18"/>
      <c r="Z930" s="17"/>
      <c r="AJ930" s="17"/>
      <c r="AK930" s="17"/>
      <c r="AN930" s="17"/>
      <c r="AQ930" s="17"/>
      <c r="AW930" s="19"/>
    </row>
    <row r="931" spans="8:49" ht="15.75" customHeight="1" x14ac:dyDescent="0.3">
      <c r="H931" s="17"/>
      <c r="S931" s="17"/>
      <c r="W931" s="18"/>
      <c r="X931" s="18"/>
      <c r="Z931" s="17"/>
      <c r="AJ931" s="17"/>
      <c r="AK931" s="17"/>
      <c r="AN931" s="17"/>
      <c r="AQ931" s="17"/>
      <c r="AW931" s="19"/>
    </row>
    <row r="932" spans="8:49" ht="15.75" customHeight="1" x14ac:dyDescent="0.3">
      <c r="H932" s="17"/>
      <c r="S932" s="17"/>
      <c r="W932" s="18"/>
      <c r="X932" s="18"/>
      <c r="Z932" s="17"/>
      <c r="AJ932" s="17"/>
      <c r="AK932" s="17"/>
      <c r="AN932" s="17"/>
      <c r="AQ932" s="17"/>
      <c r="AW932" s="19"/>
    </row>
    <row r="933" spans="8:49" ht="15.75" customHeight="1" x14ac:dyDescent="0.3">
      <c r="H933" s="17"/>
      <c r="S933" s="17"/>
      <c r="W933" s="18"/>
      <c r="X933" s="18"/>
      <c r="Z933" s="17"/>
      <c r="AJ933" s="17"/>
      <c r="AK933" s="17"/>
      <c r="AN933" s="17"/>
      <c r="AQ933" s="17"/>
      <c r="AW933" s="19"/>
    </row>
    <row r="934" spans="8:49" ht="15.75" customHeight="1" x14ac:dyDescent="0.3">
      <c r="H934" s="17"/>
      <c r="S934" s="17"/>
      <c r="W934" s="18"/>
      <c r="X934" s="18"/>
      <c r="Z934" s="17"/>
      <c r="AJ934" s="17"/>
      <c r="AK934" s="17"/>
      <c r="AN934" s="17"/>
      <c r="AQ934" s="17"/>
      <c r="AW934" s="19"/>
    </row>
    <row r="935" spans="8:49" ht="15.75" customHeight="1" x14ac:dyDescent="0.3">
      <c r="H935" s="17"/>
      <c r="S935" s="17"/>
      <c r="W935" s="18"/>
      <c r="X935" s="18"/>
      <c r="Z935" s="17"/>
      <c r="AJ935" s="17"/>
      <c r="AK935" s="17"/>
      <c r="AN935" s="17"/>
      <c r="AQ935" s="17"/>
      <c r="AW935" s="19"/>
    </row>
    <row r="936" spans="8:49" ht="15.75" customHeight="1" x14ac:dyDescent="0.3">
      <c r="H936" s="17"/>
      <c r="S936" s="17"/>
      <c r="W936" s="18"/>
      <c r="X936" s="18"/>
      <c r="Z936" s="17"/>
      <c r="AJ936" s="17"/>
      <c r="AK936" s="17"/>
      <c r="AN936" s="17"/>
      <c r="AQ936" s="17"/>
      <c r="AW936" s="19"/>
    </row>
    <row r="937" spans="8:49" ht="15.75" customHeight="1" x14ac:dyDescent="0.3">
      <c r="H937" s="17"/>
      <c r="S937" s="17"/>
      <c r="W937" s="18"/>
      <c r="X937" s="18"/>
      <c r="Z937" s="17"/>
      <c r="AJ937" s="17"/>
      <c r="AK937" s="17"/>
      <c r="AN937" s="17"/>
      <c r="AQ937" s="17"/>
      <c r="AW937" s="19"/>
    </row>
    <row r="938" spans="8:49" ht="15.75" customHeight="1" x14ac:dyDescent="0.3">
      <c r="H938" s="17"/>
      <c r="S938" s="17"/>
      <c r="W938" s="18"/>
      <c r="X938" s="18"/>
      <c r="Z938" s="17"/>
      <c r="AJ938" s="17"/>
      <c r="AK938" s="17"/>
      <c r="AN938" s="17"/>
      <c r="AQ938" s="17"/>
      <c r="AW938" s="19"/>
    </row>
    <row r="939" spans="8:49" ht="15.75" customHeight="1" x14ac:dyDescent="0.3">
      <c r="H939" s="17"/>
      <c r="S939" s="17"/>
      <c r="W939" s="18"/>
      <c r="X939" s="18"/>
      <c r="Z939" s="17"/>
      <c r="AJ939" s="17"/>
      <c r="AK939" s="17"/>
      <c r="AN939" s="17"/>
      <c r="AQ939" s="17"/>
      <c r="AW939" s="19"/>
    </row>
    <row r="940" spans="8:49" ht="15.75" customHeight="1" x14ac:dyDescent="0.3">
      <c r="H940" s="17"/>
      <c r="S940" s="17"/>
      <c r="W940" s="18"/>
      <c r="X940" s="18"/>
      <c r="Z940" s="17"/>
      <c r="AJ940" s="17"/>
      <c r="AK940" s="17"/>
      <c r="AN940" s="17"/>
      <c r="AQ940" s="17"/>
      <c r="AW940" s="19"/>
    </row>
    <row r="941" spans="8:49" ht="15.75" customHeight="1" x14ac:dyDescent="0.3">
      <c r="H941" s="17"/>
      <c r="S941" s="17"/>
      <c r="W941" s="18"/>
      <c r="X941" s="18"/>
      <c r="Z941" s="17"/>
      <c r="AJ941" s="17"/>
      <c r="AK941" s="17"/>
      <c r="AN941" s="17"/>
      <c r="AQ941" s="17"/>
      <c r="AW941" s="19"/>
    </row>
    <row r="942" spans="8:49" ht="15.75" customHeight="1" x14ac:dyDescent="0.3">
      <c r="H942" s="17"/>
      <c r="S942" s="17"/>
      <c r="W942" s="18"/>
      <c r="X942" s="18"/>
      <c r="Z942" s="17"/>
      <c r="AJ942" s="17"/>
      <c r="AK942" s="17"/>
      <c r="AN942" s="17"/>
      <c r="AQ942" s="17"/>
      <c r="AW942" s="19"/>
    </row>
    <row r="943" spans="8:49" ht="15.75" customHeight="1" x14ac:dyDescent="0.3">
      <c r="H943" s="17"/>
      <c r="S943" s="17"/>
      <c r="W943" s="18"/>
      <c r="X943" s="18"/>
      <c r="Z943" s="17"/>
      <c r="AJ943" s="17"/>
      <c r="AK943" s="17"/>
      <c r="AN943" s="17"/>
      <c r="AQ943" s="17"/>
      <c r="AW943" s="19"/>
    </row>
    <row r="944" spans="8:49" ht="15.75" customHeight="1" x14ac:dyDescent="0.3">
      <c r="H944" s="17"/>
      <c r="S944" s="17"/>
      <c r="W944" s="18"/>
      <c r="X944" s="18"/>
      <c r="Z944" s="17"/>
      <c r="AJ944" s="17"/>
      <c r="AK944" s="17"/>
      <c r="AN944" s="17"/>
      <c r="AQ944" s="17"/>
      <c r="AW944" s="19"/>
    </row>
    <row r="945" spans="8:49" ht="15.75" customHeight="1" x14ac:dyDescent="0.3">
      <c r="H945" s="17"/>
      <c r="S945" s="17"/>
      <c r="W945" s="18"/>
      <c r="X945" s="18"/>
      <c r="Z945" s="17"/>
      <c r="AJ945" s="17"/>
      <c r="AK945" s="17"/>
      <c r="AN945" s="17"/>
      <c r="AQ945" s="17"/>
      <c r="AW945" s="19"/>
    </row>
    <row r="946" spans="8:49" ht="15.75" customHeight="1" x14ac:dyDescent="0.3">
      <c r="H946" s="17"/>
      <c r="S946" s="17"/>
      <c r="W946" s="18"/>
      <c r="X946" s="18"/>
      <c r="Z946" s="17"/>
      <c r="AJ946" s="17"/>
      <c r="AK946" s="17"/>
      <c r="AN946" s="17"/>
      <c r="AQ946" s="17"/>
      <c r="AW946" s="19"/>
    </row>
    <row r="947" spans="8:49" ht="15.75" customHeight="1" x14ac:dyDescent="0.3">
      <c r="H947" s="17"/>
      <c r="S947" s="17"/>
      <c r="W947" s="18"/>
      <c r="X947" s="18"/>
      <c r="Z947" s="17"/>
      <c r="AJ947" s="17"/>
      <c r="AK947" s="17"/>
      <c r="AN947" s="17"/>
      <c r="AQ947" s="17"/>
      <c r="AW947" s="19"/>
    </row>
    <row r="948" spans="8:49" ht="15.75" customHeight="1" x14ac:dyDescent="0.3">
      <c r="H948" s="17"/>
      <c r="S948" s="17"/>
      <c r="W948" s="18"/>
      <c r="X948" s="18"/>
      <c r="Z948" s="17"/>
      <c r="AJ948" s="17"/>
      <c r="AK948" s="17"/>
      <c r="AN948" s="17"/>
      <c r="AQ948" s="17"/>
      <c r="AW948" s="19"/>
    </row>
    <row r="949" spans="8:49" ht="15.75" customHeight="1" x14ac:dyDescent="0.3">
      <c r="H949" s="17"/>
      <c r="S949" s="17"/>
      <c r="W949" s="18"/>
      <c r="X949" s="18"/>
      <c r="Z949" s="17"/>
      <c r="AJ949" s="17"/>
      <c r="AK949" s="17"/>
      <c r="AN949" s="17"/>
      <c r="AQ949" s="17"/>
      <c r="AW949" s="19"/>
    </row>
    <row r="950" spans="8:49" ht="15.75" customHeight="1" x14ac:dyDescent="0.3">
      <c r="H950" s="17"/>
      <c r="S950" s="17"/>
      <c r="W950" s="18"/>
      <c r="X950" s="18"/>
      <c r="Z950" s="17"/>
      <c r="AJ950" s="17"/>
      <c r="AK950" s="17"/>
      <c r="AN950" s="17"/>
      <c r="AQ950" s="17"/>
      <c r="AW950" s="19"/>
    </row>
    <row r="951" spans="8:49" ht="15.75" customHeight="1" x14ac:dyDescent="0.3">
      <c r="H951" s="17"/>
      <c r="S951" s="17"/>
      <c r="W951" s="18"/>
      <c r="X951" s="18"/>
      <c r="Z951" s="17"/>
      <c r="AJ951" s="17"/>
      <c r="AK951" s="17"/>
      <c r="AN951" s="17"/>
      <c r="AQ951" s="17"/>
      <c r="AW951" s="19"/>
    </row>
    <row r="952" spans="8:49" ht="15.75" customHeight="1" x14ac:dyDescent="0.3">
      <c r="H952" s="17"/>
      <c r="S952" s="17"/>
      <c r="W952" s="18"/>
      <c r="X952" s="18"/>
      <c r="Z952" s="17"/>
      <c r="AJ952" s="17"/>
      <c r="AK952" s="17"/>
      <c r="AN952" s="17"/>
      <c r="AQ952" s="17"/>
      <c r="AW952" s="19"/>
    </row>
    <row r="953" spans="8:49" ht="15.75" customHeight="1" x14ac:dyDescent="0.3">
      <c r="H953" s="17"/>
      <c r="S953" s="17"/>
      <c r="W953" s="18"/>
      <c r="X953" s="18"/>
      <c r="Z953" s="17"/>
      <c r="AJ953" s="17"/>
      <c r="AK953" s="17"/>
      <c r="AN953" s="17"/>
      <c r="AQ953" s="17"/>
      <c r="AW953" s="19"/>
    </row>
    <row r="954" spans="8:49" ht="13.45" x14ac:dyDescent="0.25">
      <c r="S954" s="174"/>
    </row>
    <row r="955" spans="8:49" ht="13.45" x14ac:dyDescent="0.25">
      <c r="S955" s="174"/>
    </row>
    <row r="956" spans="8:49" ht="13.45" x14ac:dyDescent="0.25">
      <c r="S956" s="174"/>
    </row>
    <row r="957" spans="8:49" ht="13.45" x14ac:dyDescent="0.25">
      <c r="S957" s="174"/>
    </row>
    <row r="958" spans="8:49" ht="13.45" x14ac:dyDescent="0.25">
      <c r="S958" s="174"/>
    </row>
    <row r="959" spans="8:49" ht="13.45" x14ac:dyDescent="0.25">
      <c r="S959" s="174"/>
    </row>
    <row r="960" spans="8:49" ht="13.45" x14ac:dyDescent="0.25">
      <c r="S960" s="174"/>
    </row>
    <row r="961" spans="19:19" ht="13.45" x14ac:dyDescent="0.25">
      <c r="S961" s="174"/>
    </row>
    <row r="962" spans="19:19" ht="13.45" x14ac:dyDescent="0.25">
      <c r="S962" s="174"/>
    </row>
    <row r="963" spans="19:19" ht="13.45" x14ac:dyDescent="0.25">
      <c r="S963" s="174"/>
    </row>
    <row r="964" spans="19:19" ht="13.45" x14ac:dyDescent="0.25">
      <c r="S964" s="174"/>
    </row>
    <row r="965" spans="19:19" ht="13.45" x14ac:dyDescent="0.25">
      <c r="S965" s="174"/>
    </row>
    <row r="966" spans="19:19" ht="13.45" x14ac:dyDescent="0.25">
      <c r="S966" s="174"/>
    </row>
    <row r="967" spans="19:19" ht="13.45" x14ac:dyDescent="0.25">
      <c r="S967" s="174"/>
    </row>
    <row r="968" spans="19:19" ht="13.45" x14ac:dyDescent="0.25">
      <c r="S968" s="174"/>
    </row>
    <row r="969" spans="19:19" ht="13.45" x14ac:dyDescent="0.25">
      <c r="S969" s="174"/>
    </row>
    <row r="970" spans="19:19" ht="13.45" x14ac:dyDescent="0.25">
      <c r="S970" s="174"/>
    </row>
    <row r="971" spans="19:19" ht="13.45" x14ac:dyDescent="0.25">
      <c r="S971" s="174"/>
    </row>
  </sheetData>
  <mergeCells count="75">
    <mergeCell ref="AX35:AX36"/>
    <mergeCell ref="BA6:BA7"/>
    <mergeCell ref="BB6:BB7"/>
    <mergeCell ref="BC6:BC7"/>
    <mergeCell ref="BD6:BD7"/>
    <mergeCell ref="BE6:BE7"/>
    <mergeCell ref="AV6:AV7"/>
    <mergeCell ref="AW6:AW7"/>
    <mergeCell ref="AX6:AX7"/>
    <mergeCell ref="AY6:AY7"/>
    <mergeCell ref="AZ6:AZ7"/>
    <mergeCell ref="AQ6:AQ7"/>
    <mergeCell ref="AR6:AR7"/>
    <mergeCell ref="AS6:AS7"/>
    <mergeCell ref="AT6:AT7"/>
    <mergeCell ref="AU6:AU7"/>
    <mergeCell ref="AL6:AL7"/>
    <mergeCell ref="AM6:AM7"/>
    <mergeCell ref="AN6:AN7"/>
    <mergeCell ref="AO6:AO7"/>
    <mergeCell ref="AP6:AP7"/>
    <mergeCell ref="AG6:AG7"/>
    <mergeCell ref="AH6:AH7"/>
    <mergeCell ref="AI6:AI7"/>
    <mergeCell ref="AJ6:AJ7"/>
    <mergeCell ref="AK6:AK7"/>
    <mergeCell ref="AB6:AB7"/>
    <mergeCell ref="AC6:AC7"/>
    <mergeCell ref="AD6:AD7"/>
    <mergeCell ref="AE6:AE7"/>
    <mergeCell ref="AF6:AF7"/>
    <mergeCell ref="W6:W7"/>
    <mergeCell ref="X6:X7"/>
    <mergeCell ref="Y6:Y7"/>
    <mergeCell ref="Z6:Z7"/>
    <mergeCell ref="AA6:AA7"/>
    <mergeCell ref="R6:R7"/>
    <mergeCell ref="S6:S7"/>
    <mergeCell ref="T6:T7"/>
    <mergeCell ref="U6:U7"/>
    <mergeCell ref="V6:V7"/>
    <mergeCell ref="M6:M7"/>
    <mergeCell ref="N6:N7"/>
    <mergeCell ref="O6:O7"/>
    <mergeCell ref="P6:P7"/>
    <mergeCell ref="Q6:Q7"/>
    <mergeCell ref="H6:H7"/>
    <mergeCell ref="I6:I7"/>
    <mergeCell ref="J6:J7"/>
    <mergeCell ref="K6:K7"/>
    <mergeCell ref="L6:L7"/>
    <mergeCell ref="B5:G5"/>
    <mergeCell ref="A6:A7"/>
    <mergeCell ref="B6:B7"/>
    <mergeCell ref="C6:C7"/>
    <mergeCell ref="D6:D7"/>
    <mergeCell ref="E6:E7"/>
    <mergeCell ref="F6:F7"/>
    <mergeCell ref="G6:G7"/>
    <mergeCell ref="BC4:BF4"/>
    <mergeCell ref="BG4:BG7"/>
    <mergeCell ref="BH4:BH7"/>
    <mergeCell ref="BI4:BI7"/>
    <mergeCell ref="BJ4:BJ7"/>
    <mergeCell ref="BF6:BF7"/>
    <mergeCell ref="AN4:AP4"/>
    <mergeCell ref="AQ4:AS4"/>
    <mergeCell ref="AT4:AV4"/>
    <mergeCell ref="AW4:AY4"/>
    <mergeCell ref="AZ4:BB4"/>
    <mergeCell ref="A2:AM2"/>
    <mergeCell ref="B4:Y4"/>
    <mergeCell ref="Z4:AC4"/>
    <mergeCell ref="AD4:AH4"/>
    <mergeCell ref="AI4:AM4"/>
  </mergeCells>
  <pageMargins left="0.51180555555555596" right="0.51180555555555596" top="0.78749999999999998" bottom="0.78749999999999998" header="0.511811023622047" footer="0.511811023622047"/>
  <pageSetup paperSize="9" orientation="landscape"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B1:Q1000"/>
  <sheetViews>
    <sheetView showGridLines="0" zoomScale="110" zoomScaleNormal="110" workbookViewId="0">
      <selection activeCellId="1" sqref="B9 A1"/>
    </sheetView>
  </sheetViews>
  <sheetFormatPr defaultColWidth="12.6328125" defaultRowHeight="14.25" customHeight="1" x14ac:dyDescent="0.25"/>
  <cols>
    <col min="2" max="2" width="21.36328125" customWidth="1"/>
    <col min="14" max="14" width="21.7265625" customWidth="1"/>
    <col min="15" max="15" width="28" customWidth="1"/>
    <col min="16" max="16" width="9.26953125" customWidth="1"/>
    <col min="17" max="17" width="14" customWidth="1"/>
  </cols>
  <sheetData>
    <row r="1" spans="2:17" ht="13.45" x14ac:dyDescent="0.25">
      <c r="P1" s="223"/>
      <c r="Q1" s="223"/>
    </row>
    <row r="2" spans="2:17" ht="13.45" x14ac:dyDescent="0.25">
      <c r="P2" s="223"/>
      <c r="Q2" s="223"/>
    </row>
    <row r="3" spans="2:17" ht="13.45" x14ac:dyDescent="0.25">
      <c r="P3" s="223"/>
      <c r="Q3" s="223"/>
    </row>
    <row r="4" spans="2:17" ht="13.45" x14ac:dyDescent="0.25">
      <c r="B4" s="479" t="s">
        <v>1756</v>
      </c>
      <c r="C4" s="479">
        <v>14</v>
      </c>
      <c r="D4" s="479">
        <f>C5+C4</f>
        <v>23</v>
      </c>
      <c r="P4" s="223"/>
      <c r="Q4" s="223"/>
    </row>
    <row r="5" spans="2:17" ht="13.45" x14ac:dyDescent="0.25">
      <c r="B5" s="479" t="s">
        <v>1757</v>
      </c>
      <c r="C5" s="479">
        <v>9</v>
      </c>
      <c r="D5" s="479">
        <f>D4+C5</f>
        <v>32</v>
      </c>
      <c r="P5" s="223"/>
      <c r="Q5" s="223"/>
    </row>
    <row r="6" spans="2:17" ht="15.05" customHeight="1" x14ac:dyDescent="0.3">
      <c r="B6" s="479" t="s">
        <v>1758</v>
      </c>
      <c r="C6" s="479">
        <v>6</v>
      </c>
      <c r="D6" s="479">
        <f>D5+C6</f>
        <v>38</v>
      </c>
      <c r="N6" s="619" t="s">
        <v>1759</v>
      </c>
      <c r="O6" s="619"/>
      <c r="P6" s="619"/>
      <c r="Q6" s="619"/>
    </row>
    <row r="7" spans="2:17" ht="14" x14ac:dyDescent="0.25">
      <c r="B7" s="479" t="s">
        <v>1760</v>
      </c>
      <c r="C7" s="479">
        <v>20</v>
      </c>
      <c r="D7" s="479">
        <f>D6+C7</f>
        <v>58</v>
      </c>
      <c r="N7" s="488" t="s">
        <v>118</v>
      </c>
      <c r="O7" s="489" t="s">
        <v>119</v>
      </c>
      <c r="P7" s="489" t="s">
        <v>1025</v>
      </c>
      <c r="Q7" s="490" t="s">
        <v>1761</v>
      </c>
    </row>
    <row r="8" spans="2:17" ht="14" x14ac:dyDescent="0.25">
      <c r="B8" s="479" t="s">
        <v>1762</v>
      </c>
      <c r="C8" s="479">
        <v>5</v>
      </c>
      <c r="D8" s="479">
        <f>D7+C8</f>
        <v>63</v>
      </c>
      <c r="N8" s="488" t="s">
        <v>1756</v>
      </c>
      <c r="O8" s="489" t="s">
        <v>1763</v>
      </c>
      <c r="P8" s="491">
        <v>14</v>
      </c>
      <c r="Q8" s="492">
        <f>P8</f>
        <v>14</v>
      </c>
    </row>
    <row r="9" spans="2:17" ht="14" x14ac:dyDescent="0.25">
      <c r="N9" s="488" t="s">
        <v>1756</v>
      </c>
      <c r="O9" s="489" t="s">
        <v>1026</v>
      </c>
      <c r="P9" s="491">
        <v>9</v>
      </c>
      <c r="Q9" s="492">
        <f>Q8+P9</f>
        <v>23</v>
      </c>
    </row>
    <row r="10" spans="2:17" ht="14" x14ac:dyDescent="0.25">
      <c r="N10" s="488" t="s">
        <v>1756</v>
      </c>
      <c r="O10" s="489" t="s">
        <v>1764</v>
      </c>
      <c r="P10" s="491">
        <v>6</v>
      </c>
      <c r="Q10" s="492">
        <f>Q9+P10</f>
        <v>29</v>
      </c>
    </row>
    <row r="11" spans="2:17" ht="15.05" customHeight="1" x14ac:dyDescent="0.3">
      <c r="C11" s="493"/>
      <c r="N11" s="488" t="s">
        <v>1765</v>
      </c>
      <c r="O11" s="489" t="s">
        <v>1764</v>
      </c>
      <c r="P11" s="491">
        <v>20</v>
      </c>
      <c r="Q11" s="492">
        <f>Q10+P11</f>
        <v>49</v>
      </c>
    </row>
    <row r="12" spans="2:17" ht="14" x14ac:dyDescent="0.25">
      <c r="N12" s="494" t="s">
        <v>1765</v>
      </c>
      <c r="O12" s="495" t="s">
        <v>1766</v>
      </c>
      <c r="P12" s="496">
        <v>5</v>
      </c>
      <c r="Q12" s="497">
        <f>Q11+P12</f>
        <v>54</v>
      </c>
    </row>
    <row r="13" spans="2:17" ht="13.45" x14ac:dyDescent="0.25">
      <c r="P13" s="223"/>
      <c r="Q13" s="223"/>
    </row>
    <row r="14" spans="2:17" ht="13.45" x14ac:dyDescent="0.25">
      <c r="P14" s="223"/>
      <c r="Q14" s="223"/>
    </row>
    <row r="15" spans="2:17" ht="13.45" x14ac:dyDescent="0.25">
      <c r="P15" s="223"/>
      <c r="Q15" s="223"/>
    </row>
    <row r="16" spans="2:17" ht="13.45" x14ac:dyDescent="0.25">
      <c r="P16" s="223"/>
      <c r="Q16" s="223"/>
    </row>
    <row r="17" spans="16:17" ht="13.45" x14ac:dyDescent="0.25">
      <c r="P17" s="223"/>
      <c r="Q17" s="223"/>
    </row>
    <row r="18" spans="16:17" ht="13.45" x14ac:dyDescent="0.25">
      <c r="P18" s="223"/>
      <c r="Q18" s="223"/>
    </row>
    <row r="19" spans="16:17" ht="13.45" x14ac:dyDescent="0.25">
      <c r="P19" s="223"/>
      <c r="Q19" s="223"/>
    </row>
    <row r="20" spans="16:17" ht="13.45" x14ac:dyDescent="0.25">
      <c r="P20" s="223"/>
      <c r="Q20" s="223"/>
    </row>
    <row r="21" spans="16:17" ht="13.45" x14ac:dyDescent="0.25">
      <c r="P21" s="223"/>
      <c r="Q21" s="223"/>
    </row>
    <row r="22" spans="16:17" ht="13.45" x14ac:dyDescent="0.25">
      <c r="P22" s="223"/>
      <c r="Q22" s="223"/>
    </row>
    <row r="23" spans="16:17" ht="13.45" x14ac:dyDescent="0.25">
      <c r="P23" s="223"/>
      <c r="Q23" s="223"/>
    </row>
    <row r="24" spans="16:17" ht="13.45" x14ac:dyDescent="0.25">
      <c r="P24" s="223"/>
      <c r="Q24" s="223"/>
    </row>
    <row r="25" spans="16:17" ht="13.45" x14ac:dyDescent="0.25">
      <c r="P25" s="223"/>
      <c r="Q25" s="223"/>
    </row>
    <row r="26" spans="16:17" ht="13.45" x14ac:dyDescent="0.25">
      <c r="P26" s="223"/>
      <c r="Q26" s="223"/>
    </row>
    <row r="27" spans="16:17" ht="13.45" x14ac:dyDescent="0.25">
      <c r="P27" s="223"/>
      <c r="Q27" s="223"/>
    </row>
    <row r="28" spans="16:17" ht="13.45" x14ac:dyDescent="0.25">
      <c r="P28" s="223"/>
      <c r="Q28" s="223"/>
    </row>
    <row r="29" spans="16:17" ht="13.45" x14ac:dyDescent="0.25">
      <c r="P29" s="223"/>
      <c r="Q29" s="223"/>
    </row>
    <row r="30" spans="16:17" ht="13.45" x14ac:dyDescent="0.25">
      <c r="P30" s="223"/>
      <c r="Q30" s="223"/>
    </row>
    <row r="31" spans="16:17" ht="13.45" x14ac:dyDescent="0.25">
      <c r="P31" s="223"/>
      <c r="Q31" s="223"/>
    </row>
    <row r="32" spans="16:17" ht="13.45" x14ac:dyDescent="0.25">
      <c r="P32" s="223"/>
      <c r="Q32" s="223"/>
    </row>
    <row r="33" spans="16:17" ht="13.45" x14ac:dyDescent="0.25">
      <c r="P33" s="223"/>
      <c r="Q33" s="223"/>
    </row>
    <row r="34" spans="16:17" ht="13.45" x14ac:dyDescent="0.25">
      <c r="P34" s="223"/>
      <c r="Q34" s="223"/>
    </row>
    <row r="35" spans="16:17" ht="13.45" x14ac:dyDescent="0.25">
      <c r="P35" s="223"/>
      <c r="Q35" s="223"/>
    </row>
    <row r="36" spans="16:17" ht="13.45" x14ac:dyDescent="0.25">
      <c r="P36" s="223"/>
      <c r="Q36" s="223"/>
    </row>
    <row r="37" spans="16:17" ht="13.45" x14ac:dyDescent="0.25">
      <c r="P37" s="223"/>
      <c r="Q37" s="223"/>
    </row>
    <row r="38" spans="16:17" ht="13.45" x14ac:dyDescent="0.25">
      <c r="P38" s="223"/>
      <c r="Q38" s="223"/>
    </row>
    <row r="39" spans="16:17" ht="13.45" x14ac:dyDescent="0.25">
      <c r="P39" s="223"/>
      <c r="Q39" s="223"/>
    </row>
    <row r="40" spans="16:17" ht="13.45" x14ac:dyDescent="0.25">
      <c r="P40" s="223"/>
      <c r="Q40" s="223"/>
    </row>
    <row r="41" spans="16:17" ht="13.45" x14ac:dyDescent="0.25">
      <c r="P41" s="223"/>
      <c r="Q41" s="223"/>
    </row>
    <row r="42" spans="16:17" ht="13.45" x14ac:dyDescent="0.25">
      <c r="P42" s="223"/>
      <c r="Q42" s="223"/>
    </row>
    <row r="43" spans="16:17" ht="13.45" x14ac:dyDescent="0.25">
      <c r="P43" s="223"/>
      <c r="Q43" s="223"/>
    </row>
    <row r="44" spans="16:17" ht="13.45" x14ac:dyDescent="0.25">
      <c r="P44" s="223"/>
      <c r="Q44" s="223"/>
    </row>
    <row r="45" spans="16:17" ht="13.45" x14ac:dyDescent="0.25">
      <c r="P45" s="223"/>
      <c r="Q45" s="223"/>
    </row>
    <row r="46" spans="16:17" ht="13.45" x14ac:dyDescent="0.25">
      <c r="P46" s="223"/>
      <c r="Q46" s="223"/>
    </row>
    <row r="47" spans="16:17" ht="13.45" x14ac:dyDescent="0.25">
      <c r="P47" s="223"/>
      <c r="Q47" s="223"/>
    </row>
    <row r="48" spans="16:17" ht="13.45" x14ac:dyDescent="0.25">
      <c r="P48" s="223"/>
      <c r="Q48" s="223"/>
    </row>
    <row r="49" spans="16:17" ht="13.45" x14ac:dyDescent="0.25">
      <c r="P49" s="223"/>
      <c r="Q49" s="223"/>
    </row>
    <row r="50" spans="16:17" ht="13.45" x14ac:dyDescent="0.25">
      <c r="P50" s="223"/>
      <c r="Q50" s="223"/>
    </row>
    <row r="51" spans="16:17" ht="13.45" x14ac:dyDescent="0.25">
      <c r="P51" s="223"/>
      <c r="Q51" s="223"/>
    </row>
    <row r="52" spans="16:17" ht="13.45" x14ac:dyDescent="0.25">
      <c r="P52" s="223"/>
      <c r="Q52" s="223"/>
    </row>
    <row r="53" spans="16:17" ht="13.45" x14ac:dyDescent="0.25">
      <c r="P53" s="223"/>
      <c r="Q53" s="223"/>
    </row>
    <row r="54" spans="16:17" ht="13.45" x14ac:dyDescent="0.25">
      <c r="P54" s="223"/>
      <c r="Q54" s="223"/>
    </row>
    <row r="55" spans="16:17" ht="13.45" x14ac:dyDescent="0.25">
      <c r="P55" s="223"/>
      <c r="Q55" s="223"/>
    </row>
    <row r="56" spans="16:17" ht="13.45" x14ac:dyDescent="0.25">
      <c r="P56" s="223"/>
      <c r="Q56" s="223"/>
    </row>
    <row r="57" spans="16:17" ht="13.45" x14ac:dyDescent="0.25">
      <c r="P57" s="223"/>
      <c r="Q57" s="223"/>
    </row>
    <row r="58" spans="16:17" ht="13.45" x14ac:dyDescent="0.25">
      <c r="P58" s="223"/>
      <c r="Q58" s="223"/>
    </row>
    <row r="59" spans="16:17" ht="13.45" x14ac:dyDescent="0.25">
      <c r="P59" s="223"/>
      <c r="Q59" s="223"/>
    </row>
    <row r="60" spans="16:17" ht="13.45" x14ac:dyDescent="0.25">
      <c r="P60" s="223"/>
      <c r="Q60" s="223"/>
    </row>
    <row r="61" spans="16:17" ht="13.45" x14ac:dyDescent="0.25">
      <c r="P61" s="223"/>
      <c r="Q61" s="223"/>
    </row>
    <row r="62" spans="16:17" ht="13.45" x14ac:dyDescent="0.25">
      <c r="P62" s="223"/>
      <c r="Q62" s="223"/>
    </row>
    <row r="63" spans="16:17" ht="13.45" x14ac:dyDescent="0.25">
      <c r="P63" s="223"/>
      <c r="Q63" s="223"/>
    </row>
    <row r="64" spans="16:17" ht="13.45" x14ac:dyDescent="0.25">
      <c r="P64" s="223"/>
      <c r="Q64" s="223"/>
    </row>
    <row r="65" spans="16:17" ht="13.45" x14ac:dyDescent="0.25">
      <c r="P65" s="223"/>
      <c r="Q65" s="223"/>
    </row>
    <row r="66" spans="16:17" ht="13.45" x14ac:dyDescent="0.25">
      <c r="P66" s="223"/>
      <c r="Q66" s="223"/>
    </row>
    <row r="67" spans="16:17" ht="13.45" x14ac:dyDescent="0.25">
      <c r="P67" s="223"/>
      <c r="Q67" s="223"/>
    </row>
    <row r="68" spans="16:17" ht="13.45" x14ac:dyDescent="0.25">
      <c r="P68" s="223"/>
      <c r="Q68" s="223"/>
    </row>
    <row r="69" spans="16:17" ht="13.45" x14ac:dyDescent="0.25">
      <c r="P69" s="223"/>
      <c r="Q69" s="223"/>
    </row>
    <row r="70" spans="16:17" ht="13.45" x14ac:dyDescent="0.25">
      <c r="P70" s="223"/>
      <c r="Q70" s="223"/>
    </row>
    <row r="71" spans="16:17" ht="13.45" x14ac:dyDescent="0.25">
      <c r="P71" s="223"/>
      <c r="Q71" s="223"/>
    </row>
    <row r="72" spans="16:17" ht="13.45" x14ac:dyDescent="0.25">
      <c r="P72" s="223"/>
      <c r="Q72" s="223"/>
    </row>
    <row r="73" spans="16:17" ht="13.45" x14ac:dyDescent="0.25">
      <c r="P73" s="223"/>
      <c r="Q73" s="223"/>
    </row>
    <row r="74" spans="16:17" ht="13.45" x14ac:dyDescent="0.25">
      <c r="P74" s="223"/>
      <c r="Q74" s="223"/>
    </row>
    <row r="75" spans="16:17" ht="13.45" x14ac:dyDescent="0.25">
      <c r="P75" s="223"/>
      <c r="Q75" s="223"/>
    </row>
    <row r="76" spans="16:17" ht="13.45" x14ac:dyDescent="0.25">
      <c r="P76" s="223"/>
      <c r="Q76" s="223"/>
    </row>
    <row r="77" spans="16:17" ht="13.45" x14ac:dyDescent="0.25">
      <c r="P77" s="223"/>
      <c r="Q77" s="223"/>
    </row>
    <row r="78" spans="16:17" ht="13.45" x14ac:dyDescent="0.25">
      <c r="P78" s="223"/>
      <c r="Q78" s="223"/>
    </row>
    <row r="79" spans="16:17" ht="13.45" x14ac:dyDescent="0.25">
      <c r="P79" s="223"/>
      <c r="Q79" s="223"/>
    </row>
    <row r="80" spans="16:17" ht="13.45" x14ac:dyDescent="0.25">
      <c r="P80" s="223"/>
      <c r="Q80" s="223"/>
    </row>
    <row r="81" spans="16:17" ht="13.45" x14ac:dyDescent="0.25">
      <c r="P81" s="223"/>
      <c r="Q81" s="223"/>
    </row>
    <row r="82" spans="16:17" ht="13.45" x14ac:dyDescent="0.25">
      <c r="P82" s="223"/>
      <c r="Q82" s="223"/>
    </row>
    <row r="83" spans="16:17" ht="13.45" x14ac:dyDescent="0.25">
      <c r="P83" s="223"/>
      <c r="Q83" s="223"/>
    </row>
    <row r="84" spans="16:17" ht="13.45" x14ac:dyDescent="0.25">
      <c r="P84" s="223"/>
      <c r="Q84" s="223"/>
    </row>
    <row r="85" spans="16:17" ht="13.45" x14ac:dyDescent="0.25">
      <c r="P85" s="223"/>
      <c r="Q85" s="223"/>
    </row>
    <row r="86" spans="16:17" ht="13.45" x14ac:dyDescent="0.25">
      <c r="P86" s="223"/>
      <c r="Q86" s="223"/>
    </row>
    <row r="87" spans="16:17" ht="13.45" x14ac:dyDescent="0.25">
      <c r="P87" s="223"/>
      <c r="Q87" s="223"/>
    </row>
    <row r="88" spans="16:17" ht="13.45" x14ac:dyDescent="0.25">
      <c r="P88" s="223"/>
      <c r="Q88" s="223"/>
    </row>
    <row r="89" spans="16:17" ht="13.45" x14ac:dyDescent="0.25">
      <c r="P89" s="223"/>
      <c r="Q89" s="223"/>
    </row>
    <row r="90" spans="16:17" ht="13.45" x14ac:dyDescent="0.25">
      <c r="P90" s="223"/>
      <c r="Q90" s="223"/>
    </row>
    <row r="91" spans="16:17" ht="13.45" x14ac:dyDescent="0.25">
      <c r="P91" s="223"/>
      <c r="Q91" s="223"/>
    </row>
    <row r="92" spans="16:17" ht="13.45" x14ac:dyDescent="0.25">
      <c r="P92" s="223"/>
      <c r="Q92" s="223"/>
    </row>
    <row r="93" spans="16:17" ht="13.45" x14ac:dyDescent="0.25">
      <c r="P93" s="223"/>
      <c r="Q93" s="223"/>
    </row>
    <row r="94" spans="16:17" ht="13.45" x14ac:dyDescent="0.25">
      <c r="P94" s="223"/>
      <c r="Q94" s="223"/>
    </row>
    <row r="95" spans="16:17" ht="13.45" x14ac:dyDescent="0.25">
      <c r="P95" s="223"/>
      <c r="Q95" s="223"/>
    </row>
    <row r="96" spans="16:17" ht="13.45" x14ac:dyDescent="0.25">
      <c r="P96" s="223"/>
      <c r="Q96" s="223"/>
    </row>
    <row r="97" spans="16:17" ht="13.45" x14ac:dyDescent="0.25">
      <c r="P97" s="223"/>
      <c r="Q97" s="223"/>
    </row>
    <row r="98" spans="16:17" ht="13.45" x14ac:dyDescent="0.25">
      <c r="P98" s="223"/>
      <c r="Q98" s="223"/>
    </row>
    <row r="99" spans="16:17" ht="13.45" x14ac:dyDescent="0.25">
      <c r="P99" s="223"/>
      <c r="Q99" s="223"/>
    </row>
    <row r="100" spans="16:17" ht="13.45" x14ac:dyDescent="0.25">
      <c r="P100" s="223"/>
      <c r="Q100" s="223"/>
    </row>
    <row r="101" spans="16:17" ht="13.45" x14ac:dyDescent="0.25">
      <c r="P101" s="223"/>
      <c r="Q101" s="223"/>
    </row>
    <row r="102" spans="16:17" ht="13.45" x14ac:dyDescent="0.25">
      <c r="P102" s="223"/>
      <c r="Q102" s="223"/>
    </row>
    <row r="103" spans="16:17" ht="13.45" x14ac:dyDescent="0.25">
      <c r="P103" s="223"/>
      <c r="Q103" s="223"/>
    </row>
    <row r="104" spans="16:17" ht="13.45" x14ac:dyDescent="0.25">
      <c r="P104" s="223"/>
      <c r="Q104" s="223"/>
    </row>
    <row r="105" spans="16:17" ht="13.45" x14ac:dyDescent="0.25">
      <c r="P105" s="223"/>
      <c r="Q105" s="223"/>
    </row>
    <row r="106" spans="16:17" ht="13.45" x14ac:dyDescent="0.25">
      <c r="P106" s="223"/>
      <c r="Q106" s="223"/>
    </row>
    <row r="107" spans="16:17" ht="13.45" x14ac:dyDescent="0.25">
      <c r="P107" s="223"/>
      <c r="Q107" s="223"/>
    </row>
    <row r="108" spans="16:17" ht="13.45" x14ac:dyDescent="0.25">
      <c r="P108" s="223"/>
      <c r="Q108" s="223"/>
    </row>
    <row r="109" spans="16:17" ht="13.45" x14ac:dyDescent="0.25">
      <c r="P109" s="223"/>
      <c r="Q109" s="223"/>
    </row>
    <row r="110" spans="16:17" ht="13.45" x14ac:dyDescent="0.25">
      <c r="P110" s="223"/>
      <c r="Q110" s="223"/>
    </row>
    <row r="111" spans="16:17" ht="13.45" x14ac:dyDescent="0.25">
      <c r="P111" s="223"/>
      <c r="Q111" s="223"/>
    </row>
    <row r="112" spans="16:17" ht="13.45" x14ac:dyDescent="0.25">
      <c r="P112" s="223"/>
      <c r="Q112" s="223"/>
    </row>
    <row r="113" spans="16:17" ht="13.45" x14ac:dyDescent="0.25">
      <c r="P113" s="223"/>
      <c r="Q113" s="223"/>
    </row>
    <row r="114" spans="16:17" ht="13.45" x14ac:dyDescent="0.25">
      <c r="P114" s="223"/>
      <c r="Q114" s="223"/>
    </row>
    <row r="115" spans="16:17" ht="13.45" x14ac:dyDescent="0.25">
      <c r="P115" s="223"/>
      <c r="Q115" s="223"/>
    </row>
    <row r="116" spans="16:17" ht="13.45" x14ac:dyDescent="0.25">
      <c r="P116" s="223"/>
      <c r="Q116" s="223"/>
    </row>
    <row r="117" spans="16:17" ht="13.45" x14ac:dyDescent="0.25">
      <c r="P117" s="223"/>
      <c r="Q117" s="223"/>
    </row>
    <row r="118" spans="16:17" ht="13.45" x14ac:dyDescent="0.25">
      <c r="P118" s="223"/>
      <c r="Q118" s="223"/>
    </row>
    <row r="119" spans="16:17" ht="13.45" x14ac:dyDescent="0.25">
      <c r="P119" s="223"/>
      <c r="Q119" s="223"/>
    </row>
    <row r="120" spans="16:17" ht="13.45" x14ac:dyDescent="0.25">
      <c r="P120" s="223"/>
      <c r="Q120" s="223"/>
    </row>
    <row r="121" spans="16:17" ht="13.45" x14ac:dyDescent="0.25">
      <c r="P121" s="223"/>
      <c r="Q121" s="223"/>
    </row>
    <row r="122" spans="16:17" ht="13.45" x14ac:dyDescent="0.25">
      <c r="P122" s="223"/>
      <c r="Q122" s="223"/>
    </row>
    <row r="123" spans="16:17" ht="13.45" x14ac:dyDescent="0.25">
      <c r="P123" s="223"/>
      <c r="Q123" s="223"/>
    </row>
    <row r="124" spans="16:17" ht="13.45" x14ac:dyDescent="0.25">
      <c r="P124" s="223"/>
      <c r="Q124" s="223"/>
    </row>
    <row r="125" spans="16:17" ht="13.45" x14ac:dyDescent="0.25">
      <c r="P125" s="223"/>
      <c r="Q125" s="223"/>
    </row>
    <row r="126" spans="16:17" ht="13.45" x14ac:dyDescent="0.25">
      <c r="P126" s="223"/>
      <c r="Q126" s="223"/>
    </row>
    <row r="127" spans="16:17" ht="13.45" x14ac:dyDescent="0.25">
      <c r="P127" s="223"/>
      <c r="Q127" s="223"/>
    </row>
    <row r="128" spans="16:17" ht="13.45" x14ac:dyDescent="0.25">
      <c r="P128" s="223"/>
      <c r="Q128" s="223"/>
    </row>
    <row r="129" spans="16:17" ht="13.45" x14ac:dyDescent="0.25">
      <c r="P129" s="223"/>
      <c r="Q129" s="223"/>
    </row>
    <row r="130" spans="16:17" ht="13.45" x14ac:dyDescent="0.25">
      <c r="P130" s="223"/>
      <c r="Q130" s="223"/>
    </row>
    <row r="131" spans="16:17" ht="13.45" x14ac:dyDescent="0.25">
      <c r="P131" s="223"/>
      <c r="Q131" s="223"/>
    </row>
    <row r="132" spans="16:17" ht="13.45" x14ac:dyDescent="0.25">
      <c r="P132" s="223"/>
      <c r="Q132" s="223"/>
    </row>
    <row r="133" spans="16:17" ht="13.45" x14ac:dyDescent="0.25">
      <c r="P133" s="223"/>
      <c r="Q133" s="223"/>
    </row>
    <row r="134" spans="16:17" ht="13.45" x14ac:dyDescent="0.25">
      <c r="P134" s="223"/>
      <c r="Q134" s="223"/>
    </row>
    <row r="135" spans="16:17" ht="13.45" x14ac:dyDescent="0.25">
      <c r="P135" s="223"/>
      <c r="Q135" s="223"/>
    </row>
    <row r="136" spans="16:17" ht="13.45" x14ac:dyDescent="0.25">
      <c r="P136" s="223"/>
      <c r="Q136" s="223"/>
    </row>
    <row r="137" spans="16:17" ht="13.45" x14ac:dyDescent="0.25">
      <c r="P137" s="223"/>
      <c r="Q137" s="223"/>
    </row>
    <row r="138" spans="16:17" ht="13.45" x14ac:dyDescent="0.25">
      <c r="P138" s="223"/>
      <c r="Q138" s="223"/>
    </row>
    <row r="139" spans="16:17" ht="13.45" x14ac:dyDescent="0.25">
      <c r="P139" s="223"/>
      <c r="Q139" s="223"/>
    </row>
    <row r="140" spans="16:17" ht="13.45" x14ac:dyDescent="0.25">
      <c r="P140" s="223"/>
      <c r="Q140" s="223"/>
    </row>
    <row r="141" spans="16:17" ht="13.45" x14ac:dyDescent="0.25">
      <c r="P141" s="223"/>
      <c r="Q141" s="223"/>
    </row>
    <row r="142" spans="16:17" ht="13.45" x14ac:dyDescent="0.25">
      <c r="P142" s="223"/>
      <c r="Q142" s="223"/>
    </row>
    <row r="143" spans="16:17" ht="13.45" x14ac:dyDescent="0.25">
      <c r="P143" s="223"/>
      <c r="Q143" s="223"/>
    </row>
    <row r="144" spans="16:17" ht="13.45" x14ac:dyDescent="0.25">
      <c r="P144" s="223"/>
      <c r="Q144" s="223"/>
    </row>
    <row r="145" spans="16:17" ht="13.45" x14ac:dyDescent="0.25">
      <c r="P145" s="223"/>
      <c r="Q145" s="223"/>
    </row>
    <row r="146" spans="16:17" ht="13.45" x14ac:dyDescent="0.25">
      <c r="P146" s="223"/>
      <c r="Q146" s="223"/>
    </row>
    <row r="147" spans="16:17" ht="13.45" x14ac:dyDescent="0.25">
      <c r="P147" s="223"/>
      <c r="Q147" s="223"/>
    </row>
    <row r="148" spans="16:17" ht="13.45" x14ac:dyDescent="0.25">
      <c r="P148" s="223"/>
      <c r="Q148" s="223"/>
    </row>
    <row r="149" spans="16:17" ht="13.45" x14ac:dyDescent="0.25">
      <c r="P149" s="223"/>
      <c r="Q149" s="223"/>
    </row>
    <row r="150" spans="16:17" ht="13.45" x14ac:dyDescent="0.25">
      <c r="P150" s="223"/>
      <c r="Q150" s="223"/>
    </row>
    <row r="151" spans="16:17" ht="13.45" x14ac:dyDescent="0.25">
      <c r="P151" s="223"/>
      <c r="Q151" s="223"/>
    </row>
    <row r="152" spans="16:17" ht="13.45" x14ac:dyDescent="0.25">
      <c r="P152" s="223"/>
      <c r="Q152" s="223"/>
    </row>
    <row r="153" spans="16:17" ht="13.45" x14ac:dyDescent="0.25">
      <c r="P153" s="223"/>
      <c r="Q153" s="223"/>
    </row>
    <row r="154" spans="16:17" ht="13.45" x14ac:dyDescent="0.25">
      <c r="P154" s="223"/>
      <c r="Q154" s="223"/>
    </row>
    <row r="155" spans="16:17" ht="13.45" x14ac:dyDescent="0.25">
      <c r="P155" s="223"/>
      <c r="Q155" s="223"/>
    </row>
    <row r="156" spans="16:17" ht="13.45" x14ac:dyDescent="0.25">
      <c r="P156" s="223"/>
      <c r="Q156" s="223"/>
    </row>
    <row r="157" spans="16:17" ht="13.45" x14ac:dyDescent="0.25">
      <c r="P157" s="223"/>
      <c r="Q157" s="223"/>
    </row>
    <row r="158" spans="16:17" ht="13.45" x14ac:dyDescent="0.25">
      <c r="P158" s="223"/>
      <c r="Q158" s="223"/>
    </row>
    <row r="159" spans="16:17" ht="13.45" x14ac:dyDescent="0.25">
      <c r="P159" s="223"/>
      <c r="Q159" s="223"/>
    </row>
    <row r="160" spans="16:17" ht="13.45" x14ac:dyDescent="0.25">
      <c r="P160" s="223"/>
      <c r="Q160" s="223"/>
    </row>
    <row r="161" spans="16:17" ht="13.45" x14ac:dyDescent="0.25">
      <c r="P161" s="223"/>
      <c r="Q161" s="223"/>
    </row>
    <row r="162" spans="16:17" ht="13.45" x14ac:dyDescent="0.25">
      <c r="P162" s="223"/>
      <c r="Q162" s="223"/>
    </row>
    <row r="163" spans="16:17" ht="13.45" x14ac:dyDescent="0.25">
      <c r="P163" s="223"/>
      <c r="Q163" s="223"/>
    </row>
    <row r="164" spans="16:17" ht="13.45" x14ac:dyDescent="0.25">
      <c r="P164" s="223"/>
      <c r="Q164" s="223"/>
    </row>
    <row r="165" spans="16:17" ht="13.45" x14ac:dyDescent="0.25">
      <c r="P165" s="223"/>
      <c r="Q165" s="223"/>
    </row>
    <row r="166" spans="16:17" ht="13.45" x14ac:dyDescent="0.25">
      <c r="P166" s="223"/>
      <c r="Q166" s="223"/>
    </row>
    <row r="167" spans="16:17" ht="13.45" x14ac:dyDescent="0.25">
      <c r="P167" s="223"/>
      <c r="Q167" s="223"/>
    </row>
    <row r="168" spans="16:17" ht="13.45" x14ac:dyDescent="0.25">
      <c r="P168" s="223"/>
      <c r="Q168" s="223"/>
    </row>
    <row r="169" spans="16:17" ht="13.45" x14ac:dyDescent="0.25">
      <c r="P169" s="223"/>
      <c r="Q169" s="223"/>
    </row>
    <row r="170" spans="16:17" ht="13.45" x14ac:dyDescent="0.25">
      <c r="P170" s="223"/>
      <c r="Q170" s="223"/>
    </row>
    <row r="171" spans="16:17" ht="13.45" x14ac:dyDescent="0.25">
      <c r="P171" s="223"/>
      <c r="Q171" s="223"/>
    </row>
    <row r="172" spans="16:17" ht="13.45" x14ac:dyDescent="0.25">
      <c r="P172" s="223"/>
      <c r="Q172" s="223"/>
    </row>
    <row r="173" spans="16:17" ht="13.45" x14ac:dyDescent="0.25">
      <c r="P173" s="223"/>
      <c r="Q173" s="223"/>
    </row>
    <row r="174" spans="16:17" ht="13.45" x14ac:dyDescent="0.25">
      <c r="P174" s="223"/>
      <c r="Q174" s="223"/>
    </row>
    <row r="175" spans="16:17" ht="13.45" x14ac:dyDescent="0.25">
      <c r="P175" s="223"/>
      <c r="Q175" s="223"/>
    </row>
    <row r="176" spans="16:17" ht="13.45" x14ac:dyDescent="0.25">
      <c r="P176" s="223"/>
      <c r="Q176" s="223"/>
    </row>
    <row r="177" spans="16:17" ht="13.45" x14ac:dyDescent="0.25">
      <c r="P177" s="223"/>
      <c r="Q177" s="223"/>
    </row>
    <row r="178" spans="16:17" ht="13.45" x14ac:dyDescent="0.25">
      <c r="P178" s="223"/>
      <c r="Q178" s="223"/>
    </row>
    <row r="179" spans="16:17" ht="13.45" x14ac:dyDescent="0.25">
      <c r="P179" s="223"/>
      <c r="Q179" s="223"/>
    </row>
    <row r="180" spans="16:17" ht="13.45" x14ac:dyDescent="0.25">
      <c r="P180" s="223"/>
      <c r="Q180" s="223"/>
    </row>
    <row r="181" spans="16:17" ht="13.45" x14ac:dyDescent="0.25">
      <c r="P181" s="223"/>
      <c r="Q181" s="223"/>
    </row>
    <row r="182" spans="16:17" ht="13.45" x14ac:dyDescent="0.25">
      <c r="P182" s="223"/>
      <c r="Q182" s="223"/>
    </row>
    <row r="183" spans="16:17" ht="13.45" x14ac:dyDescent="0.25">
      <c r="P183" s="223"/>
      <c r="Q183" s="223"/>
    </row>
    <row r="184" spans="16:17" ht="13.45" x14ac:dyDescent="0.25">
      <c r="P184" s="223"/>
      <c r="Q184" s="223"/>
    </row>
    <row r="185" spans="16:17" ht="13.45" x14ac:dyDescent="0.25">
      <c r="P185" s="223"/>
      <c r="Q185" s="223"/>
    </row>
    <row r="186" spans="16:17" ht="13.45" x14ac:dyDescent="0.25">
      <c r="P186" s="223"/>
      <c r="Q186" s="223"/>
    </row>
    <row r="187" spans="16:17" ht="13.45" x14ac:dyDescent="0.25">
      <c r="P187" s="223"/>
      <c r="Q187" s="223"/>
    </row>
    <row r="188" spans="16:17" ht="13.45" x14ac:dyDescent="0.25">
      <c r="P188" s="223"/>
      <c r="Q188" s="223"/>
    </row>
    <row r="189" spans="16:17" ht="13.45" x14ac:dyDescent="0.25">
      <c r="P189" s="223"/>
      <c r="Q189" s="223"/>
    </row>
    <row r="190" spans="16:17" ht="13.45" x14ac:dyDescent="0.25">
      <c r="P190" s="223"/>
      <c r="Q190" s="223"/>
    </row>
    <row r="191" spans="16:17" ht="13.45" x14ac:dyDescent="0.25">
      <c r="P191" s="223"/>
      <c r="Q191" s="223"/>
    </row>
    <row r="192" spans="16:17" ht="13.45" x14ac:dyDescent="0.25">
      <c r="P192" s="223"/>
      <c r="Q192" s="223"/>
    </row>
    <row r="193" spans="16:17" ht="13.45" x14ac:dyDescent="0.25">
      <c r="P193" s="223"/>
      <c r="Q193" s="223"/>
    </row>
    <row r="194" spans="16:17" ht="13.45" x14ac:dyDescent="0.25">
      <c r="P194" s="223"/>
      <c r="Q194" s="223"/>
    </row>
    <row r="195" spans="16:17" ht="13.45" x14ac:dyDescent="0.25">
      <c r="P195" s="223"/>
      <c r="Q195" s="223"/>
    </row>
    <row r="196" spans="16:17" ht="13.45" x14ac:dyDescent="0.25">
      <c r="P196" s="223"/>
      <c r="Q196" s="223"/>
    </row>
    <row r="197" spans="16:17" ht="13.45" x14ac:dyDescent="0.25">
      <c r="P197" s="223"/>
      <c r="Q197" s="223"/>
    </row>
    <row r="198" spans="16:17" ht="13.45" x14ac:dyDescent="0.25">
      <c r="P198" s="223"/>
      <c r="Q198" s="223"/>
    </row>
    <row r="199" spans="16:17" ht="13.45" x14ac:dyDescent="0.25">
      <c r="P199" s="223"/>
      <c r="Q199" s="223"/>
    </row>
    <row r="200" spans="16:17" ht="13.45" x14ac:dyDescent="0.25">
      <c r="P200" s="223"/>
      <c r="Q200" s="223"/>
    </row>
    <row r="201" spans="16:17" ht="13.45" x14ac:dyDescent="0.25">
      <c r="P201" s="223"/>
      <c r="Q201" s="223"/>
    </row>
    <row r="202" spans="16:17" ht="13.45" x14ac:dyDescent="0.25">
      <c r="P202" s="223"/>
      <c r="Q202" s="223"/>
    </row>
    <row r="203" spans="16:17" ht="13.45" x14ac:dyDescent="0.25">
      <c r="P203" s="223"/>
      <c r="Q203" s="223"/>
    </row>
    <row r="204" spans="16:17" ht="13.45" x14ac:dyDescent="0.25">
      <c r="P204" s="223"/>
      <c r="Q204" s="223"/>
    </row>
    <row r="205" spans="16:17" ht="13.45" x14ac:dyDescent="0.25">
      <c r="P205" s="223"/>
      <c r="Q205" s="223"/>
    </row>
    <row r="206" spans="16:17" ht="13.45" x14ac:dyDescent="0.25">
      <c r="P206" s="223"/>
      <c r="Q206" s="223"/>
    </row>
    <row r="207" spans="16:17" ht="13.45" x14ac:dyDescent="0.25">
      <c r="P207" s="223"/>
      <c r="Q207" s="223"/>
    </row>
    <row r="208" spans="16:17" ht="13.45" x14ac:dyDescent="0.25">
      <c r="P208" s="223"/>
      <c r="Q208" s="223"/>
    </row>
    <row r="209" spans="16:17" ht="13.45" x14ac:dyDescent="0.25">
      <c r="P209" s="223"/>
      <c r="Q209" s="223"/>
    </row>
    <row r="210" spans="16:17" ht="13.45" x14ac:dyDescent="0.25">
      <c r="P210" s="223"/>
      <c r="Q210" s="223"/>
    </row>
    <row r="211" spans="16:17" ht="13.45" x14ac:dyDescent="0.25">
      <c r="P211" s="223"/>
      <c r="Q211" s="223"/>
    </row>
    <row r="212" spans="16:17" ht="13.45" x14ac:dyDescent="0.25">
      <c r="P212" s="223"/>
      <c r="Q212" s="223"/>
    </row>
    <row r="213" spans="16:17" ht="13.45" x14ac:dyDescent="0.25">
      <c r="P213" s="223"/>
      <c r="Q213" s="223"/>
    </row>
    <row r="214" spans="16:17" ht="13.45" x14ac:dyDescent="0.25">
      <c r="P214" s="223"/>
      <c r="Q214" s="223"/>
    </row>
    <row r="215" spans="16:17" ht="13.45" x14ac:dyDescent="0.25">
      <c r="P215" s="223"/>
      <c r="Q215" s="223"/>
    </row>
    <row r="216" spans="16:17" ht="13.45" x14ac:dyDescent="0.25">
      <c r="P216" s="223"/>
      <c r="Q216" s="223"/>
    </row>
    <row r="217" spans="16:17" ht="13.45" x14ac:dyDescent="0.25">
      <c r="P217" s="223"/>
      <c r="Q217" s="223"/>
    </row>
    <row r="218" spans="16:17" ht="13.45" x14ac:dyDescent="0.25">
      <c r="P218" s="223"/>
      <c r="Q218" s="223"/>
    </row>
    <row r="219" spans="16:17" ht="13.45" x14ac:dyDescent="0.25">
      <c r="P219" s="223"/>
      <c r="Q219" s="223"/>
    </row>
    <row r="220" spans="16:17" ht="13.45" x14ac:dyDescent="0.25">
      <c r="P220" s="223"/>
      <c r="Q220" s="223"/>
    </row>
    <row r="221" spans="16:17" ht="13.45" x14ac:dyDescent="0.25">
      <c r="P221" s="223"/>
      <c r="Q221" s="223"/>
    </row>
    <row r="222" spans="16:17" ht="13.45" x14ac:dyDescent="0.25">
      <c r="P222" s="223"/>
      <c r="Q222" s="223"/>
    </row>
    <row r="223" spans="16:17" ht="13.45" x14ac:dyDescent="0.25">
      <c r="P223" s="223"/>
      <c r="Q223" s="223"/>
    </row>
    <row r="224" spans="16:17" ht="13.45" x14ac:dyDescent="0.25">
      <c r="P224" s="223"/>
      <c r="Q224" s="223"/>
    </row>
    <row r="225" spans="16:17" ht="13.45" x14ac:dyDescent="0.25">
      <c r="P225" s="223"/>
      <c r="Q225" s="223"/>
    </row>
    <row r="226" spans="16:17" ht="13.45" x14ac:dyDescent="0.25">
      <c r="P226" s="223"/>
      <c r="Q226" s="223"/>
    </row>
    <row r="227" spans="16:17" ht="13.45" x14ac:dyDescent="0.25">
      <c r="P227" s="223"/>
      <c r="Q227" s="223"/>
    </row>
    <row r="228" spans="16:17" ht="13.45" x14ac:dyDescent="0.25">
      <c r="P228" s="223"/>
      <c r="Q228" s="223"/>
    </row>
    <row r="229" spans="16:17" ht="13.45" x14ac:dyDescent="0.25">
      <c r="P229" s="223"/>
      <c r="Q229" s="223"/>
    </row>
    <row r="230" spans="16:17" ht="13.45" x14ac:dyDescent="0.25">
      <c r="P230" s="223"/>
      <c r="Q230" s="223"/>
    </row>
    <row r="231" spans="16:17" ht="13.45" x14ac:dyDescent="0.25">
      <c r="P231" s="223"/>
      <c r="Q231" s="223"/>
    </row>
    <row r="232" spans="16:17" ht="13.45" x14ac:dyDescent="0.25">
      <c r="P232" s="223"/>
      <c r="Q232" s="223"/>
    </row>
    <row r="233" spans="16:17" ht="13.45" x14ac:dyDescent="0.25">
      <c r="P233" s="223"/>
      <c r="Q233" s="223"/>
    </row>
    <row r="234" spans="16:17" ht="13.45" x14ac:dyDescent="0.25">
      <c r="P234" s="223"/>
      <c r="Q234" s="223"/>
    </row>
    <row r="235" spans="16:17" ht="13.45" x14ac:dyDescent="0.25">
      <c r="P235" s="223"/>
      <c r="Q235" s="223"/>
    </row>
    <row r="236" spans="16:17" ht="13.45" x14ac:dyDescent="0.25">
      <c r="P236" s="223"/>
      <c r="Q236" s="223"/>
    </row>
    <row r="237" spans="16:17" ht="13.45" x14ac:dyDescent="0.25">
      <c r="P237" s="223"/>
      <c r="Q237" s="223"/>
    </row>
    <row r="238" spans="16:17" ht="13.45" x14ac:dyDescent="0.25">
      <c r="P238" s="223"/>
      <c r="Q238" s="223"/>
    </row>
    <row r="239" spans="16:17" ht="13.45" x14ac:dyDescent="0.25">
      <c r="P239" s="223"/>
      <c r="Q239" s="223"/>
    </row>
    <row r="240" spans="16:17" ht="13.45" x14ac:dyDescent="0.25">
      <c r="P240" s="223"/>
      <c r="Q240" s="223"/>
    </row>
    <row r="241" spans="16:17" ht="13.45" x14ac:dyDescent="0.25">
      <c r="P241" s="223"/>
      <c r="Q241" s="223"/>
    </row>
    <row r="242" spans="16:17" ht="13.45" x14ac:dyDescent="0.25">
      <c r="P242" s="223"/>
      <c r="Q242" s="223"/>
    </row>
    <row r="243" spans="16:17" ht="13.45" x14ac:dyDescent="0.25">
      <c r="P243" s="223"/>
      <c r="Q243" s="223"/>
    </row>
    <row r="244" spans="16:17" ht="13.45" x14ac:dyDescent="0.25">
      <c r="P244" s="223"/>
      <c r="Q244" s="223"/>
    </row>
    <row r="245" spans="16:17" ht="13.45" x14ac:dyDescent="0.25">
      <c r="P245" s="223"/>
      <c r="Q245" s="223"/>
    </row>
    <row r="246" spans="16:17" ht="13.45" x14ac:dyDescent="0.25">
      <c r="P246" s="223"/>
      <c r="Q246" s="223"/>
    </row>
    <row r="247" spans="16:17" ht="13.45" x14ac:dyDescent="0.25">
      <c r="P247" s="223"/>
      <c r="Q247" s="223"/>
    </row>
    <row r="248" spans="16:17" ht="13.45" x14ac:dyDescent="0.25">
      <c r="P248" s="223"/>
      <c r="Q248" s="223"/>
    </row>
    <row r="249" spans="16:17" ht="13.45" x14ac:dyDescent="0.25">
      <c r="P249" s="223"/>
      <c r="Q249" s="223"/>
    </row>
    <row r="250" spans="16:17" ht="13.45" x14ac:dyDescent="0.25">
      <c r="P250" s="223"/>
      <c r="Q250" s="223"/>
    </row>
    <row r="251" spans="16:17" ht="13.45" x14ac:dyDescent="0.25">
      <c r="P251" s="223"/>
      <c r="Q251" s="223"/>
    </row>
    <row r="252" spans="16:17" ht="13.45" x14ac:dyDescent="0.25">
      <c r="P252" s="223"/>
      <c r="Q252" s="223"/>
    </row>
    <row r="253" spans="16:17" ht="13.45" x14ac:dyDescent="0.25">
      <c r="P253" s="223"/>
      <c r="Q253" s="223"/>
    </row>
    <row r="254" spans="16:17" ht="13.45" x14ac:dyDescent="0.25">
      <c r="P254" s="223"/>
      <c r="Q254" s="223"/>
    </row>
    <row r="255" spans="16:17" ht="13.45" x14ac:dyDescent="0.25">
      <c r="P255" s="223"/>
      <c r="Q255" s="223"/>
    </row>
    <row r="256" spans="16:17" ht="13.45" x14ac:dyDescent="0.25">
      <c r="P256" s="223"/>
      <c r="Q256" s="223"/>
    </row>
    <row r="257" spans="16:17" ht="13.45" x14ac:dyDescent="0.25">
      <c r="P257" s="223"/>
      <c r="Q257" s="223"/>
    </row>
    <row r="258" spans="16:17" ht="13.45" x14ac:dyDescent="0.25">
      <c r="P258" s="223"/>
      <c r="Q258" s="223"/>
    </row>
    <row r="259" spans="16:17" ht="13.45" x14ac:dyDescent="0.25">
      <c r="P259" s="223"/>
      <c r="Q259" s="223"/>
    </row>
    <row r="260" spans="16:17" ht="13.45" x14ac:dyDescent="0.25">
      <c r="P260" s="223"/>
      <c r="Q260" s="223"/>
    </row>
    <row r="261" spans="16:17" ht="13.45" x14ac:dyDescent="0.25">
      <c r="P261" s="223"/>
      <c r="Q261" s="223"/>
    </row>
    <row r="262" spans="16:17" ht="13.45" x14ac:dyDescent="0.25">
      <c r="P262" s="223"/>
      <c r="Q262" s="223"/>
    </row>
    <row r="263" spans="16:17" ht="13.45" x14ac:dyDescent="0.25">
      <c r="P263" s="223"/>
      <c r="Q263" s="223"/>
    </row>
    <row r="264" spans="16:17" ht="13.45" x14ac:dyDescent="0.25">
      <c r="P264" s="223"/>
      <c r="Q264" s="223"/>
    </row>
    <row r="265" spans="16:17" ht="13.45" x14ac:dyDescent="0.25">
      <c r="P265" s="223"/>
      <c r="Q265" s="223"/>
    </row>
    <row r="266" spans="16:17" ht="13.45" x14ac:dyDescent="0.25">
      <c r="P266" s="223"/>
      <c r="Q266" s="223"/>
    </row>
    <row r="267" spans="16:17" ht="13.45" x14ac:dyDescent="0.25">
      <c r="P267" s="223"/>
      <c r="Q267" s="223"/>
    </row>
    <row r="268" spans="16:17" ht="13.45" x14ac:dyDescent="0.25">
      <c r="P268" s="223"/>
      <c r="Q268" s="223"/>
    </row>
    <row r="269" spans="16:17" ht="13.45" x14ac:dyDescent="0.25">
      <c r="P269" s="223"/>
      <c r="Q269" s="223"/>
    </row>
    <row r="270" spans="16:17" ht="13.45" x14ac:dyDescent="0.25">
      <c r="P270" s="223"/>
      <c r="Q270" s="223"/>
    </row>
    <row r="271" spans="16:17" ht="13.45" x14ac:dyDescent="0.25">
      <c r="P271" s="223"/>
      <c r="Q271" s="223"/>
    </row>
    <row r="272" spans="16:17" ht="13.45" x14ac:dyDescent="0.25">
      <c r="P272" s="223"/>
      <c r="Q272" s="223"/>
    </row>
    <row r="273" spans="16:17" ht="13.45" x14ac:dyDescent="0.25">
      <c r="P273" s="223"/>
      <c r="Q273" s="223"/>
    </row>
    <row r="274" spans="16:17" ht="13.45" x14ac:dyDescent="0.25">
      <c r="P274" s="223"/>
      <c r="Q274" s="223"/>
    </row>
    <row r="275" spans="16:17" ht="13.45" x14ac:dyDescent="0.25">
      <c r="P275" s="223"/>
      <c r="Q275" s="223"/>
    </row>
    <row r="276" spans="16:17" ht="13.45" x14ac:dyDescent="0.25">
      <c r="P276" s="223"/>
      <c r="Q276" s="223"/>
    </row>
    <row r="277" spans="16:17" ht="13.45" x14ac:dyDescent="0.25">
      <c r="P277" s="223"/>
      <c r="Q277" s="223"/>
    </row>
    <row r="278" spans="16:17" ht="13.45" x14ac:dyDescent="0.25">
      <c r="P278" s="223"/>
      <c r="Q278" s="223"/>
    </row>
    <row r="279" spans="16:17" ht="13.45" x14ac:dyDescent="0.25">
      <c r="P279" s="223"/>
      <c r="Q279" s="223"/>
    </row>
    <row r="280" spans="16:17" ht="13.45" x14ac:dyDescent="0.25">
      <c r="P280" s="223"/>
      <c r="Q280" s="223"/>
    </row>
    <row r="281" spans="16:17" ht="13.45" x14ac:dyDescent="0.25">
      <c r="P281" s="223"/>
      <c r="Q281" s="223"/>
    </row>
    <row r="282" spans="16:17" ht="13.45" x14ac:dyDescent="0.25">
      <c r="P282" s="223"/>
      <c r="Q282" s="223"/>
    </row>
    <row r="283" spans="16:17" ht="13.45" x14ac:dyDescent="0.25">
      <c r="P283" s="223"/>
      <c r="Q283" s="223"/>
    </row>
    <row r="284" spans="16:17" ht="13.45" x14ac:dyDescent="0.25">
      <c r="P284" s="223"/>
      <c r="Q284" s="223"/>
    </row>
    <row r="285" spans="16:17" ht="13.45" x14ac:dyDescent="0.25">
      <c r="P285" s="223"/>
      <c r="Q285" s="223"/>
    </row>
    <row r="286" spans="16:17" ht="13.45" x14ac:dyDescent="0.25">
      <c r="P286" s="223"/>
      <c r="Q286" s="223"/>
    </row>
    <row r="287" spans="16:17" ht="13.45" x14ac:dyDescent="0.25">
      <c r="P287" s="223"/>
      <c r="Q287" s="223"/>
    </row>
    <row r="288" spans="16:17" ht="13.45" x14ac:dyDescent="0.25">
      <c r="P288" s="223"/>
      <c r="Q288" s="223"/>
    </row>
    <row r="289" spans="16:17" ht="13.45" x14ac:dyDescent="0.25">
      <c r="P289" s="223"/>
      <c r="Q289" s="223"/>
    </row>
    <row r="290" spans="16:17" ht="13.45" x14ac:dyDescent="0.25">
      <c r="P290" s="223"/>
      <c r="Q290" s="223"/>
    </row>
    <row r="291" spans="16:17" ht="13.45" x14ac:dyDescent="0.25">
      <c r="P291" s="223"/>
      <c r="Q291" s="223"/>
    </row>
    <row r="292" spans="16:17" ht="13.45" x14ac:dyDescent="0.25">
      <c r="P292" s="223"/>
      <c r="Q292" s="223"/>
    </row>
    <row r="293" spans="16:17" ht="13.45" x14ac:dyDescent="0.25">
      <c r="P293" s="223"/>
      <c r="Q293" s="223"/>
    </row>
    <row r="294" spans="16:17" ht="13.45" x14ac:dyDescent="0.25">
      <c r="P294" s="223"/>
      <c r="Q294" s="223"/>
    </row>
    <row r="295" spans="16:17" ht="13.45" x14ac:dyDescent="0.25">
      <c r="P295" s="223"/>
      <c r="Q295" s="223"/>
    </row>
    <row r="296" spans="16:17" ht="13.45" x14ac:dyDescent="0.25">
      <c r="P296" s="223"/>
      <c r="Q296" s="223"/>
    </row>
    <row r="297" spans="16:17" ht="13.45" x14ac:dyDescent="0.25">
      <c r="P297" s="223"/>
      <c r="Q297" s="223"/>
    </row>
    <row r="298" spans="16:17" ht="13.45" x14ac:dyDescent="0.25">
      <c r="P298" s="223"/>
      <c r="Q298" s="223"/>
    </row>
    <row r="299" spans="16:17" ht="13.45" x14ac:dyDescent="0.25">
      <c r="P299" s="223"/>
      <c r="Q299" s="223"/>
    </row>
    <row r="300" spans="16:17" ht="13.45" x14ac:dyDescent="0.25">
      <c r="P300" s="223"/>
      <c r="Q300" s="223"/>
    </row>
    <row r="301" spans="16:17" ht="13.45" x14ac:dyDescent="0.25">
      <c r="P301" s="223"/>
      <c r="Q301" s="223"/>
    </row>
    <row r="302" spans="16:17" ht="13.45" x14ac:dyDescent="0.25">
      <c r="P302" s="223"/>
      <c r="Q302" s="223"/>
    </row>
    <row r="303" spans="16:17" ht="13.45" x14ac:dyDescent="0.25">
      <c r="P303" s="223"/>
      <c r="Q303" s="223"/>
    </row>
    <row r="304" spans="16:17" ht="13.45" x14ac:dyDescent="0.25">
      <c r="P304" s="223"/>
      <c r="Q304" s="223"/>
    </row>
    <row r="305" spans="16:17" ht="13.45" x14ac:dyDescent="0.25">
      <c r="P305" s="223"/>
      <c r="Q305" s="223"/>
    </row>
    <row r="306" spans="16:17" ht="13.45" x14ac:dyDescent="0.25">
      <c r="P306" s="223"/>
      <c r="Q306" s="223"/>
    </row>
    <row r="307" spans="16:17" ht="13.45" x14ac:dyDescent="0.25">
      <c r="P307" s="223"/>
      <c r="Q307" s="223"/>
    </row>
    <row r="308" spans="16:17" ht="13.45" x14ac:dyDescent="0.25">
      <c r="P308" s="223"/>
      <c r="Q308" s="223"/>
    </row>
    <row r="309" spans="16:17" ht="13.45" x14ac:dyDescent="0.25">
      <c r="P309" s="223"/>
      <c r="Q309" s="223"/>
    </row>
    <row r="310" spans="16:17" ht="13.45" x14ac:dyDescent="0.25">
      <c r="P310" s="223"/>
      <c r="Q310" s="223"/>
    </row>
    <row r="311" spans="16:17" ht="13.45" x14ac:dyDescent="0.25">
      <c r="P311" s="223"/>
      <c r="Q311" s="223"/>
    </row>
    <row r="312" spans="16:17" ht="13.45" x14ac:dyDescent="0.25">
      <c r="P312" s="223"/>
      <c r="Q312" s="223"/>
    </row>
    <row r="313" spans="16:17" ht="13.45" x14ac:dyDescent="0.25">
      <c r="P313" s="223"/>
      <c r="Q313" s="223"/>
    </row>
    <row r="314" spans="16:17" ht="13.45" x14ac:dyDescent="0.25">
      <c r="P314" s="223"/>
      <c r="Q314" s="223"/>
    </row>
    <row r="315" spans="16:17" ht="13.45" x14ac:dyDescent="0.25">
      <c r="P315" s="223"/>
      <c r="Q315" s="223"/>
    </row>
    <row r="316" spans="16:17" ht="13.45" x14ac:dyDescent="0.25">
      <c r="P316" s="223"/>
      <c r="Q316" s="223"/>
    </row>
    <row r="317" spans="16:17" ht="13.45" x14ac:dyDescent="0.25">
      <c r="P317" s="223"/>
      <c r="Q317" s="223"/>
    </row>
    <row r="318" spans="16:17" ht="13.45" x14ac:dyDescent="0.25">
      <c r="P318" s="223"/>
      <c r="Q318" s="223"/>
    </row>
    <row r="319" spans="16:17" ht="13.45" x14ac:dyDescent="0.25">
      <c r="P319" s="223"/>
      <c r="Q319" s="223"/>
    </row>
    <row r="320" spans="16:17" ht="13.45" x14ac:dyDescent="0.25">
      <c r="P320" s="223"/>
      <c r="Q320" s="223"/>
    </row>
    <row r="321" spans="16:17" ht="13.45" x14ac:dyDescent="0.25">
      <c r="P321" s="223"/>
      <c r="Q321" s="223"/>
    </row>
    <row r="322" spans="16:17" ht="13.45" x14ac:dyDescent="0.25">
      <c r="P322" s="223"/>
      <c r="Q322" s="223"/>
    </row>
    <row r="323" spans="16:17" ht="13.45" x14ac:dyDescent="0.25">
      <c r="P323" s="223"/>
      <c r="Q323" s="223"/>
    </row>
    <row r="324" spans="16:17" ht="13.45" x14ac:dyDescent="0.25">
      <c r="P324" s="223"/>
      <c r="Q324" s="223"/>
    </row>
    <row r="325" spans="16:17" ht="13.45" x14ac:dyDescent="0.25">
      <c r="P325" s="223"/>
      <c r="Q325" s="223"/>
    </row>
    <row r="326" spans="16:17" ht="13.45" x14ac:dyDescent="0.25">
      <c r="P326" s="223"/>
      <c r="Q326" s="223"/>
    </row>
    <row r="327" spans="16:17" ht="13.45" x14ac:dyDescent="0.25">
      <c r="P327" s="223"/>
      <c r="Q327" s="223"/>
    </row>
    <row r="328" spans="16:17" ht="13.45" x14ac:dyDescent="0.25">
      <c r="P328" s="223"/>
      <c r="Q328" s="223"/>
    </row>
    <row r="329" spans="16:17" ht="13.45" x14ac:dyDescent="0.25">
      <c r="P329" s="223"/>
      <c r="Q329" s="223"/>
    </row>
    <row r="330" spans="16:17" ht="13.45" x14ac:dyDescent="0.25">
      <c r="P330" s="223"/>
      <c r="Q330" s="223"/>
    </row>
    <row r="331" spans="16:17" ht="13.45" x14ac:dyDescent="0.25">
      <c r="P331" s="223"/>
      <c r="Q331" s="223"/>
    </row>
    <row r="332" spans="16:17" ht="13.45" x14ac:dyDescent="0.25">
      <c r="P332" s="223"/>
      <c r="Q332" s="223"/>
    </row>
    <row r="333" spans="16:17" ht="13.45" x14ac:dyDescent="0.25">
      <c r="P333" s="223"/>
      <c r="Q333" s="223"/>
    </row>
    <row r="334" spans="16:17" ht="13.45" x14ac:dyDescent="0.25">
      <c r="P334" s="223"/>
      <c r="Q334" s="223"/>
    </row>
    <row r="335" spans="16:17" ht="13.45" x14ac:dyDescent="0.25">
      <c r="P335" s="223"/>
      <c r="Q335" s="223"/>
    </row>
    <row r="336" spans="16:17" ht="13.45" x14ac:dyDescent="0.25">
      <c r="P336" s="223"/>
      <c r="Q336" s="223"/>
    </row>
    <row r="337" spans="16:17" ht="13.45" x14ac:dyDescent="0.25">
      <c r="P337" s="223"/>
      <c r="Q337" s="223"/>
    </row>
    <row r="338" spans="16:17" ht="13.45" x14ac:dyDescent="0.25">
      <c r="P338" s="223"/>
      <c r="Q338" s="223"/>
    </row>
    <row r="339" spans="16:17" ht="13.45" x14ac:dyDescent="0.25">
      <c r="P339" s="223"/>
      <c r="Q339" s="223"/>
    </row>
    <row r="340" spans="16:17" ht="13.45" x14ac:dyDescent="0.25">
      <c r="P340" s="223"/>
      <c r="Q340" s="223"/>
    </row>
    <row r="341" spans="16:17" ht="13.45" x14ac:dyDescent="0.25">
      <c r="P341" s="223"/>
      <c r="Q341" s="223"/>
    </row>
    <row r="342" spans="16:17" ht="13.45" x14ac:dyDescent="0.25">
      <c r="P342" s="223"/>
      <c r="Q342" s="223"/>
    </row>
    <row r="343" spans="16:17" ht="13.45" x14ac:dyDescent="0.25">
      <c r="P343" s="223"/>
      <c r="Q343" s="223"/>
    </row>
    <row r="344" spans="16:17" ht="13.45" x14ac:dyDescent="0.25">
      <c r="P344" s="223"/>
      <c r="Q344" s="223"/>
    </row>
    <row r="345" spans="16:17" ht="13.45" x14ac:dyDescent="0.25">
      <c r="P345" s="223"/>
      <c r="Q345" s="223"/>
    </row>
    <row r="346" spans="16:17" ht="13.45" x14ac:dyDescent="0.25">
      <c r="P346" s="223"/>
      <c r="Q346" s="223"/>
    </row>
    <row r="347" spans="16:17" ht="13.45" x14ac:dyDescent="0.25">
      <c r="P347" s="223"/>
      <c r="Q347" s="223"/>
    </row>
    <row r="348" spans="16:17" ht="13.45" x14ac:dyDescent="0.25">
      <c r="P348" s="223"/>
      <c r="Q348" s="223"/>
    </row>
    <row r="349" spans="16:17" ht="13.45" x14ac:dyDescent="0.25">
      <c r="P349" s="223"/>
      <c r="Q349" s="223"/>
    </row>
    <row r="350" spans="16:17" ht="13.45" x14ac:dyDescent="0.25">
      <c r="P350" s="223"/>
      <c r="Q350" s="223"/>
    </row>
    <row r="351" spans="16:17" ht="13.45" x14ac:dyDescent="0.25">
      <c r="P351" s="223"/>
      <c r="Q351" s="223"/>
    </row>
    <row r="352" spans="16:17" ht="13.45" x14ac:dyDescent="0.25">
      <c r="P352" s="223"/>
      <c r="Q352" s="223"/>
    </row>
    <row r="353" spans="16:17" ht="13.45" x14ac:dyDescent="0.25">
      <c r="P353" s="223"/>
      <c r="Q353" s="223"/>
    </row>
    <row r="354" spans="16:17" ht="13.45" x14ac:dyDescent="0.25">
      <c r="P354" s="223"/>
      <c r="Q354" s="223"/>
    </row>
    <row r="355" spans="16:17" ht="13.45" x14ac:dyDescent="0.25">
      <c r="P355" s="223"/>
      <c r="Q355" s="223"/>
    </row>
    <row r="356" spans="16:17" ht="13.45" x14ac:dyDescent="0.25">
      <c r="P356" s="223"/>
      <c r="Q356" s="223"/>
    </row>
    <row r="357" spans="16:17" ht="13.45" x14ac:dyDescent="0.25">
      <c r="P357" s="223"/>
      <c r="Q357" s="223"/>
    </row>
    <row r="358" spans="16:17" ht="13.45" x14ac:dyDescent="0.25">
      <c r="P358" s="223"/>
      <c r="Q358" s="223"/>
    </row>
    <row r="359" spans="16:17" ht="13.45" x14ac:dyDescent="0.25">
      <c r="P359" s="223"/>
      <c r="Q359" s="223"/>
    </row>
    <row r="360" spans="16:17" ht="13.45" x14ac:dyDescent="0.25">
      <c r="P360" s="223"/>
      <c r="Q360" s="223"/>
    </row>
    <row r="361" spans="16:17" ht="13.45" x14ac:dyDescent="0.25">
      <c r="P361" s="223"/>
      <c r="Q361" s="223"/>
    </row>
    <row r="362" spans="16:17" ht="13.45" x14ac:dyDescent="0.25">
      <c r="P362" s="223"/>
      <c r="Q362" s="223"/>
    </row>
    <row r="363" spans="16:17" ht="13.45" x14ac:dyDescent="0.25">
      <c r="P363" s="223"/>
      <c r="Q363" s="223"/>
    </row>
    <row r="364" spans="16:17" ht="13.45" x14ac:dyDescent="0.25">
      <c r="P364" s="223"/>
      <c r="Q364" s="223"/>
    </row>
    <row r="365" spans="16:17" ht="13.45" x14ac:dyDescent="0.25">
      <c r="P365" s="223"/>
      <c r="Q365" s="223"/>
    </row>
    <row r="366" spans="16:17" ht="13.45" x14ac:dyDescent="0.25">
      <c r="P366" s="223"/>
      <c r="Q366" s="223"/>
    </row>
    <row r="367" spans="16:17" ht="13.45" x14ac:dyDescent="0.25">
      <c r="P367" s="223"/>
      <c r="Q367" s="223"/>
    </row>
    <row r="368" spans="16:17" ht="13.45" x14ac:dyDescent="0.25">
      <c r="P368" s="223"/>
      <c r="Q368" s="223"/>
    </row>
    <row r="369" spans="16:17" ht="13.45" x14ac:dyDescent="0.25">
      <c r="P369" s="223"/>
      <c r="Q369" s="223"/>
    </row>
    <row r="370" spans="16:17" ht="13.45" x14ac:dyDescent="0.25">
      <c r="P370" s="223"/>
      <c r="Q370" s="223"/>
    </row>
    <row r="371" spans="16:17" ht="13.45" x14ac:dyDescent="0.25">
      <c r="P371" s="223"/>
      <c r="Q371" s="223"/>
    </row>
    <row r="372" spans="16:17" ht="13.45" x14ac:dyDescent="0.25">
      <c r="P372" s="223"/>
      <c r="Q372" s="223"/>
    </row>
    <row r="373" spans="16:17" ht="13.45" x14ac:dyDescent="0.25">
      <c r="P373" s="223"/>
      <c r="Q373" s="223"/>
    </row>
    <row r="374" spans="16:17" ht="13.45" x14ac:dyDescent="0.25">
      <c r="P374" s="223"/>
      <c r="Q374" s="223"/>
    </row>
    <row r="375" spans="16:17" ht="13.45" x14ac:dyDescent="0.25">
      <c r="P375" s="223"/>
      <c r="Q375" s="223"/>
    </row>
    <row r="376" spans="16:17" ht="13.45" x14ac:dyDescent="0.25">
      <c r="P376" s="223"/>
      <c r="Q376" s="223"/>
    </row>
    <row r="377" spans="16:17" ht="13.45" x14ac:dyDescent="0.25">
      <c r="P377" s="223"/>
      <c r="Q377" s="223"/>
    </row>
    <row r="378" spans="16:17" ht="13.45" x14ac:dyDescent="0.25">
      <c r="P378" s="223"/>
      <c r="Q378" s="223"/>
    </row>
    <row r="379" spans="16:17" ht="13.45" x14ac:dyDescent="0.25">
      <c r="P379" s="223"/>
      <c r="Q379" s="223"/>
    </row>
    <row r="380" spans="16:17" ht="13.45" x14ac:dyDescent="0.25">
      <c r="P380" s="223"/>
      <c r="Q380" s="223"/>
    </row>
    <row r="381" spans="16:17" ht="13.45" x14ac:dyDescent="0.25">
      <c r="P381" s="223"/>
      <c r="Q381" s="223"/>
    </row>
    <row r="382" spans="16:17" ht="13.45" x14ac:dyDescent="0.25">
      <c r="P382" s="223"/>
      <c r="Q382" s="223"/>
    </row>
    <row r="383" spans="16:17" ht="13.45" x14ac:dyDescent="0.25">
      <c r="P383" s="223"/>
      <c r="Q383" s="223"/>
    </row>
    <row r="384" spans="16:17" ht="13.45" x14ac:dyDescent="0.25">
      <c r="P384" s="223"/>
      <c r="Q384" s="223"/>
    </row>
    <row r="385" spans="16:17" ht="13.45" x14ac:dyDescent="0.25">
      <c r="P385" s="223"/>
      <c r="Q385" s="223"/>
    </row>
    <row r="386" spans="16:17" ht="13.45" x14ac:dyDescent="0.25">
      <c r="P386" s="223"/>
      <c r="Q386" s="223"/>
    </row>
    <row r="387" spans="16:17" ht="13.45" x14ac:dyDescent="0.25">
      <c r="P387" s="223"/>
      <c r="Q387" s="223"/>
    </row>
    <row r="388" spans="16:17" ht="13.45" x14ac:dyDescent="0.25">
      <c r="P388" s="223"/>
      <c r="Q388" s="223"/>
    </row>
    <row r="389" spans="16:17" ht="13.45" x14ac:dyDescent="0.25">
      <c r="P389" s="223"/>
      <c r="Q389" s="223"/>
    </row>
    <row r="390" spans="16:17" ht="13.45" x14ac:dyDescent="0.25">
      <c r="P390" s="223"/>
      <c r="Q390" s="223"/>
    </row>
    <row r="391" spans="16:17" ht="13.45" x14ac:dyDescent="0.25">
      <c r="P391" s="223"/>
      <c r="Q391" s="223"/>
    </row>
    <row r="392" spans="16:17" ht="13.45" x14ac:dyDescent="0.25">
      <c r="P392" s="223"/>
      <c r="Q392" s="223"/>
    </row>
    <row r="393" spans="16:17" ht="13.45" x14ac:dyDescent="0.25">
      <c r="P393" s="223"/>
      <c r="Q393" s="223"/>
    </row>
    <row r="394" spans="16:17" ht="13.45" x14ac:dyDescent="0.25">
      <c r="P394" s="223"/>
      <c r="Q394" s="223"/>
    </row>
    <row r="395" spans="16:17" ht="13.45" x14ac:dyDescent="0.25">
      <c r="P395" s="223"/>
      <c r="Q395" s="223"/>
    </row>
    <row r="396" spans="16:17" ht="13.45" x14ac:dyDescent="0.25">
      <c r="P396" s="223"/>
      <c r="Q396" s="223"/>
    </row>
    <row r="397" spans="16:17" ht="13.45" x14ac:dyDescent="0.25">
      <c r="P397" s="223"/>
      <c r="Q397" s="223"/>
    </row>
    <row r="398" spans="16:17" ht="13.45" x14ac:dyDescent="0.25">
      <c r="P398" s="223"/>
      <c r="Q398" s="223"/>
    </row>
    <row r="399" spans="16:17" ht="13.45" x14ac:dyDescent="0.25">
      <c r="P399" s="223"/>
      <c r="Q399" s="223"/>
    </row>
    <row r="400" spans="16:17" ht="13.45" x14ac:dyDescent="0.25">
      <c r="P400" s="223"/>
      <c r="Q400" s="223"/>
    </row>
    <row r="401" spans="16:17" ht="13.45" x14ac:dyDescent="0.25">
      <c r="P401" s="223"/>
      <c r="Q401" s="223"/>
    </row>
    <row r="402" spans="16:17" ht="13.45" x14ac:dyDescent="0.25">
      <c r="P402" s="223"/>
      <c r="Q402" s="223"/>
    </row>
    <row r="403" spans="16:17" ht="13.45" x14ac:dyDescent="0.25">
      <c r="P403" s="223"/>
      <c r="Q403" s="223"/>
    </row>
    <row r="404" spans="16:17" ht="13.45" x14ac:dyDescent="0.25">
      <c r="P404" s="223"/>
      <c r="Q404" s="223"/>
    </row>
    <row r="405" spans="16:17" ht="13.45" x14ac:dyDescent="0.25">
      <c r="P405" s="223"/>
      <c r="Q405" s="223"/>
    </row>
    <row r="406" spans="16:17" ht="13.45" x14ac:dyDescent="0.25">
      <c r="P406" s="223"/>
      <c r="Q406" s="223"/>
    </row>
    <row r="407" spans="16:17" ht="13.45" x14ac:dyDescent="0.25">
      <c r="P407" s="223"/>
      <c r="Q407" s="223"/>
    </row>
    <row r="408" spans="16:17" ht="13.45" x14ac:dyDescent="0.25">
      <c r="P408" s="223"/>
      <c r="Q408" s="223"/>
    </row>
    <row r="409" spans="16:17" ht="13.45" x14ac:dyDescent="0.25">
      <c r="P409" s="223"/>
      <c r="Q409" s="223"/>
    </row>
    <row r="410" spans="16:17" ht="13.45" x14ac:dyDescent="0.25">
      <c r="P410" s="223"/>
      <c r="Q410" s="223"/>
    </row>
    <row r="411" spans="16:17" ht="13.45" x14ac:dyDescent="0.25">
      <c r="P411" s="223"/>
      <c r="Q411" s="223"/>
    </row>
    <row r="412" spans="16:17" ht="13.45" x14ac:dyDescent="0.25">
      <c r="P412" s="223"/>
      <c r="Q412" s="223"/>
    </row>
    <row r="413" spans="16:17" ht="13.45" x14ac:dyDescent="0.25">
      <c r="P413" s="223"/>
      <c r="Q413" s="223"/>
    </row>
    <row r="414" spans="16:17" ht="13.45" x14ac:dyDescent="0.25">
      <c r="P414" s="223"/>
      <c r="Q414" s="223"/>
    </row>
    <row r="415" spans="16:17" ht="13.45" x14ac:dyDescent="0.25">
      <c r="P415" s="223"/>
      <c r="Q415" s="223"/>
    </row>
    <row r="416" spans="16:17" ht="13.45" x14ac:dyDescent="0.25">
      <c r="P416" s="223"/>
      <c r="Q416" s="223"/>
    </row>
    <row r="417" spans="16:17" ht="13.45" x14ac:dyDescent="0.25">
      <c r="P417" s="223"/>
      <c r="Q417" s="223"/>
    </row>
    <row r="418" spans="16:17" ht="13.45" x14ac:dyDescent="0.25">
      <c r="P418" s="223"/>
      <c r="Q418" s="223"/>
    </row>
    <row r="419" spans="16:17" ht="13.45" x14ac:dyDescent="0.25">
      <c r="P419" s="223"/>
      <c r="Q419" s="223"/>
    </row>
    <row r="420" spans="16:17" ht="13.45" x14ac:dyDescent="0.25">
      <c r="P420" s="223"/>
      <c r="Q420" s="223"/>
    </row>
    <row r="421" spans="16:17" ht="13.45" x14ac:dyDescent="0.25">
      <c r="P421" s="223"/>
      <c r="Q421" s="223"/>
    </row>
    <row r="422" spans="16:17" ht="13.45" x14ac:dyDescent="0.25">
      <c r="P422" s="223"/>
      <c r="Q422" s="223"/>
    </row>
    <row r="423" spans="16:17" ht="13.45" x14ac:dyDescent="0.25">
      <c r="P423" s="223"/>
      <c r="Q423" s="223"/>
    </row>
    <row r="424" spans="16:17" ht="13.45" x14ac:dyDescent="0.25">
      <c r="P424" s="223"/>
      <c r="Q424" s="223"/>
    </row>
    <row r="425" spans="16:17" ht="13.45" x14ac:dyDescent="0.25">
      <c r="P425" s="223"/>
      <c r="Q425" s="223"/>
    </row>
    <row r="426" spans="16:17" ht="13.45" x14ac:dyDescent="0.25">
      <c r="P426" s="223"/>
      <c r="Q426" s="223"/>
    </row>
    <row r="427" spans="16:17" ht="13.45" x14ac:dyDescent="0.25">
      <c r="P427" s="223"/>
      <c r="Q427" s="223"/>
    </row>
    <row r="428" spans="16:17" ht="13.45" x14ac:dyDescent="0.25">
      <c r="P428" s="223"/>
      <c r="Q428" s="223"/>
    </row>
    <row r="429" spans="16:17" ht="13.45" x14ac:dyDescent="0.25">
      <c r="P429" s="223"/>
      <c r="Q429" s="223"/>
    </row>
    <row r="430" spans="16:17" ht="13.45" x14ac:dyDescent="0.25">
      <c r="P430" s="223"/>
      <c r="Q430" s="223"/>
    </row>
    <row r="431" spans="16:17" ht="13.45" x14ac:dyDescent="0.25">
      <c r="P431" s="223"/>
      <c r="Q431" s="223"/>
    </row>
    <row r="432" spans="16:17" ht="13.45" x14ac:dyDescent="0.25">
      <c r="P432" s="223"/>
      <c r="Q432" s="223"/>
    </row>
    <row r="433" spans="16:17" ht="13.45" x14ac:dyDescent="0.25">
      <c r="P433" s="223"/>
      <c r="Q433" s="223"/>
    </row>
    <row r="434" spans="16:17" ht="13.45" x14ac:dyDescent="0.25">
      <c r="P434" s="223"/>
      <c r="Q434" s="223"/>
    </row>
    <row r="435" spans="16:17" ht="13.45" x14ac:dyDescent="0.25">
      <c r="P435" s="223"/>
      <c r="Q435" s="223"/>
    </row>
    <row r="436" spans="16:17" ht="13.45" x14ac:dyDescent="0.25">
      <c r="P436" s="223"/>
      <c r="Q436" s="223"/>
    </row>
    <row r="437" spans="16:17" ht="13.45" x14ac:dyDescent="0.25">
      <c r="P437" s="223"/>
      <c r="Q437" s="223"/>
    </row>
    <row r="438" spans="16:17" ht="13.45" x14ac:dyDescent="0.25">
      <c r="P438" s="223"/>
      <c r="Q438" s="223"/>
    </row>
    <row r="439" spans="16:17" ht="13.45" x14ac:dyDescent="0.25">
      <c r="P439" s="223"/>
      <c r="Q439" s="223"/>
    </row>
    <row r="440" spans="16:17" ht="13.45" x14ac:dyDescent="0.25">
      <c r="P440" s="223"/>
      <c r="Q440" s="223"/>
    </row>
    <row r="441" spans="16:17" ht="13.45" x14ac:dyDescent="0.25">
      <c r="P441" s="223"/>
      <c r="Q441" s="223"/>
    </row>
    <row r="442" spans="16:17" ht="13.45" x14ac:dyDescent="0.25">
      <c r="P442" s="223"/>
      <c r="Q442" s="223"/>
    </row>
    <row r="443" spans="16:17" ht="13.45" x14ac:dyDescent="0.25">
      <c r="P443" s="223"/>
      <c r="Q443" s="223"/>
    </row>
    <row r="444" spans="16:17" ht="13.45" x14ac:dyDescent="0.25">
      <c r="P444" s="223"/>
      <c r="Q444" s="223"/>
    </row>
    <row r="445" spans="16:17" ht="13.45" x14ac:dyDescent="0.25">
      <c r="P445" s="223"/>
      <c r="Q445" s="223"/>
    </row>
    <row r="446" spans="16:17" ht="13.45" x14ac:dyDescent="0.25">
      <c r="P446" s="223"/>
      <c r="Q446" s="223"/>
    </row>
    <row r="447" spans="16:17" ht="13.45" x14ac:dyDescent="0.25">
      <c r="P447" s="223"/>
      <c r="Q447" s="223"/>
    </row>
    <row r="448" spans="16:17" ht="13.45" x14ac:dyDescent="0.25">
      <c r="P448" s="223"/>
      <c r="Q448" s="223"/>
    </row>
    <row r="449" spans="16:17" ht="13.45" x14ac:dyDescent="0.25">
      <c r="P449" s="223"/>
      <c r="Q449" s="223"/>
    </row>
    <row r="450" spans="16:17" ht="13.45" x14ac:dyDescent="0.25">
      <c r="P450" s="223"/>
      <c r="Q450" s="223"/>
    </row>
    <row r="451" spans="16:17" ht="13.45" x14ac:dyDescent="0.25">
      <c r="P451" s="223"/>
      <c r="Q451" s="223"/>
    </row>
    <row r="452" spans="16:17" ht="13.45" x14ac:dyDescent="0.25">
      <c r="P452" s="223"/>
      <c r="Q452" s="223"/>
    </row>
    <row r="453" spans="16:17" ht="13.45" x14ac:dyDescent="0.25">
      <c r="P453" s="223"/>
      <c r="Q453" s="223"/>
    </row>
    <row r="454" spans="16:17" ht="13.45" x14ac:dyDescent="0.25">
      <c r="P454" s="223"/>
      <c r="Q454" s="223"/>
    </row>
    <row r="455" spans="16:17" ht="13.45" x14ac:dyDescent="0.25">
      <c r="P455" s="223"/>
      <c r="Q455" s="223"/>
    </row>
    <row r="456" spans="16:17" ht="13.45" x14ac:dyDescent="0.25">
      <c r="P456" s="223"/>
      <c r="Q456" s="223"/>
    </row>
    <row r="457" spans="16:17" ht="13.45" x14ac:dyDescent="0.25">
      <c r="P457" s="223"/>
      <c r="Q457" s="223"/>
    </row>
    <row r="458" spans="16:17" ht="13.45" x14ac:dyDescent="0.25">
      <c r="P458" s="223"/>
      <c r="Q458" s="223"/>
    </row>
    <row r="459" spans="16:17" ht="13.45" x14ac:dyDescent="0.25">
      <c r="P459" s="223"/>
      <c r="Q459" s="223"/>
    </row>
    <row r="460" spans="16:17" ht="13.45" x14ac:dyDescent="0.25">
      <c r="P460" s="223"/>
      <c r="Q460" s="223"/>
    </row>
    <row r="461" spans="16:17" ht="13.45" x14ac:dyDescent="0.25">
      <c r="P461" s="223"/>
      <c r="Q461" s="223"/>
    </row>
    <row r="462" spans="16:17" ht="13.45" x14ac:dyDescent="0.25">
      <c r="P462" s="223"/>
      <c r="Q462" s="223"/>
    </row>
    <row r="463" spans="16:17" ht="13.45" x14ac:dyDescent="0.25">
      <c r="P463" s="223"/>
      <c r="Q463" s="223"/>
    </row>
    <row r="464" spans="16:17" ht="13.45" x14ac:dyDescent="0.25">
      <c r="P464" s="223"/>
      <c r="Q464" s="223"/>
    </row>
    <row r="465" spans="16:17" ht="13.45" x14ac:dyDescent="0.25">
      <c r="P465" s="223"/>
      <c r="Q465" s="223"/>
    </row>
    <row r="466" spans="16:17" ht="13.45" x14ac:dyDescent="0.25">
      <c r="P466" s="223"/>
      <c r="Q466" s="223"/>
    </row>
    <row r="467" spans="16:17" ht="13.45" x14ac:dyDescent="0.25">
      <c r="P467" s="223"/>
      <c r="Q467" s="223"/>
    </row>
    <row r="468" spans="16:17" ht="13.45" x14ac:dyDescent="0.25">
      <c r="P468" s="223"/>
      <c r="Q468" s="223"/>
    </row>
    <row r="469" spans="16:17" ht="13.45" x14ac:dyDescent="0.25">
      <c r="P469" s="223"/>
      <c r="Q469" s="223"/>
    </row>
    <row r="470" spans="16:17" ht="13.45" x14ac:dyDescent="0.25">
      <c r="P470" s="223"/>
      <c r="Q470" s="223"/>
    </row>
    <row r="471" spans="16:17" ht="13.45" x14ac:dyDescent="0.25">
      <c r="P471" s="223"/>
      <c r="Q471" s="223"/>
    </row>
    <row r="472" spans="16:17" ht="13.45" x14ac:dyDescent="0.25">
      <c r="P472" s="223"/>
      <c r="Q472" s="223"/>
    </row>
    <row r="473" spans="16:17" ht="13.45" x14ac:dyDescent="0.25">
      <c r="P473" s="223"/>
      <c r="Q473" s="223"/>
    </row>
    <row r="474" spans="16:17" ht="13.45" x14ac:dyDescent="0.25">
      <c r="P474" s="223"/>
      <c r="Q474" s="223"/>
    </row>
    <row r="475" spans="16:17" ht="13.45" x14ac:dyDescent="0.25">
      <c r="P475" s="223"/>
      <c r="Q475" s="223"/>
    </row>
    <row r="476" spans="16:17" ht="13.45" x14ac:dyDescent="0.25">
      <c r="P476" s="223"/>
      <c r="Q476" s="223"/>
    </row>
    <row r="477" spans="16:17" ht="13.45" x14ac:dyDescent="0.25">
      <c r="P477" s="223"/>
      <c r="Q477" s="223"/>
    </row>
    <row r="478" spans="16:17" ht="13.45" x14ac:dyDescent="0.25">
      <c r="P478" s="223"/>
      <c r="Q478" s="223"/>
    </row>
    <row r="479" spans="16:17" ht="13.45" x14ac:dyDescent="0.25">
      <c r="P479" s="223"/>
      <c r="Q479" s="223"/>
    </row>
    <row r="480" spans="16:17" ht="13.45" x14ac:dyDescent="0.25">
      <c r="P480" s="223"/>
      <c r="Q480" s="223"/>
    </row>
    <row r="481" spans="16:17" ht="13.45" x14ac:dyDescent="0.25">
      <c r="P481" s="223"/>
      <c r="Q481" s="223"/>
    </row>
    <row r="482" spans="16:17" ht="13.45" x14ac:dyDescent="0.25">
      <c r="P482" s="223"/>
      <c r="Q482" s="223"/>
    </row>
    <row r="483" spans="16:17" ht="13.45" x14ac:dyDescent="0.25">
      <c r="P483" s="223"/>
      <c r="Q483" s="223"/>
    </row>
    <row r="484" spans="16:17" ht="13.45" x14ac:dyDescent="0.25">
      <c r="P484" s="223"/>
      <c r="Q484" s="223"/>
    </row>
    <row r="485" spans="16:17" ht="13.45" x14ac:dyDescent="0.25">
      <c r="P485" s="223"/>
      <c r="Q485" s="223"/>
    </row>
    <row r="486" spans="16:17" ht="13.45" x14ac:dyDescent="0.25">
      <c r="P486" s="223"/>
      <c r="Q486" s="223"/>
    </row>
    <row r="487" spans="16:17" ht="13.45" x14ac:dyDescent="0.25">
      <c r="P487" s="223"/>
      <c r="Q487" s="223"/>
    </row>
    <row r="488" spans="16:17" ht="13.45" x14ac:dyDescent="0.25">
      <c r="P488" s="223"/>
      <c r="Q488" s="223"/>
    </row>
    <row r="489" spans="16:17" ht="13.45" x14ac:dyDescent="0.25">
      <c r="P489" s="223"/>
      <c r="Q489" s="223"/>
    </row>
    <row r="490" spans="16:17" ht="13.45" x14ac:dyDescent="0.25">
      <c r="P490" s="223"/>
      <c r="Q490" s="223"/>
    </row>
    <row r="491" spans="16:17" ht="13.45" x14ac:dyDescent="0.25">
      <c r="P491" s="223"/>
      <c r="Q491" s="223"/>
    </row>
    <row r="492" spans="16:17" ht="13.45" x14ac:dyDescent="0.25">
      <c r="P492" s="223"/>
      <c r="Q492" s="223"/>
    </row>
    <row r="493" spans="16:17" ht="13.45" x14ac:dyDescent="0.25">
      <c r="P493" s="223"/>
      <c r="Q493" s="223"/>
    </row>
    <row r="494" spans="16:17" ht="13.45" x14ac:dyDescent="0.25">
      <c r="P494" s="223"/>
      <c r="Q494" s="223"/>
    </row>
    <row r="495" spans="16:17" ht="13.45" x14ac:dyDescent="0.25">
      <c r="P495" s="223"/>
      <c r="Q495" s="223"/>
    </row>
    <row r="496" spans="16:17" ht="13.45" x14ac:dyDescent="0.25">
      <c r="P496" s="223"/>
      <c r="Q496" s="223"/>
    </row>
    <row r="497" spans="16:17" ht="13.45" x14ac:dyDescent="0.25">
      <c r="P497" s="223"/>
      <c r="Q497" s="223"/>
    </row>
    <row r="498" spans="16:17" ht="13.45" x14ac:dyDescent="0.25">
      <c r="P498" s="223"/>
      <c r="Q498" s="223"/>
    </row>
    <row r="499" spans="16:17" ht="13.45" x14ac:dyDescent="0.25">
      <c r="P499" s="223"/>
      <c r="Q499" s="223"/>
    </row>
    <row r="500" spans="16:17" ht="13.45" x14ac:dyDescent="0.25">
      <c r="P500" s="223"/>
      <c r="Q500" s="223"/>
    </row>
    <row r="501" spans="16:17" ht="13.45" x14ac:dyDescent="0.25">
      <c r="P501" s="223"/>
      <c r="Q501" s="223"/>
    </row>
    <row r="502" spans="16:17" ht="13.45" x14ac:dyDescent="0.25">
      <c r="P502" s="223"/>
      <c r="Q502" s="223"/>
    </row>
    <row r="503" spans="16:17" ht="13.45" x14ac:dyDescent="0.25">
      <c r="P503" s="223"/>
      <c r="Q503" s="223"/>
    </row>
    <row r="504" spans="16:17" ht="13.45" x14ac:dyDescent="0.25">
      <c r="P504" s="223"/>
      <c r="Q504" s="223"/>
    </row>
    <row r="505" spans="16:17" ht="13.45" x14ac:dyDescent="0.25">
      <c r="P505" s="223"/>
      <c r="Q505" s="223"/>
    </row>
    <row r="506" spans="16:17" ht="13.45" x14ac:dyDescent="0.25">
      <c r="P506" s="223"/>
      <c r="Q506" s="223"/>
    </row>
    <row r="507" spans="16:17" ht="13.45" x14ac:dyDescent="0.25">
      <c r="P507" s="223"/>
      <c r="Q507" s="223"/>
    </row>
    <row r="508" spans="16:17" ht="13.45" x14ac:dyDescent="0.25">
      <c r="P508" s="223"/>
      <c r="Q508" s="223"/>
    </row>
    <row r="509" spans="16:17" ht="13.45" x14ac:dyDescent="0.25">
      <c r="P509" s="223"/>
      <c r="Q509" s="223"/>
    </row>
    <row r="510" spans="16:17" ht="13.45" x14ac:dyDescent="0.25">
      <c r="P510" s="223"/>
      <c r="Q510" s="223"/>
    </row>
    <row r="511" spans="16:17" ht="13.45" x14ac:dyDescent="0.25">
      <c r="P511" s="223"/>
      <c r="Q511" s="223"/>
    </row>
    <row r="512" spans="16:17" ht="13.45" x14ac:dyDescent="0.25">
      <c r="P512" s="223"/>
      <c r="Q512" s="223"/>
    </row>
    <row r="513" spans="16:17" ht="13.45" x14ac:dyDescent="0.25">
      <c r="P513" s="223"/>
      <c r="Q513" s="223"/>
    </row>
    <row r="514" spans="16:17" ht="13.45" x14ac:dyDescent="0.25">
      <c r="P514" s="223"/>
      <c r="Q514" s="223"/>
    </row>
    <row r="515" spans="16:17" ht="13.45" x14ac:dyDescent="0.25">
      <c r="P515" s="223"/>
      <c r="Q515" s="223"/>
    </row>
    <row r="516" spans="16:17" ht="13.45" x14ac:dyDescent="0.25">
      <c r="P516" s="223"/>
      <c r="Q516" s="223"/>
    </row>
    <row r="517" spans="16:17" ht="13.45" x14ac:dyDescent="0.25">
      <c r="P517" s="223"/>
      <c r="Q517" s="223"/>
    </row>
    <row r="518" spans="16:17" ht="13.45" x14ac:dyDescent="0.25">
      <c r="P518" s="223"/>
      <c r="Q518" s="223"/>
    </row>
    <row r="519" spans="16:17" ht="13.45" x14ac:dyDescent="0.25">
      <c r="P519" s="223"/>
      <c r="Q519" s="223"/>
    </row>
    <row r="520" spans="16:17" ht="13.45" x14ac:dyDescent="0.25">
      <c r="P520" s="223"/>
      <c r="Q520" s="223"/>
    </row>
    <row r="521" spans="16:17" ht="13.45" x14ac:dyDescent="0.25">
      <c r="P521" s="223"/>
      <c r="Q521" s="223"/>
    </row>
    <row r="522" spans="16:17" ht="13.45" x14ac:dyDescent="0.25">
      <c r="P522" s="223"/>
      <c r="Q522" s="223"/>
    </row>
    <row r="523" spans="16:17" ht="13.45" x14ac:dyDescent="0.25">
      <c r="P523" s="223"/>
      <c r="Q523" s="223"/>
    </row>
    <row r="524" spans="16:17" ht="13.45" x14ac:dyDescent="0.25">
      <c r="P524" s="223"/>
      <c r="Q524" s="223"/>
    </row>
    <row r="525" spans="16:17" ht="13.45" x14ac:dyDescent="0.25">
      <c r="P525" s="223"/>
      <c r="Q525" s="223"/>
    </row>
    <row r="526" spans="16:17" ht="13.45" x14ac:dyDescent="0.25">
      <c r="P526" s="223"/>
      <c r="Q526" s="223"/>
    </row>
    <row r="527" spans="16:17" ht="13.45" x14ac:dyDescent="0.25">
      <c r="P527" s="223"/>
      <c r="Q527" s="223"/>
    </row>
    <row r="528" spans="16:17" ht="13.45" x14ac:dyDescent="0.25">
      <c r="P528" s="223"/>
      <c r="Q528" s="223"/>
    </row>
    <row r="529" spans="16:17" ht="13.45" x14ac:dyDescent="0.25">
      <c r="P529" s="223"/>
      <c r="Q529" s="223"/>
    </row>
    <row r="530" spans="16:17" ht="13.45" x14ac:dyDescent="0.25">
      <c r="P530" s="223"/>
      <c r="Q530" s="223"/>
    </row>
    <row r="531" spans="16:17" ht="13.45" x14ac:dyDescent="0.25">
      <c r="P531" s="223"/>
      <c r="Q531" s="223"/>
    </row>
    <row r="532" spans="16:17" ht="13.45" x14ac:dyDescent="0.25">
      <c r="P532" s="223"/>
      <c r="Q532" s="223"/>
    </row>
    <row r="533" spans="16:17" ht="13.45" x14ac:dyDescent="0.25">
      <c r="P533" s="223"/>
      <c r="Q533" s="223"/>
    </row>
    <row r="534" spans="16:17" ht="13.45" x14ac:dyDescent="0.25">
      <c r="P534" s="223"/>
      <c r="Q534" s="223"/>
    </row>
    <row r="535" spans="16:17" ht="13.45" x14ac:dyDescent="0.25">
      <c r="P535" s="223"/>
      <c r="Q535" s="223"/>
    </row>
    <row r="536" spans="16:17" ht="13.45" x14ac:dyDescent="0.25">
      <c r="P536" s="223"/>
      <c r="Q536" s="223"/>
    </row>
    <row r="537" spans="16:17" ht="13.45" x14ac:dyDescent="0.25">
      <c r="P537" s="223"/>
      <c r="Q537" s="223"/>
    </row>
    <row r="538" spans="16:17" ht="13.45" x14ac:dyDescent="0.25">
      <c r="P538" s="223"/>
      <c r="Q538" s="223"/>
    </row>
    <row r="539" spans="16:17" ht="13.45" x14ac:dyDescent="0.25">
      <c r="P539" s="223"/>
      <c r="Q539" s="223"/>
    </row>
    <row r="540" spans="16:17" ht="13.45" x14ac:dyDescent="0.25">
      <c r="P540" s="223"/>
      <c r="Q540" s="223"/>
    </row>
    <row r="541" spans="16:17" ht="13.45" x14ac:dyDescent="0.25">
      <c r="P541" s="223"/>
      <c r="Q541" s="223"/>
    </row>
    <row r="542" spans="16:17" ht="13.45" x14ac:dyDescent="0.25">
      <c r="P542" s="223"/>
      <c r="Q542" s="223"/>
    </row>
    <row r="543" spans="16:17" ht="13.45" x14ac:dyDescent="0.25">
      <c r="P543" s="223"/>
      <c r="Q543" s="223"/>
    </row>
    <row r="544" spans="16:17" ht="13.45" x14ac:dyDescent="0.25">
      <c r="P544" s="223"/>
      <c r="Q544" s="223"/>
    </row>
    <row r="545" spans="16:17" ht="13.45" x14ac:dyDescent="0.25">
      <c r="P545" s="223"/>
      <c r="Q545" s="223"/>
    </row>
    <row r="546" spans="16:17" ht="13.45" x14ac:dyDescent="0.25">
      <c r="P546" s="223"/>
      <c r="Q546" s="223"/>
    </row>
    <row r="547" spans="16:17" ht="13.45" x14ac:dyDescent="0.25">
      <c r="P547" s="223"/>
      <c r="Q547" s="223"/>
    </row>
    <row r="548" spans="16:17" ht="13.45" x14ac:dyDescent="0.25">
      <c r="P548" s="223"/>
      <c r="Q548" s="223"/>
    </row>
    <row r="549" spans="16:17" ht="13.45" x14ac:dyDescent="0.25">
      <c r="P549" s="223"/>
      <c r="Q549" s="223"/>
    </row>
    <row r="550" spans="16:17" ht="13.45" x14ac:dyDescent="0.25">
      <c r="P550" s="223"/>
      <c r="Q550" s="223"/>
    </row>
    <row r="551" spans="16:17" ht="13.45" x14ac:dyDescent="0.25">
      <c r="P551" s="223"/>
      <c r="Q551" s="223"/>
    </row>
    <row r="552" spans="16:17" ht="13.45" x14ac:dyDescent="0.25">
      <c r="P552" s="223"/>
      <c r="Q552" s="223"/>
    </row>
    <row r="553" spans="16:17" ht="13.45" x14ac:dyDescent="0.25">
      <c r="P553" s="223"/>
      <c r="Q553" s="223"/>
    </row>
    <row r="554" spans="16:17" ht="13.45" x14ac:dyDescent="0.25">
      <c r="P554" s="223"/>
      <c r="Q554" s="223"/>
    </row>
    <row r="555" spans="16:17" ht="13.45" x14ac:dyDescent="0.25">
      <c r="P555" s="223"/>
      <c r="Q555" s="223"/>
    </row>
    <row r="556" spans="16:17" ht="13.45" x14ac:dyDescent="0.25">
      <c r="P556" s="223"/>
      <c r="Q556" s="223"/>
    </row>
    <row r="557" spans="16:17" ht="13.45" x14ac:dyDescent="0.25">
      <c r="P557" s="223"/>
      <c r="Q557" s="223"/>
    </row>
    <row r="558" spans="16:17" ht="13.45" x14ac:dyDescent="0.25">
      <c r="P558" s="223"/>
      <c r="Q558" s="223"/>
    </row>
    <row r="559" spans="16:17" ht="13.45" x14ac:dyDescent="0.25">
      <c r="P559" s="223"/>
      <c r="Q559" s="223"/>
    </row>
    <row r="560" spans="16:17" ht="13.45" x14ac:dyDescent="0.25">
      <c r="P560" s="223"/>
      <c r="Q560" s="223"/>
    </row>
    <row r="561" spans="16:17" ht="13.45" x14ac:dyDescent="0.25">
      <c r="P561" s="223"/>
      <c r="Q561" s="223"/>
    </row>
    <row r="562" spans="16:17" ht="13.45" x14ac:dyDescent="0.25">
      <c r="P562" s="223"/>
      <c r="Q562" s="223"/>
    </row>
    <row r="563" spans="16:17" ht="13.45" x14ac:dyDescent="0.25">
      <c r="P563" s="223"/>
      <c r="Q563" s="223"/>
    </row>
    <row r="564" spans="16:17" ht="13.45" x14ac:dyDescent="0.25">
      <c r="P564" s="223"/>
      <c r="Q564" s="223"/>
    </row>
    <row r="565" spans="16:17" ht="13.45" x14ac:dyDescent="0.25">
      <c r="P565" s="223"/>
      <c r="Q565" s="223"/>
    </row>
    <row r="566" spans="16:17" ht="13.45" x14ac:dyDescent="0.25">
      <c r="P566" s="223"/>
      <c r="Q566" s="223"/>
    </row>
    <row r="567" spans="16:17" ht="13.45" x14ac:dyDescent="0.25">
      <c r="P567" s="223"/>
      <c r="Q567" s="223"/>
    </row>
    <row r="568" spans="16:17" ht="13.45" x14ac:dyDescent="0.25">
      <c r="P568" s="223"/>
      <c r="Q568" s="223"/>
    </row>
    <row r="569" spans="16:17" ht="13.45" x14ac:dyDescent="0.25">
      <c r="P569" s="223"/>
      <c r="Q569" s="223"/>
    </row>
    <row r="570" spans="16:17" ht="13.45" x14ac:dyDescent="0.25">
      <c r="P570" s="223"/>
      <c r="Q570" s="223"/>
    </row>
    <row r="571" spans="16:17" ht="13.45" x14ac:dyDescent="0.25">
      <c r="P571" s="223"/>
      <c r="Q571" s="223"/>
    </row>
    <row r="572" spans="16:17" ht="13.45" x14ac:dyDescent="0.25">
      <c r="P572" s="223"/>
      <c r="Q572" s="223"/>
    </row>
    <row r="573" spans="16:17" ht="13.45" x14ac:dyDescent="0.25">
      <c r="P573" s="223"/>
      <c r="Q573" s="223"/>
    </row>
    <row r="574" spans="16:17" ht="13.45" x14ac:dyDescent="0.25">
      <c r="P574" s="223"/>
      <c r="Q574" s="223"/>
    </row>
    <row r="575" spans="16:17" ht="13.45" x14ac:dyDescent="0.25">
      <c r="P575" s="223"/>
      <c r="Q575" s="223"/>
    </row>
    <row r="576" spans="16:17" ht="13.45" x14ac:dyDescent="0.25">
      <c r="P576" s="223"/>
      <c r="Q576" s="223"/>
    </row>
    <row r="577" spans="16:17" ht="13.45" x14ac:dyDescent="0.25">
      <c r="P577" s="223"/>
      <c r="Q577" s="223"/>
    </row>
    <row r="578" spans="16:17" ht="13.45" x14ac:dyDescent="0.25">
      <c r="P578" s="223"/>
      <c r="Q578" s="223"/>
    </row>
    <row r="579" spans="16:17" ht="13.45" x14ac:dyDescent="0.25">
      <c r="P579" s="223"/>
      <c r="Q579" s="223"/>
    </row>
    <row r="580" spans="16:17" ht="13.45" x14ac:dyDescent="0.25">
      <c r="P580" s="223"/>
      <c r="Q580" s="223"/>
    </row>
    <row r="581" spans="16:17" ht="13.45" x14ac:dyDescent="0.25">
      <c r="P581" s="223"/>
      <c r="Q581" s="223"/>
    </row>
    <row r="582" spans="16:17" ht="13.45" x14ac:dyDescent="0.25">
      <c r="P582" s="223"/>
      <c r="Q582" s="223"/>
    </row>
    <row r="583" spans="16:17" ht="13.45" x14ac:dyDescent="0.25">
      <c r="P583" s="223"/>
      <c r="Q583" s="223"/>
    </row>
    <row r="584" spans="16:17" ht="13.45" x14ac:dyDescent="0.25">
      <c r="P584" s="223"/>
      <c r="Q584" s="223"/>
    </row>
    <row r="585" spans="16:17" ht="13.45" x14ac:dyDescent="0.25">
      <c r="P585" s="223"/>
      <c r="Q585" s="223"/>
    </row>
    <row r="586" spans="16:17" ht="13.45" x14ac:dyDescent="0.25">
      <c r="P586" s="223"/>
      <c r="Q586" s="223"/>
    </row>
    <row r="587" spans="16:17" ht="13.45" x14ac:dyDescent="0.25">
      <c r="P587" s="223"/>
      <c r="Q587" s="223"/>
    </row>
    <row r="588" spans="16:17" ht="13.45" x14ac:dyDescent="0.25">
      <c r="P588" s="223"/>
      <c r="Q588" s="223"/>
    </row>
    <row r="589" spans="16:17" ht="13.45" x14ac:dyDescent="0.25">
      <c r="P589" s="223"/>
      <c r="Q589" s="223"/>
    </row>
    <row r="590" spans="16:17" ht="13.45" x14ac:dyDescent="0.25">
      <c r="P590" s="223"/>
      <c r="Q590" s="223"/>
    </row>
    <row r="591" spans="16:17" ht="13.45" x14ac:dyDescent="0.25">
      <c r="P591" s="223"/>
      <c r="Q591" s="223"/>
    </row>
    <row r="592" spans="16:17" ht="13.45" x14ac:dyDescent="0.25">
      <c r="P592" s="223"/>
      <c r="Q592" s="223"/>
    </row>
    <row r="593" spans="16:17" ht="13.45" x14ac:dyDescent="0.25">
      <c r="P593" s="223"/>
      <c r="Q593" s="223"/>
    </row>
    <row r="594" spans="16:17" ht="13.45" x14ac:dyDescent="0.25">
      <c r="P594" s="223"/>
      <c r="Q594" s="223"/>
    </row>
    <row r="595" spans="16:17" ht="13.45" x14ac:dyDescent="0.25">
      <c r="P595" s="223"/>
      <c r="Q595" s="223"/>
    </row>
    <row r="596" spans="16:17" ht="13.45" x14ac:dyDescent="0.25">
      <c r="P596" s="223"/>
      <c r="Q596" s="223"/>
    </row>
    <row r="597" spans="16:17" ht="13.45" x14ac:dyDescent="0.25">
      <c r="P597" s="223"/>
      <c r="Q597" s="223"/>
    </row>
    <row r="598" spans="16:17" ht="13.45" x14ac:dyDescent="0.25">
      <c r="P598" s="223"/>
      <c r="Q598" s="223"/>
    </row>
    <row r="599" spans="16:17" ht="13.45" x14ac:dyDescent="0.25">
      <c r="P599" s="223"/>
      <c r="Q599" s="223"/>
    </row>
    <row r="600" spans="16:17" ht="13.45" x14ac:dyDescent="0.25">
      <c r="P600" s="223"/>
      <c r="Q600" s="223"/>
    </row>
    <row r="601" spans="16:17" ht="13.45" x14ac:dyDescent="0.25">
      <c r="P601" s="223"/>
      <c r="Q601" s="223"/>
    </row>
    <row r="602" spans="16:17" ht="13.45" x14ac:dyDescent="0.25">
      <c r="P602" s="223"/>
      <c r="Q602" s="223"/>
    </row>
    <row r="603" spans="16:17" ht="13.45" x14ac:dyDescent="0.25">
      <c r="P603" s="223"/>
      <c r="Q603" s="223"/>
    </row>
    <row r="604" spans="16:17" ht="13.45" x14ac:dyDescent="0.25">
      <c r="P604" s="223"/>
      <c r="Q604" s="223"/>
    </row>
    <row r="605" spans="16:17" ht="13.45" x14ac:dyDescent="0.25">
      <c r="P605" s="223"/>
      <c r="Q605" s="223"/>
    </row>
    <row r="606" spans="16:17" ht="13.45" x14ac:dyDescent="0.25">
      <c r="P606" s="223"/>
      <c r="Q606" s="223"/>
    </row>
    <row r="607" spans="16:17" ht="13.45" x14ac:dyDescent="0.25">
      <c r="P607" s="223"/>
      <c r="Q607" s="223"/>
    </row>
    <row r="608" spans="16:17" ht="13.45" x14ac:dyDescent="0.25">
      <c r="P608" s="223"/>
      <c r="Q608" s="223"/>
    </row>
    <row r="609" spans="16:17" ht="13.45" x14ac:dyDescent="0.25">
      <c r="P609" s="223"/>
      <c r="Q609" s="223"/>
    </row>
    <row r="610" spans="16:17" ht="13.45" x14ac:dyDescent="0.25">
      <c r="P610" s="223"/>
      <c r="Q610" s="223"/>
    </row>
    <row r="611" spans="16:17" ht="13.45" x14ac:dyDescent="0.25">
      <c r="P611" s="223"/>
      <c r="Q611" s="223"/>
    </row>
    <row r="612" spans="16:17" ht="13.45" x14ac:dyDescent="0.25">
      <c r="P612" s="223"/>
      <c r="Q612" s="223"/>
    </row>
    <row r="613" spans="16:17" ht="13.45" x14ac:dyDescent="0.25">
      <c r="P613" s="223"/>
      <c r="Q613" s="223"/>
    </row>
    <row r="614" spans="16:17" ht="13.45" x14ac:dyDescent="0.25">
      <c r="P614" s="223"/>
      <c r="Q614" s="223"/>
    </row>
    <row r="615" spans="16:17" ht="13.45" x14ac:dyDescent="0.25">
      <c r="P615" s="223"/>
      <c r="Q615" s="223"/>
    </row>
    <row r="616" spans="16:17" ht="13.45" x14ac:dyDescent="0.25">
      <c r="P616" s="223"/>
      <c r="Q616" s="223"/>
    </row>
    <row r="617" spans="16:17" ht="13.45" x14ac:dyDescent="0.25">
      <c r="P617" s="223"/>
      <c r="Q617" s="223"/>
    </row>
    <row r="618" spans="16:17" ht="13.45" x14ac:dyDescent="0.25">
      <c r="P618" s="223"/>
      <c r="Q618" s="223"/>
    </row>
    <row r="619" spans="16:17" ht="13.45" x14ac:dyDescent="0.25">
      <c r="P619" s="223"/>
      <c r="Q619" s="223"/>
    </row>
    <row r="620" spans="16:17" ht="13.45" x14ac:dyDescent="0.25">
      <c r="P620" s="223"/>
      <c r="Q620" s="223"/>
    </row>
    <row r="621" spans="16:17" ht="13.45" x14ac:dyDescent="0.25">
      <c r="P621" s="223"/>
      <c r="Q621" s="223"/>
    </row>
    <row r="622" spans="16:17" ht="13.45" x14ac:dyDescent="0.25">
      <c r="P622" s="223"/>
      <c r="Q622" s="223"/>
    </row>
    <row r="623" spans="16:17" ht="13.45" x14ac:dyDescent="0.25">
      <c r="P623" s="223"/>
      <c r="Q623" s="223"/>
    </row>
    <row r="624" spans="16:17" ht="13.45" x14ac:dyDescent="0.25">
      <c r="P624" s="223"/>
      <c r="Q624" s="223"/>
    </row>
    <row r="625" spans="16:17" ht="13.45" x14ac:dyDescent="0.25">
      <c r="P625" s="223"/>
      <c r="Q625" s="223"/>
    </row>
    <row r="626" spans="16:17" ht="13.45" x14ac:dyDescent="0.25">
      <c r="P626" s="223"/>
      <c r="Q626" s="223"/>
    </row>
    <row r="627" spans="16:17" ht="13.45" x14ac:dyDescent="0.25">
      <c r="P627" s="223"/>
      <c r="Q627" s="223"/>
    </row>
    <row r="628" spans="16:17" ht="13.45" x14ac:dyDescent="0.25">
      <c r="P628" s="223"/>
      <c r="Q628" s="223"/>
    </row>
    <row r="629" spans="16:17" ht="13.45" x14ac:dyDescent="0.25">
      <c r="P629" s="223"/>
      <c r="Q629" s="223"/>
    </row>
    <row r="630" spans="16:17" ht="13.45" x14ac:dyDescent="0.25">
      <c r="P630" s="223"/>
      <c r="Q630" s="223"/>
    </row>
    <row r="631" spans="16:17" ht="13.45" x14ac:dyDescent="0.25">
      <c r="P631" s="223"/>
      <c r="Q631" s="223"/>
    </row>
    <row r="632" spans="16:17" ht="13.45" x14ac:dyDescent="0.25">
      <c r="P632" s="223"/>
      <c r="Q632" s="223"/>
    </row>
    <row r="633" spans="16:17" ht="13.45" x14ac:dyDescent="0.25">
      <c r="P633" s="223"/>
      <c r="Q633" s="223"/>
    </row>
    <row r="634" spans="16:17" ht="13.45" x14ac:dyDescent="0.25">
      <c r="P634" s="223"/>
      <c r="Q634" s="223"/>
    </row>
    <row r="635" spans="16:17" ht="13.45" x14ac:dyDescent="0.25">
      <c r="P635" s="223"/>
      <c r="Q635" s="223"/>
    </row>
    <row r="636" spans="16:17" ht="13.45" x14ac:dyDescent="0.25">
      <c r="P636" s="223"/>
      <c r="Q636" s="223"/>
    </row>
    <row r="637" spans="16:17" ht="13.45" x14ac:dyDescent="0.25">
      <c r="P637" s="223"/>
      <c r="Q637" s="223"/>
    </row>
    <row r="638" spans="16:17" ht="13.45" x14ac:dyDescent="0.25">
      <c r="P638" s="223"/>
      <c r="Q638" s="223"/>
    </row>
    <row r="639" spans="16:17" ht="13.45" x14ac:dyDescent="0.25">
      <c r="P639" s="223"/>
      <c r="Q639" s="223"/>
    </row>
    <row r="640" spans="16:17" ht="13.45" x14ac:dyDescent="0.25">
      <c r="P640" s="223"/>
      <c r="Q640" s="223"/>
    </row>
    <row r="641" spans="16:17" ht="13.45" x14ac:dyDescent="0.25">
      <c r="P641" s="223"/>
      <c r="Q641" s="223"/>
    </row>
    <row r="642" spans="16:17" ht="13.45" x14ac:dyDescent="0.25">
      <c r="P642" s="223"/>
      <c r="Q642" s="223"/>
    </row>
    <row r="643" spans="16:17" ht="13.45" x14ac:dyDescent="0.25">
      <c r="P643" s="223"/>
      <c r="Q643" s="223"/>
    </row>
    <row r="644" spans="16:17" ht="13.45" x14ac:dyDescent="0.25">
      <c r="P644" s="223"/>
      <c r="Q644" s="223"/>
    </row>
    <row r="645" spans="16:17" ht="13.45" x14ac:dyDescent="0.25">
      <c r="P645" s="223"/>
      <c r="Q645" s="223"/>
    </row>
    <row r="646" spans="16:17" ht="13.45" x14ac:dyDescent="0.25">
      <c r="P646" s="223"/>
      <c r="Q646" s="223"/>
    </row>
    <row r="647" spans="16:17" ht="13.45" x14ac:dyDescent="0.25">
      <c r="P647" s="223"/>
      <c r="Q647" s="223"/>
    </row>
    <row r="648" spans="16:17" ht="13.45" x14ac:dyDescent="0.25">
      <c r="P648" s="223"/>
      <c r="Q648" s="223"/>
    </row>
    <row r="649" spans="16:17" ht="13.45" x14ac:dyDescent="0.25">
      <c r="P649" s="223"/>
      <c r="Q649" s="223"/>
    </row>
    <row r="650" spans="16:17" ht="13.45" x14ac:dyDescent="0.25">
      <c r="P650" s="223"/>
      <c r="Q650" s="223"/>
    </row>
    <row r="651" spans="16:17" ht="13.45" x14ac:dyDescent="0.25">
      <c r="P651" s="223"/>
      <c r="Q651" s="223"/>
    </row>
    <row r="652" spans="16:17" ht="13.45" x14ac:dyDescent="0.25">
      <c r="P652" s="223"/>
      <c r="Q652" s="223"/>
    </row>
    <row r="653" spans="16:17" ht="13.45" x14ac:dyDescent="0.25">
      <c r="P653" s="223"/>
      <c r="Q653" s="223"/>
    </row>
    <row r="654" spans="16:17" ht="13.45" x14ac:dyDescent="0.25">
      <c r="P654" s="223"/>
      <c r="Q654" s="223"/>
    </row>
    <row r="655" spans="16:17" ht="13.45" x14ac:dyDescent="0.25">
      <c r="P655" s="223"/>
      <c r="Q655" s="223"/>
    </row>
    <row r="656" spans="16:17" ht="13.45" x14ac:dyDescent="0.25">
      <c r="P656" s="223"/>
      <c r="Q656" s="223"/>
    </row>
    <row r="657" spans="16:17" ht="13.45" x14ac:dyDescent="0.25">
      <c r="P657" s="223"/>
      <c r="Q657" s="223"/>
    </row>
    <row r="658" spans="16:17" ht="13.45" x14ac:dyDescent="0.25">
      <c r="P658" s="223"/>
      <c r="Q658" s="223"/>
    </row>
    <row r="659" spans="16:17" ht="13.45" x14ac:dyDescent="0.25">
      <c r="P659" s="223"/>
      <c r="Q659" s="223"/>
    </row>
    <row r="660" spans="16:17" ht="13.45" x14ac:dyDescent="0.25">
      <c r="P660" s="223"/>
      <c r="Q660" s="223"/>
    </row>
    <row r="661" spans="16:17" ht="13.45" x14ac:dyDescent="0.25">
      <c r="P661" s="223"/>
      <c r="Q661" s="223"/>
    </row>
    <row r="662" spans="16:17" ht="13.45" x14ac:dyDescent="0.25">
      <c r="P662" s="223"/>
      <c r="Q662" s="223"/>
    </row>
    <row r="663" spans="16:17" ht="13.45" x14ac:dyDescent="0.25">
      <c r="P663" s="223"/>
      <c r="Q663" s="223"/>
    </row>
    <row r="664" spans="16:17" ht="13.45" x14ac:dyDescent="0.25">
      <c r="P664" s="223"/>
      <c r="Q664" s="223"/>
    </row>
    <row r="665" spans="16:17" ht="13.45" x14ac:dyDescent="0.25">
      <c r="P665" s="223"/>
      <c r="Q665" s="223"/>
    </row>
    <row r="666" spans="16:17" ht="13.45" x14ac:dyDescent="0.25">
      <c r="P666" s="223"/>
      <c r="Q666" s="223"/>
    </row>
    <row r="667" spans="16:17" ht="13.45" x14ac:dyDescent="0.25">
      <c r="P667" s="223"/>
      <c r="Q667" s="223"/>
    </row>
    <row r="668" spans="16:17" ht="13.45" x14ac:dyDescent="0.25">
      <c r="P668" s="223"/>
      <c r="Q668" s="223"/>
    </row>
    <row r="669" spans="16:17" ht="13.45" x14ac:dyDescent="0.25">
      <c r="P669" s="223"/>
      <c r="Q669" s="223"/>
    </row>
    <row r="670" spans="16:17" ht="13.45" x14ac:dyDescent="0.25">
      <c r="P670" s="223"/>
      <c r="Q670" s="223"/>
    </row>
    <row r="671" spans="16:17" ht="13.45" x14ac:dyDescent="0.25">
      <c r="P671" s="223"/>
      <c r="Q671" s="223"/>
    </row>
    <row r="672" spans="16:17" ht="13.45" x14ac:dyDescent="0.25">
      <c r="P672" s="223"/>
      <c r="Q672" s="223"/>
    </row>
    <row r="673" spans="16:17" ht="13.45" x14ac:dyDescent="0.25">
      <c r="P673" s="223"/>
      <c r="Q673" s="223"/>
    </row>
    <row r="674" spans="16:17" ht="13.45" x14ac:dyDescent="0.25">
      <c r="P674" s="223"/>
      <c r="Q674" s="223"/>
    </row>
    <row r="675" spans="16:17" ht="13.45" x14ac:dyDescent="0.25">
      <c r="P675" s="223"/>
      <c r="Q675" s="223"/>
    </row>
    <row r="676" spans="16:17" ht="13.45" x14ac:dyDescent="0.25">
      <c r="P676" s="223"/>
      <c r="Q676" s="223"/>
    </row>
    <row r="677" spans="16:17" ht="13.45" x14ac:dyDescent="0.25">
      <c r="P677" s="223"/>
      <c r="Q677" s="223"/>
    </row>
    <row r="678" spans="16:17" ht="13.45" x14ac:dyDescent="0.25">
      <c r="P678" s="223"/>
      <c r="Q678" s="223"/>
    </row>
    <row r="679" spans="16:17" ht="13.45" x14ac:dyDescent="0.25">
      <c r="P679" s="223"/>
      <c r="Q679" s="223"/>
    </row>
    <row r="680" spans="16:17" ht="13.45" x14ac:dyDescent="0.25">
      <c r="P680" s="223"/>
      <c r="Q680" s="223"/>
    </row>
    <row r="681" spans="16:17" ht="13.45" x14ac:dyDescent="0.25">
      <c r="P681" s="223"/>
      <c r="Q681" s="223"/>
    </row>
    <row r="682" spans="16:17" ht="13.45" x14ac:dyDescent="0.25">
      <c r="P682" s="223"/>
      <c r="Q682" s="223"/>
    </row>
    <row r="683" spans="16:17" ht="13.45" x14ac:dyDescent="0.25">
      <c r="P683" s="223"/>
      <c r="Q683" s="223"/>
    </row>
    <row r="684" spans="16:17" ht="13.45" x14ac:dyDescent="0.25">
      <c r="P684" s="223"/>
      <c r="Q684" s="223"/>
    </row>
    <row r="685" spans="16:17" ht="13.45" x14ac:dyDescent="0.25">
      <c r="P685" s="223"/>
      <c r="Q685" s="223"/>
    </row>
    <row r="686" spans="16:17" ht="13.45" x14ac:dyDescent="0.25">
      <c r="P686" s="223"/>
      <c r="Q686" s="223"/>
    </row>
    <row r="687" spans="16:17" ht="13.45" x14ac:dyDescent="0.25">
      <c r="P687" s="223"/>
      <c r="Q687" s="223"/>
    </row>
    <row r="688" spans="16:17" ht="13.45" x14ac:dyDescent="0.25">
      <c r="P688" s="223"/>
      <c r="Q688" s="223"/>
    </row>
    <row r="689" spans="16:17" ht="13.45" x14ac:dyDescent="0.25">
      <c r="P689" s="223"/>
      <c r="Q689" s="223"/>
    </row>
    <row r="690" spans="16:17" ht="13.45" x14ac:dyDescent="0.25">
      <c r="P690" s="223"/>
      <c r="Q690" s="223"/>
    </row>
    <row r="691" spans="16:17" ht="13.45" x14ac:dyDescent="0.25">
      <c r="P691" s="223"/>
      <c r="Q691" s="223"/>
    </row>
    <row r="692" spans="16:17" ht="13.45" x14ac:dyDescent="0.25">
      <c r="P692" s="223"/>
      <c r="Q692" s="223"/>
    </row>
    <row r="693" spans="16:17" ht="13.45" x14ac:dyDescent="0.25">
      <c r="P693" s="223"/>
      <c r="Q693" s="223"/>
    </row>
    <row r="694" spans="16:17" ht="13.45" x14ac:dyDescent="0.25">
      <c r="P694" s="223"/>
      <c r="Q694" s="223"/>
    </row>
    <row r="695" spans="16:17" ht="13.45" x14ac:dyDescent="0.25">
      <c r="P695" s="223"/>
      <c r="Q695" s="223"/>
    </row>
    <row r="696" spans="16:17" ht="13.45" x14ac:dyDescent="0.25">
      <c r="P696" s="223"/>
      <c r="Q696" s="223"/>
    </row>
    <row r="697" spans="16:17" ht="13.45" x14ac:dyDescent="0.25">
      <c r="P697" s="223"/>
      <c r="Q697" s="223"/>
    </row>
    <row r="698" spans="16:17" ht="13.45" x14ac:dyDescent="0.25">
      <c r="P698" s="223"/>
      <c r="Q698" s="223"/>
    </row>
    <row r="699" spans="16:17" ht="13.45" x14ac:dyDescent="0.25">
      <c r="P699" s="223"/>
      <c r="Q699" s="223"/>
    </row>
    <row r="700" spans="16:17" ht="13.45" x14ac:dyDescent="0.25">
      <c r="P700" s="223"/>
      <c r="Q700" s="223"/>
    </row>
    <row r="701" spans="16:17" ht="13.45" x14ac:dyDescent="0.25">
      <c r="P701" s="223"/>
      <c r="Q701" s="223"/>
    </row>
    <row r="702" spans="16:17" ht="13.45" x14ac:dyDescent="0.25">
      <c r="P702" s="223"/>
      <c r="Q702" s="223"/>
    </row>
    <row r="703" spans="16:17" ht="13.45" x14ac:dyDescent="0.25">
      <c r="P703" s="223"/>
      <c r="Q703" s="223"/>
    </row>
    <row r="704" spans="16:17" ht="13.45" x14ac:dyDescent="0.25">
      <c r="P704" s="223"/>
      <c r="Q704" s="223"/>
    </row>
    <row r="705" spans="16:17" ht="13.45" x14ac:dyDescent="0.25">
      <c r="P705" s="223"/>
      <c r="Q705" s="223"/>
    </row>
    <row r="706" spans="16:17" ht="13.45" x14ac:dyDescent="0.25">
      <c r="P706" s="223"/>
      <c r="Q706" s="223"/>
    </row>
    <row r="707" spans="16:17" ht="13.45" x14ac:dyDescent="0.25">
      <c r="P707" s="223"/>
      <c r="Q707" s="223"/>
    </row>
    <row r="708" spans="16:17" ht="13.45" x14ac:dyDescent="0.25">
      <c r="P708" s="223"/>
      <c r="Q708" s="223"/>
    </row>
    <row r="709" spans="16:17" ht="13.45" x14ac:dyDescent="0.25">
      <c r="P709" s="223"/>
      <c r="Q709" s="223"/>
    </row>
    <row r="710" spans="16:17" ht="13.45" x14ac:dyDescent="0.25">
      <c r="P710" s="223"/>
      <c r="Q710" s="223"/>
    </row>
    <row r="711" spans="16:17" ht="13.45" x14ac:dyDescent="0.25">
      <c r="P711" s="223"/>
      <c r="Q711" s="223"/>
    </row>
    <row r="712" spans="16:17" ht="13.45" x14ac:dyDescent="0.25">
      <c r="P712" s="223"/>
      <c r="Q712" s="223"/>
    </row>
    <row r="713" spans="16:17" ht="13.45" x14ac:dyDescent="0.25">
      <c r="P713" s="223"/>
      <c r="Q713" s="223"/>
    </row>
    <row r="714" spans="16:17" ht="13.45" x14ac:dyDescent="0.25">
      <c r="P714" s="223"/>
      <c r="Q714" s="223"/>
    </row>
    <row r="715" spans="16:17" ht="13.45" x14ac:dyDescent="0.25">
      <c r="P715" s="223"/>
      <c r="Q715" s="223"/>
    </row>
    <row r="716" spans="16:17" ht="13.45" x14ac:dyDescent="0.25">
      <c r="P716" s="223"/>
      <c r="Q716" s="223"/>
    </row>
    <row r="717" spans="16:17" ht="13.45" x14ac:dyDescent="0.25">
      <c r="P717" s="223"/>
      <c r="Q717" s="223"/>
    </row>
    <row r="718" spans="16:17" ht="13.45" x14ac:dyDescent="0.25">
      <c r="P718" s="223"/>
      <c r="Q718" s="223"/>
    </row>
    <row r="719" spans="16:17" ht="13.45" x14ac:dyDescent="0.25">
      <c r="P719" s="223"/>
      <c r="Q719" s="223"/>
    </row>
    <row r="720" spans="16:17" ht="13.45" x14ac:dyDescent="0.25">
      <c r="P720" s="223"/>
      <c r="Q720" s="223"/>
    </row>
    <row r="721" spans="16:17" ht="13.45" x14ac:dyDescent="0.25">
      <c r="P721" s="223"/>
      <c r="Q721" s="223"/>
    </row>
    <row r="722" spans="16:17" ht="13.45" x14ac:dyDescent="0.25">
      <c r="P722" s="223"/>
      <c r="Q722" s="223"/>
    </row>
    <row r="723" spans="16:17" ht="13.45" x14ac:dyDescent="0.25">
      <c r="P723" s="223"/>
      <c r="Q723" s="223"/>
    </row>
    <row r="724" spans="16:17" ht="13.45" x14ac:dyDescent="0.25">
      <c r="P724" s="223"/>
      <c r="Q724" s="223"/>
    </row>
    <row r="725" spans="16:17" ht="13.45" x14ac:dyDescent="0.25">
      <c r="P725" s="223"/>
      <c r="Q725" s="223"/>
    </row>
    <row r="726" spans="16:17" ht="13.45" x14ac:dyDescent="0.25">
      <c r="P726" s="223"/>
      <c r="Q726" s="223"/>
    </row>
    <row r="727" spans="16:17" ht="13.45" x14ac:dyDescent="0.25">
      <c r="P727" s="223"/>
      <c r="Q727" s="223"/>
    </row>
    <row r="728" spans="16:17" ht="13.45" x14ac:dyDescent="0.25">
      <c r="P728" s="223"/>
      <c r="Q728" s="223"/>
    </row>
    <row r="729" spans="16:17" ht="13.45" x14ac:dyDescent="0.25">
      <c r="P729" s="223"/>
      <c r="Q729" s="223"/>
    </row>
    <row r="730" spans="16:17" ht="13.45" x14ac:dyDescent="0.25">
      <c r="P730" s="223"/>
      <c r="Q730" s="223"/>
    </row>
    <row r="731" spans="16:17" ht="13.45" x14ac:dyDescent="0.25">
      <c r="P731" s="223"/>
      <c r="Q731" s="223"/>
    </row>
    <row r="732" spans="16:17" ht="13.45" x14ac:dyDescent="0.25">
      <c r="P732" s="223"/>
      <c r="Q732" s="223"/>
    </row>
    <row r="733" spans="16:17" ht="13.45" x14ac:dyDescent="0.25">
      <c r="P733" s="223"/>
      <c r="Q733" s="223"/>
    </row>
    <row r="734" spans="16:17" ht="13.45" x14ac:dyDescent="0.25">
      <c r="P734" s="223"/>
      <c r="Q734" s="223"/>
    </row>
    <row r="735" spans="16:17" ht="13.45" x14ac:dyDescent="0.25">
      <c r="P735" s="223"/>
      <c r="Q735" s="223"/>
    </row>
    <row r="736" spans="16:17" ht="13.45" x14ac:dyDescent="0.25">
      <c r="P736" s="223"/>
      <c r="Q736" s="223"/>
    </row>
    <row r="737" spans="16:17" ht="13.45" x14ac:dyDescent="0.25">
      <c r="P737" s="223"/>
      <c r="Q737" s="223"/>
    </row>
    <row r="738" spans="16:17" ht="13.45" x14ac:dyDescent="0.25">
      <c r="P738" s="223"/>
      <c r="Q738" s="223"/>
    </row>
    <row r="739" spans="16:17" ht="13.45" x14ac:dyDescent="0.25">
      <c r="P739" s="223"/>
      <c r="Q739" s="223"/>
    </row>
    <row r="740" spans="16:17" ht="13.45" x14ac:dyDescent="0.25">
      <c r="P740" s="223"/>
      <c r="Q740" s="223"/>
    </row>
    <row r="741" spans="16:17" ht="13.45" x14ac:dyDescent="0.25">
      <c r="P741" s="223"/>
      <c r="Q741" s="223"/>
    </row>
    <row r="742" spans="16:17" ht="13.45" x14ac:dyDescent="0.25">
      <c r="P742" s="223"/>
      <c r="Q742" s="223"/>
    </row>
    <row r="743" spans="16:17" ht="13.45" x14ac:dyDescent="0.25">
      <c r="P743" s="223"/>
      <c r="Q743" s="223"/>
    </row>
    <row r="744" spans="16:17" ht="13.45" x14ac:dyDescent="0.25">
      <c r="P744" s="223"/>
      <c r="Q744" s="223"/>
    </row>
    <row r="745" spans="16:17" ht="13.45" x14ac:dyDescent="0.25">
      <c r="P745" s="223"/>
      <c r="Q745" s="223"/>
    </row>
    <row r="746" spans="16:17" ht="13.45" x14ac:dyDescent="0.25">
      <c r="P746" s="223"/>
      <c r="Q746" s="223"/>
    </row>
    <row r="747" spans="16:17" ht="13.45" x14ac:dyDescent="0.25">
      <c r="P747" s="223"/>
      <c r="Q747" s="223"/>
    </row>
    <row r="748" spans="16:17" ht="13.45" x14ac:dyDescent="0.25">
      <c r="P748" s="223"/>
      <c r="Q748" s="223"/>
    </row>
    <row r="749" spans="16:17" ht="13.45" x14ac:dyDescent="0.25">
      <c r="P749" s="223"/>
      <c r="Q749" s="223"/>
    </row>
    <row r="750" spans="16:17" ht="13.45" x14ac:dyDescent="0.25">
      <c r="P750" s="223"/>
      <c r="Q750" s="223"/>
    </row>
    <row r="751" spans="16:17" ht="13.45" x14ac:dyDescent="0.25">
      <c r="P751" s="223"/>
      <c r="Q751" s="223"/>
    </row>
    <row r="752" spans="16:17" ht="13.45" x14ac:dyDescent="0.25">
      <c r="P752" s="223"/>
      <c r="Q752" s="223"/>
    </row>
    <row r="753" spans="16:17" ht="13.45" x14ac:dyDescent="0.25">
      <c r="P753" s="223"/>
      <c r="Q753" s="223"/>
    </row>
    <row r="754" spans="16:17" ht="13.45" x14ac:dyDescent="0.25">
      <c r="P754" s="223"/>
      <c r="Q754" s="223"/>
    </row>
    <row r="755" spans="16:17" ht="13.45" x14ac:dyDescent="0.25">
      <c r="P755" s="223"/>
      <c r="Q755" s="223"/>
    </row>
    <row r="756" spans="16:17" ht="13.45" x14ac:dyDescent="0.25">
      <c r="P756" s="223"/>
      <c r="Q756" s="223"/>
    </row>
    <row r="757" spans="16:17" ht="13.45" x14ac:dyDescent="0.25">
      <c r="P757" s="223"/>
      <c r="Q757" s="223"/>
    </row>
    <row r="758" spans="16:17" ht="13.45" x14ac:dyDescent="0.25">
      <c r="P758" s="223"/>
      <c r="Q758" s="223"/>
    </row>
    <row r="759" spans="16:17" ht="13.45" x14ac:dyDescent="0.25">
      <c r="P759" s="223"/>
      <c r="Q759" s="223"/>
    </row>
    <row r="760" spans="16:17" ht="13.45" x14ac:dyDescent="0.25">
      <c r="P760" s="223"/>
      <c r="Q760" s="223"/>
    </row>
    <row r="761" spans="16:17" ht="13.45" x14ac:dyDescent="0.25">
      <c r="P761" s="223"/>
      <c r="Q761" s="223"/>
    </row>
    <row r="762" spans="16:17" ht="13.45" x14ac:dyDescent="0.25">
      <c r="P762" s="223"/>
      <c r="Q762" s="223"/>
    </row>
    <row r="763" spans="16:17" ht="13.45" x14ac:dyDescent="0.25">
      <c r="P763" s="223"/>
      <c r="Q763" s="223"/>
    </row>
    <row r="764" spans="16:17" ht="13.45" x14ac:dyDescent="0.25">
      <c r="P764" s="223"/>
      <c r="Q764" s="223"/>
    </row>
    <row r="765" spans="16:17" ht="13.45" x14ac:dyDescent="0.25">
      <c r="P765" s="223"/>
      <c r="Q765" s="223"/>
    </row>
    <row r="766" spans="16:17" ht="13.45" x14ac:dyDescent="0.25">
      <c r="P766" s="223"/>
      <c r="Q766" s="223"/>
    </row>
    <row r="767" spans="16:17" ht="13.45" x14ac:dyDescent="0.25">
      <c r="P767" s="223"/>
      <c r="Q767" s="223"/>
    </row>
    <row r="768" spans="16:17" ht="13.45" x14ac:dyDescent="0.25">
      <c r="P768" s="223"/>
      <c r="Q768" s="223"/>
    </row>
    <row r="769" spans="16:17" ht="13.45" x14ac:dyDescent="0.25">
      <c r="P769" s="223"/>
      <c r="Q769" s="223"/>
    </row>
    <row r="770" spans="16:17" ht="13.45" x14ac:dyDescent="0.25">
      <c r="P770" s="223"/>
      <c r="Q770" s="223"/>
    </row>
    <row r="771" spans="16:17" ht="13.45" x14ac:dyDescent="0.25">
      <c r="P771" s="223"/>
      <c r="Q771" s="223"/>
    </row>
    <row r="772" spans="16:17" ht="13.45" x14ac:dyDescent="0.25">
      <c r="P772" s="223"/>
      <c r="Q772" s="223"/>
    </row>
    <row r="773" spans="16:17" ht="13.45" x14ac:dyDescent="0.25">
      <c r="P773" s="223"/>
      <c r="Q773" s="223"/>
    </row>
    <row r="774" spans="16:17" ht="13.45" x14ac:dyDescent="0.25">
      <c r="P774" s="223"/>
      <c r="Q774" s="223"/>
    </row>
    <row r="775" spans="16:17" ht="13.45" x14ac:dyDescent="0.25">
      <c r="P775" s="223"/>
      <c r="Q775" s="223"/>
    </row>
    <row r="776" spans="16:17" ht="13.45" x14ac:dyDescent="0.25">
      <c r="P776" s="223"/>
      <c r="Q776" s="223"/>
    </row>
    <row r="777" spans="16:17" ht="13.45" x14ac:dyDescent="0.25">
      <c r="P777" s="223"/>
      <c r="Q777" s="223"/>
    </row>
    <row r="778" spans="16:17" ht="13.45" x14ac:dyDescent="0.25">
      <c r="P778" s="223"/>
      <c r="Q778" s="223"/>
    </row>
    <row r="779" spans="16:17" ht="13.45" x14ac:dyDescent="0.25">
      <c r="P779" s="223"/>
      <c r="Q779" s="223"/>
    </row>
    <row r="780" spans="16:17" ht="13.45" x14ac:dyDescent="0.25">
      <c r="P780" s="223"/>
      <c r="Q780" s="223"/>
    </row>
    <row r="781" spans="16:17" ht="13.45" x14ac:dyDescent="0.25">
      <c r="P781" s="223"/>
      <c r="Q781" s="223"/>
    </row>
    <row r="782" spans="16:17" ht="13.45" x14ac:dyDescent="0.25">
      <c r="P782" s="223"/>
      <c r="Q782" s="223"/>
    </row>
    <row r="783" spans="16:17" ht="13.45" x14ac:dyDescent="0.25">
      <c r="P783" s="223"/>
      <c r="Q783" s="223"/>
    </row>
    <row r="784" spans="16:17" ht="13.45" x14ac:dyDescent="0.25">
      <c r="P784" s="223"/>
      <c r="Q784" s="223"/>
    </row>
    <row r="785" spans="16:17" ht="13.45" x14ac:dyDescent="0.25">
      <c r="P785" s="223"/>
      <c r="Q785" s="223"/>
    </row>
    <row r="786" spans="16:17" ht="13.45" x14ac:dyDescent="0.25">
      <c r="P786" s="223"/>
      <c r="Q786" s="223"/>
    </row>
    <row r="787" spans="16:17" ht="13.45" x14ac:dyDescent="0.25">
      <c r="P787" s="223"/>
      <c r="Q787" s="223"/>
    </row>
    <row r="788" spans="16:17" ht="13.45" x14ac:dyDescent="0.25">
      <c r="P788" s="223"/>
      <c r="Q788" s="223"/>
    </row>
    <row r="789" spans="16:17" ht="13.45" x14ac:dyDescent="0.25">
      <c r="P789" s="223"/>
      <c r="Q789" s="223"/>
    </row>
    <row r="790" spans="16:17" ht="13.45" x14ac:dyDescent="0.25">
      <c r="P790" s="223"/>
      <c r="Q790" s="223"/>
    </row>
    <row r="791" spans="16:17" ht="13.45" x14ac:dyDescent="0.25">
      <c r="P791" s="223"/>
      <c r="Q791" s="223"/>
    </row>
    <row r="792" spans="16:17" ht="13.45" x14ac:dyDescent="0.25">
      <c r="P792" s="223"/>
      <c r="Q792" s="223"/>
    </row>
    <row r="793" spans="16:17" ht="13.45" x14ac:dyDescent="0.25">
      <c r="P793" s="223"/>
      <c r="Q793" s="223"/>
    </row>
    <row r="794" spans="16:17" ht="13.45" x14ac:dyDescent="0.25">
      <c r="P794" s="223"/>
      <c r="Q794" s="223"/>
    </row>
    <row r="795" spans="16:17" ht="13.45" x14ac:dyDescent="0.25">
      <c r="P795" s="223"/>
      <c r="Q795" s="223"/>
    </row>
    <row r="796" spans="16:17" ht="13.45" x14ac:dyDescent="0.25">
      <c r="P796" s="223"/>
      <c r="Q796" s="223"/>
    </row>
    <row r="797" spans="16:17" ht="13.45" x14ac:dyDescent="0.25">
      <c r="P797" s="223"/>
      <c r="Q797" s="223"/>
    </row>
    <row r="798" spans="16:17" ht="13.45" x14ac:dyDescent="0.25">
      <c r="P798" s="223"/>
      <c r="Q798" s="223"/>
    </row>
    <row r="799" spans="16:17" ht="13.45" x14ac:dyDescent="0.25">
      <c r="P799" s="223"/>
      <c r="Q799" s="223"/>
    </row>
    <row r="800" spans="16:17" ht="13.45" x14ac:dyDescent="0.25">
      <c r="P800" s="223"/>
      <c r="Q800" s="223"/>
    </row>
    <row r="801" spans="16:17" ht="13.45" x14ac:dyDescent="0.25">
      <c r="P801" s="223"/>
      <c r="Q801" s="223"/>
    </row>
    <row r="802" spans="16:17" ht="13.45" x14ac:dyDescent="0.25">
      <c r="P802" s="223"/>
      <c r="Q802" s="223"/>
    </row>
    <row r="803" spans="16:17" ht="13.45" x14ac:dyDescent="0.25">
      <c r="P803" s="223"/>
      <c r="Q803" s="223"/>
    </row>
    <row r="804" spans="16:17" ht="13.45" x14ac:dyDescent="0.25">
      <c r="P804" s="223"/>
      <c r="Q804" s="223"/>
    </row>
    <row r="805" spans="16:17" ht="13.45" x14ac:dyDescent="0.25">
      <c r="P805" s="223"/>
      <c r="Q805" s="223"/>
    </row>
    <row r="806" spans="16:17" ht="13.45" x14ac:dyDescent="0.25">
      <c r="P806" s="223"/>
      <c r="Q806" s="223"/>
    </row>
    <row r="807" spans="16:17" ht="13.45" x14ac:dyDescent="0.25">
      <c r="P807" s="223"/>
      <c r="Q807" s="223"/>
    </row>
    <row r="808" spans="16:17" ht="13.45" x14ac:dyDescent="0.25">
      <c r="P808" s="223"/>
      <c r="Q808" s="223"/>
    </row>
    <row r="809" spans="16:17" ht="13.45" x14ac:dyDescent="0.25">
      <c r="P809" s="223"/>
      <c r="Q809" s="223"/>
    </row>
    <row r="810" spans="16:17" ht="13.45" x14ac:dyDescent="0.25">
      <c r="P810" s="223"/>
      <c r="Q810" s="223"/>
    </row>
    <row r="811" spans="16:17" ht="13.45" x14ac:dyDescent="0.25">
      <c r="P811" s="223"/>
      <c r="Q811" s="223"/>
    </row>
    <row r="812" spans="16:17" ht="13.45" x14ac:dyDescent="0.25">
      <c r="P812" s="223"/>
      <c r="Q812" s="223"/>
    </row>
    <row r="813" spans="16:17" ht="13.45" x14ac:dyDescent="0.25">
      <c r="P813" s="223"/>
      <c r="Q813" s="223"/>
    </row>
    <row r="814" spans="16:17" ht="13.45" x14ac:dyDescent="0.25">
      <c r="P814" s="223"/>
      <c r="Q814" s="223"/>
    </row>
    <row r="815" spans="16:17" ht="13.45" x14ac:dyDescent="0.25">
      <c r="P815" s="223"/>
      <c r="Q815" s="223"/>
    </row>
    <row r="816" spans="16:17" ht="13.45" x14ac:dyDescent="0.25">
      <c r="P816" s="223"/>
      <c r="Q816" s="223"/>
    </row>
    <row r="817" spans="16:17" ht="13.45" x14ac:dyDescent="0.25">
      <c r="P817" s="223"/>
      <c r="Q817" s="223"/>
    </row>
    <row r="818" spans="16:17" ht="13.45" x14ac:dyDescent="0.25">
      <c r="P818" s="223"/>
      <c r="Q818" s="223"/>
    </row>
    <row r="819" spans="16:17" ht="13.45" x14ac:dyDescent="0.25">
      <c r="P819" s="223"/>
      <c r="Q819" s="223"/>
    </row>
    <row r="820" spans="16:17" ht="13.45" x14ac:dyDescent="0.25">
      <c r="P820" s="223"/>
      <c r="Q820" s="223"/>
    </row>
    <row r="821" spans="16:17" ht="13.45" x14ac:dyDescent="0.25">
      <c r="P821" s="223"/>
      <c r="Q821" s="223"/>
    </row>
    <row r="822" spans="16:17" ht="13.45" x14ac:dyDescent="0.25">
      <c r="P822" s="223"/>
      <c r="Q822" s="223"/>
    </row>
    <row r="823" spans="16:17" ht="13.45" x14ac:dyDescent="0.25">
      <c r="P823" s="223"/>
      <c r="Q823" s="223"/>
    </row>
    <row r="824" spans="16:17" ht="13.45" x14ac:dyDescent="0.25">
      <c r="P824" s="223"/>
      <c r="Q824" s="223"/>
    </row>
    <row r="825" spans="16:17" ht="13.45" x14ac:dyDescent="0.25">
      <c r="P825" s="223"/>
      <c r="Q825" s="223"/>
    </row>
    <row r="826" spans="16:17" ht="13.45" x14ac:dyDescent="0.25">
      <c r="P826" s="223"/>
      <c r="Q826" s="223"/>
    </row>
    <row r="827" spans="16:17" ht="13.45" x14ac:dyDescent="0.25">
      <c r="P827" s="223"/>
      <c r="Q827" s="223"/>
    </row>
    <row r="828" spans="16:17" ht="13.45" x14ac:dyDescent="0.25">
      <c r="P828" s="223"/>
      <c r="Q828" s="223"/>
    </row>
    <row r="829" spans="16:17" ht="13.45" x14ac:dyDescent="0.25">
      <c r="P829" s="223"/>
      <c r="Q829" s="223"/>
    </row>
    <row r="830" spans="16:17" ht="13.45" x14ac:dyDescent="0.25">
      <c r="P830" s="223"/>
      <c r="Q830" s="223"/>
    </row>
    <row r="831" spans="16:17" ht="13.45" x14ac:dyDescent="0.25">
      <c r="P831" s="223"/>
      <c r="Q831" s="223"/>
    </row>
    <row r="832" spans="16:17" ht="13.45" x14ac:dyDescent="0.25">
      <c r="P832" s="223"/>
      <c r="Q832" s="223"/>
    </row>
    <row r="833" spans="16:17" ht="13.45" x14ac:dyDescent="0.25">
      <c r="P833" s="223"/>
      <c r="Q833" s="223"/>
    </row>
    <row r="834" spans="16:17" ht="13.45" x14ac:dyDescent="0.25">
      <c r="P834" s="223"/>
      <c r="Q834" s="223"/>
    </row>
    <row r="835" spans="16:17" ht="13.45" x14ac:dyDescent="0.25">
      <c r="P835" s="223"/>
      <c r="Q835" s="223"/>
    </row>
    <row r="836" spans="16:17" ht="13.45" x14ac:dyDescent="0.25">
      <c r="P836" s="223"/>
      <c r="Q836" s="223"/>
    </row>
    <row r="837" spans="16:17" ht="13.45" x14ac:dyDescent="0.25">
      <c r="P837" s="223"/>
      <c r="Q837" s="223"/>
    </row>
    <row r="838" spans="16:17" ht="13.45" x14ac:dyDescent="0.25">
      <c r="P838" s="223"/>
      <c r="Q838" s="223"/>
    </row>
    <row r="839" spans="16:17" ht="13.45" x14ac:dyDescent="0.25">
      <c r="P839" s="223"/>
      <c r="Q839" s="223"/>
    </row>
    <row r="840" spans="16:17" ht="13.45" x14ac:dyDescent="0.25">
      <c r="P840" s="223"/>
      <c r="Q840" s="223"/>
    </row>
    <row r="841" spans="16:17" ht="13.45" x14ac:dyDescent="0.25">
      <c r="P841" s="223"/>
      <c r="Q841" s="223"/>
    </row>
    <row r="842" spans="16:17" ht="13.45" x14ac:dyDescent="0.25">
      <c r="P842" s="223"/>
      <c r="Q842" s="223"/>
    </row>
    <row r="843" spans="16:17" ht="13.45" x14ac:dyDescent="0.25">
      <c r="P843" s="223"/>
      <c r="Q843" s="223"/>
    </row>
    <row r="844" spans="16:17" ht="13.45" x14ac:dyDescent="0.25">
      <c r="P844" s="223"/>
      <c r="Q844" s="223"/>
    </row>
    <row r="845" spans="16:17" ht="13.45" x14ac:dyDescent="0.25">
      <c r="P845" s="223"/>
      <c r="Q845" s="223"/>
    </row>
    <row r="846" spans="16:17" ht="13.45" x14ac:dyDescent="0.25">
      <c r="P846" s="223"/>
      <c r="Q846" s="223"/>
    </row>
    <row r="847" spans="16:17" ht="13.45" x14ac:dyDescent="0.25">
      <c r="P847" s="223"/>
      <c r="Q847" s="223"/>
    </row>
    <row r="848" spans="16:17" ht="13.45" x14ac:dyDescent="0.25">
      <c r="P848" s="223"/>
      <c r="Q848" s="223"/>
    </row>
    <row r="849" spans="16:17" ht="13.45" x14ac:dyDescent="0.25">
      <c r="P849" s="223"/>
      <c r="Q849" s="223"/>
    </row>
    <row r="850" spans="16:17" ht="13.45" x14ac:dyDescent="0.25">
      <c r="P850" s="223"/>
      <c r="Q850" s="223"/>
    </row>
    <row r="851" spans="16:17" ht="13.45" x14ac:dyDescent="0.25">
      <c r="P851" s="223"/>
      <c r="Q851" s="223"/>
    </row>
    <row r="852" spans="16:17" ht="13.45" x14ac:dyDescent="0.25">
      <c r="P852" s="223"/>
      <c r="Q852" s="223"/>
    </row>
    <row r="853" spans="16:17" ht="13.45" x14ac:dyDescent="0.25">
      <c r="P853" s="223"/>
      <c r="Q853" s="223"/>
    </row>
    <row r="854" spans="16:17" ht="13.45" x14ac:dyDescent="0.25">
      <c r="P854" s="223"/>
      <c r="Q854" s="223"/>
    </row>
    <row r="855" spans="16:17" ht="13.45" x14ac:dyDescent="0.25">
      <c r="P855" s="223"/>
      <c r="Q855" s="223"/>
    </row>
    <row r="856" spans="16:17" ht="13.45" x14ac:dyDescent="0.25">
      <c r="P856" s="223"/>
      <c r="Q856" s="223"/>
    </row>
    <row r="857" spans="16:17" ht="13.45" x14ac:dyDescent="0.25">
      <c r="P857" s="223"/>
      <c r="Q857" s="223"/>
    </row>
    <row r="858" spans="16:17" ht="13.45" x14ac:dyDescent="0.25">
      <c r="P858" s="223"/>
      <c r="Q858" s="223"/>
    </row>
    <row r="859" spans="16:17" ht="13.45" x14ac:dyDescent="0.25">
      <c r="P859" s="223"/>
      <c r="Q859" s="223"/>
    </row>
    <row r="860" spans="16:17" ht="13.45" x14ac:dyDescent="0.25">
      <c r="P860" s="223"/>
      <c r="Q860" s="223"/>
    </row>
    <row r="861" spans="16:17" ht="13.45" x14ac:dyDescent="0.25">
      <c r="P861" s="223"/>
      <c r="Q861" s="223"/>
    </row>
    <row r="862" spans="16:17" ht="13.45" x14ac:dyDescent="0.25">
      <c r="P862" s="223"/>
      <c r="Q862" s="223"/>
    </row>
    <row r="863" spans="16:17" ht="13.45" x14ac:dyDescent="0.25">
      <c r="P863" s="223"/>
      <c r="Q863" s="223"/>
    </row>
    <row r="864" spans="16:17" ht="13.45" x14ac:dyDescent="0.25">
      <c r="P864" s="223"/>
      <c r="Q864" s="223"/>
    </row>
    <row r="865" spans="16:17" ht="13.45" x14ac:dyDescent="0.25">
      <c r="P865" s="223"/>
      <c r="Q865" s="223"/>
    </row>
    <row r="866" spans="16:17" ht="13.45" x14ac:dyDescent="0.25">
      <c r="P866" s="223"/>
      <c r="Q866" s="223"/>
    </row>
    <row r="867" spans="16:17" ht="13.45" x14ac:dyDescent="0.25">
      <c r="P867" s="223"/>
      <c r="Q867" s="223"/>
    </row>
    <row r="868" spans="16:17" ht="13.45" x14ac:dyDescent="0.25">
      <c r="P868" s="223"/>
      <c r="Q868" s="223"/>
    </row>
    <row r="869" spans="16:17" ht="13.45" x14ac:dyDescent="0.25">
      <c r="P869" s="223"/>
      <c r="Q869" s="223"/>
    </row>
    <row r="870" spans="16:17" ht="13.45" x14ac:dyDescent="0.25">
      <c r="P870" s="223"/>
      <c r="Q870" s="223"/>
    </row>
    <row r="871" spans="16:17" ht="13.45" x14ac:dyDescent="0.25">
      <c r="P871" s="223"/>
      <c r="Q871" s="223"/>
    </row>
    <row r="872" spans="16:17" ht="13.45" x14ac:dyDescent="0.25">
      <c r="P872" s="223"/>
      <c r="Q872" s="223"/>
    </row>
    <row r="873" spans="16:17" ht="13.45" x14ac:dyDescent="0.25">
      <c r="P873" s="223"/>
      <c r="Q873" s="223"/>
    </row>
    <row r="874" spans="16:17" ht="13.45" x14ac:dyDescent="0.25">
      <c r="P874" s="223"/>
      <c r="Q874" s="223"/>
    </row>
    <row r="875" spans="16:17" ht="13.45" x14ac:dyDescent="0.25">
      <c r="P875" s="223"/>
      <c r="Q875" s="223"/>
    </row>
    <row r="876" spans="16:17" ht="13.45" x14ac:dyDescent="0.25">
      <c r="P876" s="223"/>
      <c r="Q876" s="223"/>
    </row>
    <row r="877" spans="16:17" ht="13.45" x14ac:dyDescent="0.25">
      <c r="P877" s="223"/>
      <c r="Q877" s="223"/>
    </row>
    <row r="878" spans="16:17" ht="13.45" x14ac:dyDescent="0.25">
      <c r="P878" s="223"/>
      <c r="Q878" s="223"/>
    </row>
    <row r="879" spans="16:17" ht="13.45" x14ac:dyDescent="0.25">
      <c r="P879" s="223"/>
      <c r="Q879" s="223"/>
    </row>
    <row r="880" spans="16:17" ht="13.45" x14ac:dyDescent="0.25">
      <c r="P880" s="223"/>
      <c r="Q880" s="223"/>
    </row>
    <row r="881" spans="16:17" ht="13.45" x14ac:dyDescent="0.25">
      <c r="P881" s="223"/>
      <c r="Q881" s="223"/>
    </row>
    <row r="882" spans="16:17" ht="13.45" x14ac:dyDescent="0.25">
      <c r="P882" s="223"/>
      <c r="Q882" s="223"/>
    </row>
    <row r="883" spans="16:17" ht="13.45" x14ac:dyDescent="0.25">
      <c r="P883" s="223"/>
      <c r="Q883" s="223"/>
    </row>
    <row r="884" spans="16:17" ht="13.45" x14ac:dyDescent="0.25">
      <c r="P884" s="223"/>
      <c r="Q884" s="223"/>
    </row>
    <row r="885" spans="16:17" ht="13.45" x14ac:dyDescent="0.25">
      <c r="P885" s="223"/>
      <c r="Q885" s="223"/>
    </row>
    <row r="886" spans="16:17" ht="13.45" x14ac:dyDescent="0.25">
      <c r="P886" s="223"/>
      <c r="Q886" s="223"/>
    </row>
    <row r="887" spans="16:17" ht="13.45" x14ac:dyDescent="0.25">
      <c r="P887" s="223"/>
      <c r="Q887" s="223"/>
    </row>
    <row r="888" spans="16:17" ht="13.45" x14ac:dyDescent="0.25">
      <c r="P888" s="223"/>
      <c r="Q888" s="223"/>
    </row>
    <row r="889" spans="16:17" ht="13.45" x14ac:dyDescent="0.25">
      <c r="P889" s="223"/>
      <c r="Q889" s="223"/>
    </row>
    <row r="890" spans="16:17" ht="13.45" x14ac:dyDescent="0.25">
      <c r="P890" s="223"/>
      <c r="Q890" s="223"/>
    </row>
    <row r="891" spans="16:17" ht="13.45" x14ac:dyDescent="0.25">
      <c r="P891" s="223"/>
      <c r="Q891" s="223"/>
    </row>
    <row r="892" spans="16:17" ht="13.45" x14ac:dyDescent="0.25">
      <c r="P892" s="223"/>
      <c r="Q892" s="223"/>
    </row>
    <row r="893" spans="16:17" ht="13.45" x14ac:dyDescent="0.25">
      <c r="P893" s="223"/>
      <c r="Q893" s="223"/>
    </row>
    <row r="894" spans="16:17" ht="13.45" x14ac:dyDescent="0.25">
      <c r="P894" s="223"/>
      <c r="Q894" s="223"/>
    </row>
    <row r="895" spans="16:17" ht="13.45" x14ac:dyDescent="0.25">
      <c r="P895" s="223"/>
      <c r="Q895" s="223"/>
    </row>
    <row r="896" spans="16:17" ht="13.45" x14ac:dyDescent="0.25">
      <c r="P896" s="223"/>
      <c r="Q896" s="223"/>
    </row>
    <row r="897" spans="16:17" ht="13.45" x14ac:dyDescent="0.25">
      <c r="P897" s="223"/>
      <c r="Q897" s="223"/>
    </row>
    <row r="898" spans="16:17" ht="13.45" x14ac:dyDescent="0.25">
      <c r="P898" s="223"/>
      <c r="Q898" s="223"/>
    </row>
    <row r="899" spans="16:17" ht="13.45" x14ac:dyDescent="0.25">
      <c r="P899" s="223"/>
      <c r="Q899" s="223"/>
    </row>
    <row r="900" spans="16:17" ht="13.45" x14ac:dyDescent="0.25">
      <c r="P900" s="223"/>
      <c r="Q900" s="223"/>
    </row>
    <row r="901" spans="16:17" ht="13.45" x14ac:dyDescent="0.25">
      <c r="P901" s="223"/>
      <c r="Q901" s="223"/>
    </row>
    <row r="902" spans="16:17" ht="13.45" x14ac:dyDescent="0.25">
      <c r="P902" s="223"/>
      <c r="Q902" s="223"/>
    </row>
    <row r="903" spans="16:17" ht="13.45" x14ac:dyDescent="0.25">
      <c r="P903" s="223"/>
      <c r="Q903" s="223"/>
    </row>
    <row r="904" spans="16:17" ht="13.45" x14ac:dyDescent="0.25">
      <c r="P904" s="223"/>
      <c r="Q904" s="223"/>
    </row>
    <row r="905" spans="16:17" ht="13.45" x14ac:dyDescent="0.25">
      <c r="P905" s="223"/>
      <c r="Q905" s="223"/>
    </row>
    <row r="906" spans="16:17" ht="13.45" x14ac:dyDescent="0.25">
      <c r="P906" s="223"/>
      <c r="Q906" s="223"/>
    </row>
    <row r="907" spans="16:17" ht="13.45" x14ac:dyDescent="0.25">
      <c r="P907" s="223"/>
      <c r="Q907" s="223"/>
    </row>
    <row r="908" spans="16:17" ht="13.45" x14ac:dyDescent="0.25">
      <c r="P908" s="223"/>
      <c r="Q908" s="223"/>
    </row>
    <row r="909" spans="16:17" ht="13.45" x14ac:dyDescent="0.25">
      <c r="P909" s="223"/>
      <c r="Q909" s="223"/>
    </row>
    <row r="910" spans="16:17" ht="13.45" x14ac:dyDescent="0.25">
      <c r="P910" s="223"/>
      <c r="Q910" s="223"/>
    </row>
    <row r="911" spans="16:17" ht="13.45" x14ac:dyDescent="0.25">
      <c r="P911" s="223"/>
      <c r="Q911" s="223"/>
    </row>
    <row r="912" spans="16:17" ht="13.45" x14ac:dyDescent="0.25">
      <c r="P912" s="223"/>
      <c r="Q912" s="223"/>
    </row>
    <row r="913" spans="16:17" ht="13.45" x14ac:dyDescent="0.25">
      <c r="P913" s="223"/>
      <c r="Q913" s="223"/>
    </row>
    <row r="914" spans="16:17" ht="13.45" x14ac:dyDescent="0.25">
      <c r="P914" s="223"/>
      <c r="Q914" s="223"/>
    </row>
    <row r="915" spans="16:17" ht="13.45" x14ac:dyDescent="0.25">
      <c r="P915" s="223"/>
      <c r="Q915" s="223"/>
    </row>
    <row r="916" spans="16:17" ht="13.45" x14ac:dyDescent="0.25">
      <c r="P916" s="223"/>
      <c r="Q916" s="223"/>
    </row>
    <row r="917" spans="16:17" ht="13.45" x14ac:dyDescent="0.25">
      <c r="P917" s="223"/>
      <c r="Q917" s="223"/>
    </row>
    <row r="918" spans="16:17" ht="13.45" x14ac:dyDescent="0.25">
      <c r="P918" s="223"/>
      <c r="Q918" s="223"/>
    </row>
    <row r="919" spans="16:17" ht="13.45" x14ac:dyDescent="0.25">
      <c r="P919" s="223"/>
      <c r="Q919" s="223"/>
    </row>
    <row r="920" spans="16:17" ht="13.45" x14ac:dyDescent="0.25">
      <c r="P920" s="223"/>
      <c r="Q920" s="223"/>
    </row>
    <row r="921" spans="16:17" ht="13.45" x14ac:dyDescent="0.25">
      <c r="P921" s="223"/>
      <c r="Q921" s="223"/>
    </row>
    <row r="922" spans="16:17" ht="13.45" x14ac:dyDescent="0.25">
      <c r="P922" s="223"/>
      <c r="Q922" s="223"/>
    </row>
    <row r="923" spans="16:17" ht="13.45" x14ac:dyDescent="0.25">
      <c r="P923" s="223"/>
      <c r="Q923" s="223"/>
    </row>
    <row r="924" spans="16:17" ht="13.45" x14ac:dyDescent="0.25">
      <c r="P924" s="223"/>
      <c r="Q924" s="223"/>
    </row>
    <row r="925" spans="16:17" ht="13.45" x14ac:dyDescent="0.25">
      <c r="P925" s="223"/>
      <c r="Q925" s="223"/>
    </row>
    <row r="926" spans="16:17" ht="13.45" x14ac:dyDescent="0.25">
      <c r="P926" s="223"/>
      <c r="Q926" s="223"/>
    </row>
    <row r="927" spans="16:17" ht="13.45" x14ac:dyDescent="0.25">
      <c r="P927" s="223"/>
      <c r="Q927" s="223"/>
    </row>
    <row r="928" spans="16:17" ht="13.45" x14ac:dyDescent="0.25">
      <c r="P928" s="223"/>
      <c r="Q928" s="223"/>
    </row>
    <row r="929" spans="16:17" ht="13.45" x14ac:dyDescent="0.25">
      <c r="P929" s="223"/>
      <c r="Q929" s="223"/>
    </row>
    <row r="930" spans="16:17" ht="13.45" x14ac:dyDescent="0.25">
      <c r="P930" s="223"/>
      <c r="Q930" s="223"/>
    </row>
    <row r="931" spans="16:17" ht="13.45" x14ac:dyDescent="0.25">
      <c r="P931" s="223"/>
      <c r="Q931" s="223"/>
    </row>
    <row r="932" spans="16:17" ht="13.45" x14ac:dyDescent="0.25">
      <c r="P932" s="223"/>
      <c r="Q932" s="223"/>
    </row>
    <row r="933" spans="16:17" ht="13.45" x14ac:dyDescent="0.25">
      <c r="P933" s="223"/>
      <c r="Q933" s="223"/>
    </row>
    <row r="934" spans="16:17" ht="13.45" x14ac:dyDescent="0.25">
      <c r="P934" s="223"/>
      <c r="Q934" s="223"/>
    </row>
    <row r="935" spans="16:17" ht="13.45" x14ac:dyDescent="0.25">
      <c r="P935" s="223"/>
      <c r="Q935" s="223"/>
    </row>
    <row r="936" spans="16:17" ht="13.45" x14ac:dyDescent="0.25">
      <c r="P936" s="223"/>
      <c r="Q936" s="223"/>
    </row>
    <row r="937" spans="16:17" ht="13.45" x14ac:dyDescent="0.25">
      <c r="P937" s="223"/>
      <c r="Q937" s="223"/>
    </row>
    <row r="938" spans="16:17" ht="13.45" x14ac:dyDescent="0.25">
      <c r="P938" s="223"/>
      <c r="Q938" s="223"/>
    </row>
    <row r="939" spans="16:17" ht="13.45" x14ac:dyDescent="0.25">
      <c r="P939" s="223"/>
      <c r="Q939" s="223"/>
    </row>
    <row r="940" spans="16:17" ht="13.45" x14ac:dyDescent="0.25">
      <c r="P940" s="223"/>
      <c r="Q940" s="223"/>
    </row>
    <row r="941" spans="16:17" ht="13.45" x14ac:dyDescent="0.25">
      <c r="P941" s="223"/>
      <c r="Q941" s="223"/>
    </row>
    <row r="942" spans="16:17" ht="13.45" x14ac:dyDescent="0.25">
      <c r="P942" s="223"/>
      <c r="Q942" s="223"/>
    </row>
    <row r="943" spans="16:17" ht="13.45" x14ac:dyDescent="0.25">
      <c r="P943" s="223"/>
      <c r="Q943" s="223"/>
    </row>
    <row r="944" spans="16:17" ht="13.45" x14ac:dyDescent="0.25">
      <c r="P944" s="223"/>
      <c r="Q944" s="223"/>
    </row>
    <row r="945" spans="16:17" ht="13.45" x14ac:dyDescent="0.25">
      <c r="P945" s="223"/>
      <c r="Q945" s="223"/>
    </row>
    <row r="946" spans="16:17" ht="13.45" x14ac:dyDescent="0.25">
      <c r="P946" s="223"/>
      <c r="Q946" s="223"/>
    </row>
    <row r="947" spans="16:17" ht="13.45" x14ac:dyDescent="0.25">
      <c r="P947" s="223"/>
      <c r="Q947" s="223"/>
    </row>
    <row r="948" spans="16:17" ht="13.45" x14ac:dyDescent="0.25">
      <c r="P948" s="223"/>
      <c r="Q948" s="223"/>
    </row>
    <row r="949" spans="16:17" ht="13.45" x14ac:dyDescent="0.25">
      <c r="P949" s="223"/>
      <c r="Q949" s="223"/>
    </row>
    <row r="950" spans="16:17" ht="13.45" x14ac:dyDescent="0.25">
      <c r="P950" s="223"/>
      <c r="Q950" s="223"/>
    </row>
    <row r="951" spans="16:17" ht="13.45" x14ac:dyDescent="0.25">
      <c r="P951" s="223"/>
      <c r="Q951" s="223"/>
    </row>
    <row r="952" spans="16:17" ht="13.45" x14ac:dyDescent="0.25">
      <c r="P952" s="223"/>
      <c r="Q952" s="223"/>
    </row>
    <row r="953" spans="16:17" ht="13.45" x14ac:dyDescent="0.25">
      <c r="P953" s="223"/>
      <c r="Q953" s="223"/>
    </row>
    <row r="954" spans="16:17" ht="13.45" x14ac:dyDescent="0.25">
      <c r="P954" s="223"/>
      <c r="Q954" s="223"/>
    </row>
    <row r="955" spans="16:17" ht="13.45" x14ac:dyDescent="0.25">
      <c r="P955" s="223"/>
      <c r="Q955" s="223"/>
    </row>
    <row r="956" spans="16:17" ht="13.45" x14ac:dyDescent="0.25">
      <c r="P956" s="223"/>
      <c r="Q956" s="223"/>
    </row>
    <row r="957" spans="16:17" ht="13.45" x14ac:dyDescent="0.25">
      <c r="P957" s="223"/>
      <c r="Q957" s="223"/>
    </row>
    <row r="958" spans="16:17" ht="13.45" x14ac:dyDescent="0.25">
      <c r="P958" s="223"/>
      <c r="Q958" s="223"/>
    </row>
    <row r="959" spans="16:17" ht="13.45" x14ac:dyDescent="0.25">
      <c r="P959" s="223"/>
      <c r="Q959" s="223"/>
    </row>
    <row r="960" spans="16:17" ht="13.45" x14ac:dyDescent="0.25">
      <c r="P960" s="223"/>
      <c r="Q960" s="223"/>
    </row>
    <row r="961" spans="16:17" ht="13.45" x14ac:dyDescent="0.25">
      <c r="P961" s="223"/>
      <c r="Q961" s="223"/>
    </row>
    <row r="962" spans="16:17" ht="13.45" x14ac:dyDescent="0.25">
      <c r="P962" s="223"/>
      <c r="Q962" s="223"/>
    </row>
    <row r="963" spans="16:17" ht="13.45" x14ac:dyDescent="0.25">
      <c r="P963" s="223"/>
      <c r="Q963" s="223"/>
    </row>
    <row r="964" spans="16:17" ht="13.45" x14ac:dyDescent="0.25">
      <c r="P964" s="223"/>
      <c r="Q964" s="223"/>
    </row>
    <row r="965" spans="16:17" ht="13.45" x14ac:dyDescent="0.25">
      <c r="P965" s="223"/>
      <c r="Q965" s="223"/>
    </row>
    <row r="966" spans="16:17" ht="13.45" x14ac:dyDescent="0.25">
      <c r="P966" s="223"/>
      <c r="Q966" s="223"/>
    </row>
    <row r="967" spans="16:17" ht="13.45" x14ac:dyDescent="0.25">
      <c r="P967" s="223"/>
      <c r="Q967" s="223"/>
    </row>
    <row r="968" spans="16:17" ht="13.45" x14ac:dyDescent="0.25">
      <c r="P968" s="223"/>
      <c r="Q968" s="223"/>
    </row>
    <row r="969" spans="16:17" ht="13.45" x14ac:dyDescent="0.25">
      <c r="P969" s="223"/>
      <c r="Q969" s="223"/>
    </row>
    <row r="970" spans="16:17" ht="13.45" x14ac:dyDescent="0.25">
      <c r="P970" s="223"/>
      <c r="Q970" s="223"/>
    </row>
    <row r="971" spans="16:17" ht="13.45" x14ac:dyDescent="0.25">
      <c r="P971" s="223"/>
      <c r="Q971" s="223"/>
    </row>
    <row r="972" spans="16:17" ht="13.45" x14ac:dyDescent="0.25">
      <c r="P972" s="223"/>
      <c r="Q972" s="223"/>
    </row>
    <row r="973" spans="16:17" ht="13.45" x14ac:dyDescent="0.25">
      <c r="P973" s="223"/>
      <c r="Q973" s="223"/>
    </row>
    <row r="974" spans="16:17" ht="13.45" x14ac:dyDescent="0.25">
      <c r="P974" s="223"/>
      <c r="Q974" s="223"/>
    </row>
    <row r="975" spans="16:17" ht="13.45" x14ac:dyDescent="0.25">
      <c r="P975" s="223"/>
      <c r="Q975" s="223"/>
    </row>
    <row r="976" spans="16:17" ht="13.45" x14ac:dyDescent="0.25">
      <c r="P976" s="223"/>
      <c r="Q976" s="223"/>
    </row>
    <row r="977" spans="16:17" ht="13.45" x14ac:dyDescent="0.25">
      <c r="P977" s="223"/>
      <c r="Q977" s="223"/>
    </row>
    <row r="978" spans="16:17" ht="13.45" x14ac:dyDescent="0.25">
      <c r="P978" s="223"/>
      <c r="Q978" s="223"/>
    </row>
    <row r="979" spans="16:17" ht="13.45" x14ac:dyDescent="0.25">
      <c r="P979" s="223"/>
      <c r="Q979" s="223"/>
    </row>
    <row r="980" spans="16:17" ht="13.45" x14ac:dyDescent="0.25">
      <c r="P980" s="223"/>
      <c r="Q980" s="223"/>
    </row>
    <row r="981" spans="16:17" ht="13.45" x14ac:dyDescent="0.25">
      <c r="P981" s="223"/>
      <c r="Q981" s="223"/>
    </row>
    <row r="982" spans="16:17" ht="13.45" x14ac:dyDescent="0.25">
      <c r="P982" s="223"/>
      <c r="Q982" s="223"/>
    </row>
    <row r="983" spans="16:17" ht="13.45" x14ac:dyDescent="0.25">
      <c r="P983" s="223"/>
      <c r="Q983" s="223"/>
    </row>
    <row r="984" spans="16:17" ht="13.45" x14ac:dyDescent="0.25">
      <c r="P984" s="223"/>
      <c r="Q984" s="223"/>
    </row>
    <row r="985" spans="16:17" ht="13.45" x14ac:dyDescent="0.25">
      <c r="P985" s="223"/>
      <c r="Q985" s="223"/>
    </row>
    <row r="986" spans="16:17" ht="13.45" x14ac:dyDescent="0.25">
      <c r="P986" s="223"/>
      <c r="Q986" s="223"/>
    </row>
    <row r="987" spans="16:17" ht="13.45" x14ac:dyDescent="0.25">
      <c r="P987" s="223"/>
      <c r="Q987" s="223"/>
    </row>
    <row r="988" spans="16:17" ht="13.45" x14ac:dyDescent="0.25">
      <c r="P988" s="223"/>
      <c r="Q988" s="223"/>
    </row>
    <row r="989" spans="16:17" ht="13.45" x14ac:dyDescent="0.25">
      <c r="P989" s="223"/>
      <c r="Q989" s="223"/>
    </row>
    <row r="990" spans="16:17" ht="13.45" x14ac:dyDescent="0.25">
      <c r="P990" s="223"/>
      <c r="Q990" s="223"/>
    </row>
    <row r="991" spans="16:17" ht="13.45" x14ac:dyDescent="0.25">
      <c r="P991" s="223"/>
      <c r="Q991" s="223"/>
    </row>
    <row r="992" spans="16:17" ht="13.45" x14ac:dyDescent="0.25">
      <c r="P992" s="223"/>
      <c r="Q992" s="223"/>
    </row>
    <row r="993" spans="16:17" ht="13.45" x14ac:dyDescent="0.25">
      <c r="P993" s="223"/>
      <c r="Q993" s="223"/>
    </row>
    <row r="994" spans="16:17" ht="13.45" x14ac:dyDescent="0.25">
      <c r="P994" s="223"/>
      <c r="Q994" s="223"/>
    </row>
    <row r="995" spans="16:17" ht="13.45" x14ac:dyDescent="0.25">
      <c r="P995" s="223"/>
      <c r="Q995" s="223"/>
    </row>
    <row r="996" spans="16:17" ht="13.45" x14ac:dyDescent="0.25">
      <c r="P996" s="223"/>
      <c r="Q996" s="223"/>
    </row>
    <row r="997" spans="16:17" ht="13.45" x14ac:dyDescent="0.25">
      <c r="P997" s="223"/>
      <c r="Q997" s="223"/>
    </row>
    <row r="998" spans="16:17" ht="13.45" x14ac:dyDescent="0.25">
      <c r="P998" s="223"/>
      <c r="Q998" s="223"/>
    </row>
    <row r="999" spans="16:17" ht="13.45" x14ac:dyDescent="0.25">
      <c r="P999" s="223"/>
      <c r="Q999" s="223"/>
    </row>
    <row r="1000" spans="16:17" ht="13.45" x14ac:dyDescent="0.25">
      <c r="P1000" s="223"/>
      <c r="Q1000" s="223"/>
    </row>
  </sheetData>
  <mergeCells count="1">
    <mergeCell ref="N6:Q6"/>
  </mergeCells>
  <pageMargins left="0.51180555555555596" right="0.51180555555555596" top="0.78749999999999998" bottom="0.78749999999999998" header="0.511811023622047" footer="0.511811023622047"/>
  <pageSetup paperSize="9" orientation="portrait" horizontalDpi="300" verticalDpi="300"/>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filterMode="1"/>
  <dimension ref="A3:Z69"/>
  <sheetViews>
    <sheetView topLeftCell="A59" zoomScale="110" zoomScaleNormal="110" workbookViewId="0">
      <selection activeCell="D4" activeCellId="1" sqref="B9 D4"/>
    </sheetView>
  </sheetViews>
  <sheetFormatPr defaultColWidth="12.6328125" defaultRowHeight="14.25" customHeight="1" x14ac:dyDescent="0.25"/>
  <cols>
    <col min="4" max="4" width="33.453125" customWidth="1"/>
  </cols>
  <sheetData>
    <row r="3" spans="2:7" ht="37.5" customHeight="1" x14ac:dyDescent="0.25">
      <c r="C3" s="212" t="s">
        <v>149</v>
      </c>
      <c r="D3" s="212" t="s">
        <v>150</v>
      </c>
      <c r="E3" s="212" t="s">
        <v>118</v>
      </c>
      <c r="F3" s="212" t="s">
        <v>970</v>
      </c>
      <c r="G3" s="212" t="s">
        <v>1651</v>
      </c>
    </row>
    <row r="4" spans="2:7" ht="14" x14ac:dyDescent="0.3">
      <c r="C4" s="249" t="s">
        <v>1767</v>
      </c>
      <c r="D4" s="468" t="s">
        <v>1768</v>
      </c>
      <c r="E4" s="469" t="s">
        <v>171</v>
      </c>
      <c r="F4" s="498" t="s">
        <v>159</v>
      </c>
      <c r="G4" s="469" t="s">
        <v>1107</v>
      </c>
    </row>
    <row r="5" spans="2:7" ht="14" x14ac:dyDescent="0.3">
      <c r="C5" s="249" t="s">
        <v>1769</v>
      </c>
      <c r="D5" s="468" t="s">
        <v>1770</v>
      </c>
      <c r="E5" s="469" t="s">
        <v>171</v>
      </c>
      <c r="F5" s="498" t="s">
        <v>159</v>
      </c>
      <c r="G5" s="469" t="s">
        <v>1107</v>
      </c>
    </row>
    <row r="6" spans="2:7" ht="14" x14ac:dyDescent="0.3">
      <c r="C6" s="249" t="s">
        <v>1771</v>
      </c>
      <c r="D6" s="468" t="s">
        <v>1772</v>
      </c>
      <c r="E6" s="469" t="s">
        <v>178</v>
      </c>
      <c r="F6" s="498" t="s">
        <v>159</v>
      </c>
      <c r="G6" s="469" t="s">
        <v>1107</v>
      </c>
    </row>
    <row r="7" spans="2:7" ht="14" x14ac:dyDescent="0.3">
      <c r="C7" s="249" t="s">
        <v>1773</v>
      </c>
      <c r="D7" s="468" t="s">
        <v>1774</v>
      </c>
      <c r="E7" s="469" t="s">
        <v>178</v>
      </c>
      <c r="F7" s="498" t="s">
        <v>168</v>
      </c>
      <c r="G7" s="469" t="s">
        <v>1107</v>
      </c>
    </row>
    <row r="8" spans="2:7" ht="14" x14ac:dyDescent="0.3">
      <c r="C8" s="249" t="s">
        <v>1775</v>
      </c>
      <c r="D8" s="468" t="s">
        <v>1776</v>
      </c>
      <c r="E8" s="469" t="s">
        <v>178</v>
      </c>
      <c r="F8" s="498" t="s">
        <v>159</v>
      </c>
      <c r="G8" s="469" t="s">
        <v>1107</v>
      </c>
    </row>
    <row r="9" spans="2:7" ht="14" x14ac:dyDescent="0.3">
      <c r="C9" s="249" t="s">
        <v>1777</v>
      </c>
      <c r="D9" s="468" t="s">
        <v>1778</v>
      </c>
      <c r="E9" s="469" t="s">
        <v>167</v>
      </c>
      <c r="F9" s="498" t="s">
        <v>159</v>
      </c>
      <c r="G9" s="469" t="s">
        <v>1107</v>
      </c>
    </row>
    <row r="10" spans="2:7" ht="14" x14ac:dyDescent="0.3">
      <c r="C10" s="249" t="s">
        <v>1779</v>
      </c>
      <c r="D10" s="468" t="s">
        <v>1780</v>
      </c>
      <c r="E10" s="469" t="s">
        <v>171</v>
      </c>
      <c r="F10" s="498" t="s">
        <v>159</v>
      </c>
      <c r="G10" s="469" t="s">
        <v>1107</v>
      </c>
    </row>
    <row r="11" spans="2:7" ht="14" x14ac:dyDescent="0.3">
      <c r="C11" s="249" t="s">
        <v>1781</v>
      </c>
      <c r="D11" s="468" t="s">
        <v>1782</v>
      </c>
      <c r="E11" s="469" t="s">
        <v>171</v>
      </c>
      <c r="F11" s="498" t="s">
        <v>159</v>
      </c>
      <c r="G11" s="469" t="s">
        <v>1107</v>
      </c>
    </row>
    <row r="12" spans="2:7" ht="14" x14ac:dyDescent="0.3">
      <c r="C12" s="249" t="s">
        <v>1783</v>
      </c>
      <c r="D12" s="468" t="s">
        <v>1784</v>
      </c>
      <c r="E12" s="469" t="s">
        <v>178</v>
      </c>
      <c r="F12" s="498" t="s">
        <v>159</v>
      </c>
      <c r="G12" s="469" t="s">
        <v>1107</v>
      </c>
    </row>
    <row r="13" spans="2:7" ht="14" x14ac:dyDescent="0.3">
      <c r="C13" s="249" t="s">
        <v>1785</v>
      </c>
      <c r="D13" s="468" t="s">
        <v>1786</v>
      </c>
      <c r="E13" s="469" t="s">
        <v>171</v>
      </c>
      <c r="F13" s="498" t="s">
        <v>159</v>
      </c>
      <c r="G13" s="469" t="s">
        <v>1107</v>
      </c>
    </row>
    <row r="14" spans="2:7" ht="14" x14ac:dyDescent="0.3">
      <c r="C14" s="249" t="s">
        <v>1787</v>
      </c>
      <c r="D14" s="468" t="s">
        <v>1788</v>
      </c>
      <c r="E14" s="469" t="s">
        <v>178</v>
      </c>
      <c r="F14" s="498" t="s">
        <v>159</v>
      </c>
      <c r="G14" s="469" t="s">
        <v>1107</v>
      </c>
    </row>
    <row r="15" spans="2:7" ht="14" x14ac:dyDescent="0.3">
      <c r="B15" s="479"/>
      <c r="C15" s="249" t="s">
        <v>1789</v>
      </c>
      <c r="D15" s="468" t="s">
        <v>1790</v>
      </c>
      <c r="E15" s="469" t="s">
        <v>171</v>
      </c>
      <c r="F15" s="498" t="s">
        <v>159</v>
      </c>
      <c r="G15" s="469" t="s">
        <v>1107</v>
      </c>
    </row>
    <row r="16" spans="2:7" ht="14" hidden="1" x14ac:dyDescent="0.3">
      <c r="C16" s="249" t="s">
        <v>1791</v>
      </c>
      <c r="D16" s="468" t="s">
        <v>1792</v>
      </c>
      <c r="E16" s="469" t="s">
        <v>171</v>
      </c>
      <c r="F16" s="498" t="s">
        <v>159</v>
      </c>
      <c r="G16" s="469" t="s">
        <v>1039</v>
      </c>
    </row>
    <row r="17" spans="1:26" ht="14" hidden="1" x14ac:dyDescent="0.3">
      <c r="C17" s="249" t="s">
        <v>1793</v>
      </c>
      <c r="D17" s="468" t="s">
        <v>1794</v>
      </c>
      <c r="E17" s="469" t="s">
        <v>171</v>
      </c>
      <c r="F17" s="498" t="s">
        <v>159</v>
      </c>
      <c r="G17" s="469" t="s">
        <v>1039</v>
      </c>
    </row>
    <row r="18" spans="1:26" ht="14" hidden="1" x14ac:dyDescent="0.3">
      <c r="C18" s="249" t="s">
        <v>1795</v>
      </c>
      <c r="D18" s="468" t="s">
        <v>1796</v>
      </c>
      <c r="E18" s="469" t="s">
        <v>171</v>
      </c>
      <c r="F18" s="498" t="s">
        <v>159</v>
      </c>
      <c r="G18" s="469" t="s">
        <v>1039</v>
      </c>
    </row>
    <row r="19" spans="1:26" ht="14" hidden="1" x14ac:dyDescent="0.3">
      <c r="C19" s="249" t="s">
        <v>1797</v>
      </c>
      <c r="D19" s="468" t="s">
        <v>1798</v>
      </c>
      <c r="E19" s="469" t="s">
        <v>171</v>
      </c>
      <c r="F19" s="498" t="s">
        <v>159</v>
      </c>
      <c r="G19" s="469" t="s">
        <v>1039</v>
      </c>
    </row>
    <row r="20" spans="1:26" ht="14" hidden="1" x14ac:dyDescent="0.3">
      <c r="C20" s="249" t="s">
        <v>1799</v>
      </c>
      <c r="D20" s="468" t="s">
        <v>1800</v>
      </c>
      <c r="E20" s="469" t="s">
        <v>171</v>
      </c>
      <c r="F20" s="498" t="s">
        <v>159</v>
      </c>
      <c r="G20" s="469" t="s">
        <v>1039</v>
      </c>
    </row>
    <row r="21" spans="1:26" ht="14" hidden="1" x14ac:dyDescent="0.3">
      <c r="C21" s="249" t="s">
        <v>1801</v>
      </c>
      <c r="D21" s="468" t="s">
        <v>1802</v>
      </c>
      <c r="E21" s="469" t="s">
        <v>171</v>
      </c>
      <c r="F21" s="498" t="s">
        <v>159</v>
      </c>
      <c r="G21" s="469" t="s">
        <v>1039</v>
      </c>
    </row>
    <row r="22" spans="1:26" ht="14" hidden="1" x14ac:dyDescent="0.3">
      <c r="C22" s="249" t="s">
        <v>1803</v>
      </c>
      <c r="D22" s="468" t="s">
        <v>1804</v>
      </c>
      <c r="E22" s="469" t="s">
        <v>178</v>
      </c>
      <c r="F22" s="498" t="s">
        <v>159</v>
      </c>
      <c r="G22" s="469" t="s">
        <v>1039</v>
      </c>
    </row>
    <row r="23" spans="1:26" ht="14" hidden="1" x14ac:dyDescent="0.3">
      <c r="C23" s="249" t="s">
        <v>1805</v>
      </c>
      <c r="D23" s="468" t="s">
        <v>1806</v>
      </c>
      <c r="E23" s="469" t="s">
        <v>178</v>
      </c>
      <c r="F23" s="498" t="s">
        <v>159</v>
      </c>
      <c r="G23" s="469" t="s">
        <v>1039</v>
      </c>
    </row>
    <row r="24" spans="1:26" ht="14" hidden="1" x14ac:dyDescent="0.3">
      <c r="C24" s="249" t="s">
        <v>1807</v>
      </c>
      <c r="D24" s="468" t="s">
        <v>1808</v>
      </c>
      <c r="E24" s="469" t="s">
        <v>178</v>
      </c>
      <c r="F24" s="498" t="s">
        <v>159</v>
      </c>
      <c r="G24" s="469" t="s">
        <v>1039</v>
      </c>
    </row>
    <row r="25" spans="1:26" ht="14" hidden="1" x14ac:dyDescent="0.3">
      <c r="C25" s="249" t="s">
        <v>1809</v>
      </c>
      <c r="D25" s="468" t="s">
        <v>1810</v>
      </c>
      <c r="E25" s="469" t="s">
        <v>171</v>
      </c>
      <c r="F25" s="498" t="s">
        <v>159</v>
      </c>
      <c r="G25" s="469" t="s">
        <v>1039</v>
      </c>
    </row>
    <row r="26" spans="1:26" ht="14" hidden="1" x14ac:dyDescent="0.3">
      <c r="C26" s="249" t="s">
        <v>1811</v>
      </c>
      <c r="D26" s="468" t="s">
        <v>1812</v>
      </c>
      <c r="E26" s="469" t="s">
        <v>178</v>
      </c>
      <c r="F26" s="498" t="s">
        <v>159</v>
      </c>
      <c r="G26" s="469" t="s">
        <v>1039</v>
      </c>
    </row>
    <row r="27" spans="1:26" ht="14" hidden="1" x14ac:dyDescent="0.3">
      <c r="A27" s="16"/>
      <c r="B27" s="276"/>
      <c r="C27" s="285" t="s">
        <v>1813</v>
      </c>
      <c r="D27" s="499" t="s">
        <v>1814</v>
      </c>
      <c r="E27" s="469" t="s">
        <v>178</v>
      </c>
      <c r="F27" s="498" t="s">
        <v>168</v>
      </c>
      <c r="G27" s="469" t="s">
        <v>1039</v>
      </c>
      <c r="H27" s="16"/>
      <c r="I27" s="16"/>
      <c r="J27" s="16"/>
      <c r="K27" s="16"/>
      <c r="L27" s="16"/>
      <c r="M27" s="16"/>
      <c r="N27" s="16"/>
      <c r="O27" s="16"/>
      <c r="P27" s="16"/>
      <c r="Q27" s="16"/>
      <c r="R27" s="16"/>
      <c r="S27" s="16"/>
      <c r="T27" s="16"/>
      <c r="U27" s="16"/>
      <c r="V27" s="16"/>
      <c r="W27" s="16"/>
      <c r="X27" s="16"/>
      <c r="Y27" s="16"/>
      <c r="Z27" s="16"/>
    </row>
    <row r="28" spans="1:26" ht="14" hidden="1" x14ac:dyDescent="0.3">
      <c r="C28" s="249" t="s">
        <v>1815</v>
      </c>
      <c r="D28" s="468" t="s">
        <v>1816</v>
      </c>
      <c r="E28" s="469" t="s">
        <v>171</v>
      </c>
      <c r="F28" s="498" t="s">
        <v>159</v>
      </c>
      <c r="G28" s="469" t="s">
        <v>1056</v>
      </c>
    </row>
    <row r="29" spans="1:26" ht="14" hidden="1" x14ac:dyDescent="0.3">
      <c r="C29" s="249" t="s">
        <v>1817</v>
      </c>
      <c r="D29" s="468" t="s">
        <v>1818</v>
      </c>
      <c r="E29" s="469" t="s">
        <v>171</v>
      </c>
      <c r="F29" s="498" t="s">
        <v>159</v>
      </c>
      <c r="G29" s="469" t="s">
        <v>1056</v>
      </c>
    </row>
    <row r="30" spans="1:26" ht="14" hidden="1" x14ac:dyDescent="0.3">
      <c r="C30" s="249" t="s">
        <v>1819</v>
      </c>
      <c r="D30" s="468" t="s">
        <v>1820</v>
      </c>
      <c r="E30" s="469" t="s">
        <v>178</v>
      </c>
      <c r="F30" s="498" t="s">
        <v>168</v>
      </c>
      <c r="G30" s="469" t="s">
        <v>1056</v>
      </c>
    </row>
    <row r="31" spans="1:26" ht="14" hidden="1" x14ac:dyDescent="0.3">
      <c r="C31" s="249" t="s">
        <v>1821</v>
      </c>
      <c r="D31" s="468" t="s">
        <v>1822</v>
      </c>
      <c r="E31" s="469" t="s">
        <v>171</v>
      </c>
      <c r="F31" s="498" t="s">
        <v>159</v>
      </c>
      <c r="G31" s="469" t="s">
        <v>1056</v>
      </c>
    </row>
    <row r="32" spans="1:26" ht="14" hidden="1" x14ac:dyDescent="0.3">
      <c r="C32" s="249" t="s">
        <v>1823</v>
      </c>
      <c r="D32" s="468" t="s">
        <v>1824</v>
      </c>
      <c r="E32" s="469" t="s">
        <v>178</v>
      </c>
      <c r="F32" s="498" t="s">
        <v>159</v>
      </c>
      <c r="G32" s="469" t="s">
        <v>1056</v>
      </c>
    </row>
    <row r="33" spans="3:7" ht="14" hidden="1" x14ac:dyDescent="0.3">
      <c r="C33" s="249" t="s">
        <v>1825</v>
      </c>
      <c r="D33" s="468" t="s">
        <v>1826</v>
      </c>
      <c r="E33" s="469" t="s">
        <v>178</v>
      </c>
      <c r="F33" s="498" t="s">
        <v>159</v>
      </c>
      <c r="G33" s="469" t="s">
        <v>1056</v>
      </c>
    </row>
    <row r="34" spans="3:7" ht="14" hidden="1" x14ac:dyDescent="0.3">
      <c r="C34" s="249" t="s">
        <v>1827</v>
      </c>
      <c r="D34" s="468" t="s">
        <v>1828</v>
      </c>
      <c r="E34" s="469" t="s">
        <v>171</v>
      </c>
      <c r="F34" s="498" t="s">
        <v>159</v>
      </c>
      <c r="G34" s="469" t="s">
        <v>1056</v>
      </c>
    </row>
    <row r="35" spans="3:7" ht="14" hidden="1" x14ac:dyDescent="0.3">
      <c r="C35" s="249" t="s">
        <v>1829</v>
      </c>
      <c r="D35" s="468" t="s">
        <v>1830</v>
      </c>
      <c r="E35" s="469" t="s">
        <v>167</v>
      </c>
      <c r="F35" s="498" t="s">
        <v>159</v>
      </c>
      <c r="G35" s="469" t="s">
        <v>1056</v>
      </c>
    </row>
    <row r="36" spans="3:7" ht="14" hidden="1" x14ac:dyDescent="0.3">
      <c r="C36" s="249" t="s">
        <v>1831</v>
      </c>
      <c r="D36" s="468" t="s">
        <v>1832</v>
      </c>
      <c r="E36" s="469" t="s">
        <v>171</v>
      </c>
      <c r="F36" s="498" t="s">
        <v>159</v>
      </c>
      <c r="G36" s="469" t="s">
        <v>1056</v>
      </c>
    </row>
    <row r="37" spans="3:7" ht="14" hidden="1" x14ac:dyDescent="0.3">
      <c r="C37" s="249" t="s">
        <v>1833</v>
      </c>
      <c r="D37" s="468" t="s">
        <v>1834</v>
      </c>
      <c r="E37" s="469" t="s">
        <v>178</v>
      </c>
      <c r="F37" s="498" t="s">
        <v>159</v>
      </c>
      <c r="G37" s="469" t="s">
        <v>1056</v>
      </c>
    </row>
    <row r="38" spans="3:7" ht="14" hidden="1" x14ac:dyDescent="0.3">
      <c r="C38" s="249" t="s">
        <v>1835</v>
      </c>
      <c r="D38" s="468" t="s">
        <v>1836</v>
      </c>
      <c r="E38" s="469" t="s">
        <v>171</v>
      </c>
      <c r="F38" s="498" t="s">
        <v>159</v>
      </c>
      <c r="G38" s="469" t="s">
        <v>1056</v>
      </c>
    </row>
    <row r="39" spans="3:7" ht="14" hidden="1" x14ac:dyDescent="0.3">
      <c r="C39" s="249" t="s">
        <v>1837</v>
      </c>
      <c r="D39" s="468" t="s">
        <v>1838</v>
      </c>
      <c r="E39" s="469" t="s">
        <v>178</v>
      </c>
      <c r="F39" s="498" t="s">
        <v>168</v>
      </c>
      <c r="G39" s="469" t="s">
        <v>1056</v>
      </c>
    </row>
    <row r="40" spans="3:7" ht="13.45" hidden="1" x14ac:dyDescent="0.25"/>
    <row r="42" spans="3:7" ht="14" x14ac:dyDescent="0.3">
      <c r="C42" s="16" t="s">
        <v>1000</v>
      </c>
    </row>
    <row r="43" spans="3:7" ht="14" x14ac:dyDescent="0.3">
      <c r="C43" s="16" t="s">
        <v>1839</v>
      </c>
    </row>
    <row r="45" spans="3:7" ht="14" x14ac:dyDescent="0.3">
      <c r="C45" s="16" t="s">
        <v>1002</v>
      </c>
    </row>
    <row r="46" spans="3:7" ht="14" x14ac:dyDescent="0.3">
      <c r="C46" s="16" t="s">
        <v>1840</v>
      </c>
    </row>
    <row r="49" spans="3:3" ht="14" x14ac:dyDescent="0.3">
      <c r="C49" s="16" t="s">
        <v>1841</v>
      </c>
    </row>
    <row r="51" spans="3:3" ht="14" x14ac:dyDescent="0.3">
      <c r="C51" s="16" t="s">
        <v>1842</v>
      </c>
    </row>
    <row r="52" spans="3:3" ht="14" x14ac:dyDescent="0.3">
      <c r="C52" s="500" t="s">
        <v>1843</v>
      </c>
    </row>
    <row r="53" spans="3:3" ht="295.55" x14ac:dyDescent="0.25">
      <c r="C53" s="479" t="s">
        <v>1844</v>
      </c>
    </row>
    <row r="54" spans="3:3" ht="14" x14ac:dyDescent="0.3">
      <c r="C54" s="16"/>
    </row>
    <row r="55" spans="3:3" ht="13.45" x14ac:dyDescent="0.25">
      <c r="C55" s="479" t="s">
        <v>837</v>
      </c>
    </row>
    <row r="56" spans="3:3" ht="147.80000000000001" x14ac:dyDescent="0.25">
      <c r="C56" s="479" t="s">
        <v>1845</v>
      </c>
    </row>
    <row r="57" spans="3:3" ht="120.9" x14ac:dyDescent="0.25">
      <c r="C57" s="479" t="s">
        <v>1846</v>
      </c>
    </row>
    <row r="58" spans="3:3" ht="147.80000000000001" x14ac:dyDescent="0.25">
      <c r="C58" s="479" t="s">
        <v>1847</v>
      </c>
    </row>
    <row r="59" spans="3:3" ht="120.9" x14ac:dyDescent="0.25">
      <c r="C59" s="479" t="s">
        <v>1848</v>
      </c>
    </row>
    <row r="61" spans="3:3" ht="13.45" x14ac:dyDescent="0.25">
      <c r="C61" s="337">
        <v>45047</v>
      </c>
    </row>
    <row r="62" spans="3:3" ht="94.05" x14ac:dyDescent="0.25">
      <c r="C62" s="479" t="s">
        <v>1849</v>
      </c>
    </row>
    <row r="64" spans="3:3" ht="13.45" x14ac:dyDescent="0.25">
      <c r="C64" s="337">
        <v>45078</v>
      </c>
    </row>
    <row r="65" spans="3:3" ht="14" x14ac:dyDescent="0.3">
      <c r="C65" s="501" t="s">
        <v>1850</v>
      </c>
    </row>
    <row r="67" spans="3:3" ht="13.45" x14ac:dyDescent="0.25">
      <c r="C67" s="337">
        <v>45108</v>
      </c>
    </row>
    <row r="68" spans="3:3" ht="67.2" x14ac:dyDescent="0.25">
      <c r="C68" s="479" t="s">
        <v>1851</v>
      </c>
    </row>
    <row r="69" spans="3:3" ht="53.75" x14ac:dyDescent="0.25">
      <c r="C69" s="479" t="s">
        <v>1852</v>
      </c>
    </row>
  </sheetData>
  <autoFilter ref="C3:G40" xr:uid="{00000000-0009-0000-0000-00000A000000}">
    <filterColumn colId="4">
      <filters>
        <filter val="TR1"/>
      </filters>
    </filterColumn>
  </autoFilter>
  <dataValidations count="2">
    <dataValidation type="list" allowBlank="1" showInputMessage="1" showErrorMessage="1" prompt="Clique e insira um valor de a lista de itens" sqref="E4:E39" xr:uid="{00000000-0002-0000-0A00-000000000000}">
      <formula1>"AJAJ,AJ-BIBLIOTECONOMIA,TJAA,AJAA,TJAS,AJOJ,AJEC,AJ-INFORMATICA,AJ-DESENVOLVIMENTO,TJ-INFORMÁTICA,AJ-INFRAESTRUTURA,AJ-MEDICINA,AJ-CONTADORIA,AJAE"</formula1>
      <formula2>0</formula2>
    </dataValidation>
    <dataValidation type="list" allowBlank="1" showInputMessage="1" showErrorMessage="1" prompt="Clique e insira um valor de a lista de itens" sqref="F4:F39" xr:uid="{00000000-0002-0000-0A00-000001000000}">
      <formula1>"EFETIVO,REQUISITADO,EX. PROVISÓRIO,REMOVIDO,SEM VÍNCULO,VAGO,PROVIDO,A SER PROVIDO"</formula1>
      <formula2>0</formula2>
    </dataValidation>
  </dataValidations>
  <pageMargins left="0.51180555555555596" right="0.51180555555555596" top="0.78749999999999998" bottom="0.78749999999999998" header="0.511811023622047" footer="0.511811023622047"/>
  <pageSetup orientation="landscape"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B3:I30"/>
  <sheetViews>
    <sheetView zoomScale="110" zoomScaleNormal="110" workbookViewId="0">
      <selection activeCell="D21" activeCellId="1" sqref="B9 D21"/>
    </sheetView>
  </sheetViews>
  <sheetFormatPr defaultColWidth="12.6328125" defaultRowHeight="14.25" customHeight="1" x14ac:dyDescent="0.25"/>
  <cols>
    <col min="4" max="4" width="34.6328125" customWidth="1"/>
  </cols>
  <sheetData>
    <row r="3" spans="2:8" ht="14" x14ac:dyDescent="0.25">
      <c r="C3" s="212" t="s">
        <v>149</v>
      </c>
      <c r="D3" s="212" t="s">
        <v>150</v>
      </c>
      <c r="E3" s="212" t="s">
        <v>118</v>
      </c>
      <c r="F3" s="212" t="s">
        <v>970</v>
      </c>
      <c r="G3" s="212" t="s">
        <v>1651</v>
      </c>
    </row>
    <row r="4" spans="2:8" ht="15.05" customHeight="1" x14ac:dyDescent="0.3">
      <c r="C4" s="249" t="s">
        <v>1767</v>
      </c>
      <c r="D4" s="468" t="s">
        <v>1768</v>
      </c>
      <c r="E4" s="469" t="s">
        <v>171</v>
      </c>
      <c r="F4" s="498" t="s">
        <v>159</v>
      </c>
      <c r="G4" s="469" t="s">
        <v>1107</v>
      </c>
      <c r="H4" s="476"/>
    </row>
    <row r="5" spans="2:8" ht="15.05" customHeight="1" x14ac:dyDescent="0.3">
      <c r="C5" s="249" t="s">
        <v>1769</v>
      </c>
      <c r="D5" s="468" t="s">
        <v>1770</v>
      </c>
      <c r="E5" s="469" t="s">
        <v>171</v>
      </c>
      <c r="F5" s="498" t="s">
        <v>159</v>
      </c>
      <c r="G5" s="469" t="s">
        <v>1107</v>
      </c>
      <c r="H5" s="476"/>
    </row>
    <row r="6" spans="2:8" ht="15.05" customHeight="1" x14ac:dyDescent="0.3">
      <c r="C6" s="249" t="s">
        <v>1771</v>
      </c>
      <c r="D6" s="468" t="s">
        <v>1772</v>
      </c>
      <c r="E6" s="469" t="s">
        <v>178</v>
      </c>
      <c r="F6" s="498" t="s">
        <v>159</v>
      </c>
      <c r="G6" s="469" t="s">
        <v>1107</v>
      </c>
      <c r="H6" s="476"/>
    </row>
    <row r="7" spans="2:8" ht="15.05" customHeight="1" x14ac:dyDescent="0.3">
      <c r="B7" s="479" t="s">
        <v>1853</v>
      </c>
      <c r="C7" s="249" t="s">
        <v>1773</v>
      </c>
      <c r="D7" s="468" t="s">
        <v>1774</v>
      </c>
      <c r="E7" s="469" t="s">
        <v>178</v>
      </c>
      <c r="F7" s="498" t="s">
        <v>168</v>
      </c>
      <c r="G7" s="469" t="s">
        <v>1107</v>
      </c>
      <c r="H7" s="476"/>
    </row>
    <row r="8" spans="2:8" ht="15.05" customHeight="1" x14ac:dyDescent="0.3">
      <c r="C8" s="249" t="s">
        <v>1775</v>
      </c>
      <c r="D8" s="468" t="s">
        <v>1776</v>
      </c>
      <c r="E8" s="469" t="s">
        <v>178</v>
      </c>
      <c r="F8" s="498" t="s">
        <v>159</v>
      </c>
      <c r="G8" s="469" t="s">
        <v>1107</v>
      </c>
      <c r="H8" s="476"/>
    </row>
    <row r="9" spans="2:8" ht="15.05" customHeight="1" x14ac:dyDescent="0.3">
      <c r="C9" s="249" t="s">
        <v>1779</v>
      </c>
      <c r="D9" s="468" t="s">
        <v>1780</v>
      </c>
      <c r="E9" s="469" t="s">
        <v>171</v>
      </c>
      <c r="F9" s="498" t="s">
        <v>159</v>
      </c>
      <c r="G9" s="469" t="s">
        <v>1107</v>
      </c>
      <c r="H9" s="476"/>
    </row>
    <row r="10" spans="2:8" ht="15.05" customHeight="1" x14ac:dyDescent="0.3">
      <c r="C10" s="249" t="s">
        <v>1781</v>
      </c>
      <c r="D10" s="468" t="s">
        <v>1782</v>
      </c>
      <c r="E10" s="469" t="s">
        <v>171</v>
      </c>
      <c r="F10" s="498" t="s">
        <v>159</v>
      </c>
      <c r="G10" s="469" t="s">
        <v>1107</v>
      </c>
      <c r="H10" s="476"/>
    </row>
    <row r="11" spans="2:8" ht="15.05" customHeight="1" x14ac:dyDescent="0.3">
      <c r="C11" s="249" t="s">
        <v>1783</v>
      </c>
      <c r="D11" s="468" t="s">
        <v>1784</v>
      </c>
      <c r="E11" s="469" t="s">
        <v>178</v>
      </c>
      <c r="F11" s="498" t="s">
        <v>159</v>
      </c>
      <c r="G11" s="469" t="s">
        <v>1107</v>
      </c>
      <c r="H11" s="476"/>
    </row>
    <row r="12" spans="2:8" ht="15.05" customHeight="1" x14ac:dyDescent="0.3">
      <c r="C12" s="249" t="s">
        <v>1785</v>
      </c>
      <c r="D12" s="468" t="s">
        <v>1786</v>
      </c>
      <c r="E12" s="469" t="s">
        <v>171</v>
      </c>
      <c r="F12" s="498" t="s">
        <v>159</v>
      </c>
      <c r="G12" s="469" t="s">
        <v>1107</v>
      </c>
      <c r="H12" s="476"/>
    </row>
    <row r="13" spans="2:8" ht="15.05" customHeight="1" x14ac:dyDescent="0.3">
      <c r="B13" s="479"/>
      <c r="C13" s="249" t="s">
        <v>1789</v>
      </c>
      <c r="D13" s="468" t="s">
        <v>1790</v>
      </c>
      <c r="E13" s="469" t="s">
        <v>171</v>
      </c>
      <c r="F13" s="502" t="s">
        <v>159</v>
      </c>
      <c r="G13" s="469" t="s">
        <v>1107</v>
      </c>
      <c r="H13" s="476"/>
    </row>
    <row r="14" spans="2:8" ht="15.05" customHeight="1" x14ac:dyDescent="0.3">
      <c r="C14" s="249" t="s">
        <v>1787</v>
      </c>
      <c r="D14" s="468" t="s">
        <v>1788</v>
      </c>
      <c r="E14" s="469" t="s">
        <v>178</v>
      </c>
      <c r="F14" s="498" t="s">
        <v>159</v>
      </c>
      <c r="G14" s="469" t="s">
        <v>1107</v>
      </c>
      <c r="H14" s="476"/>
    </row>
    <row r="15" spans="2:8" ht="14" x14ac:dyDescent="0.3">
      <c r="C15" s="249" t="s">
        <v>1854</v>
      </c>
      <c r="D15" s="468" t="s">
        <v>1855</v>
      </c>
      <c r="E15" s="469" t="s">
        <v>171</v>
      </c>
      <c r="F15" s="498" t="s">
        <v>159</v>
      </c>
      <c r="G15" s="469" t="s">
        <v>1107</v>
      </c>
      <c r="H15" s="476"/>
    </row>
    <row r="16" spans="2:8" ht="14" x14ac:dyDescent="0.3">
      <c r="C16" s="249" t="s">
        <v>1856</v>
      </c>
      <c r="D16" s="468" t="s">
        <v>1857</v>
      </c>
      <c r="E16" s="469" t="s">
        <v>171</v>
      </c>
      <c r="F16" s="498" t="s">
        <v>159</v>
      </c>
      <c r="G16" s="469" t="s">
        <v>1107</v>
      </c>
      <c r="H16" s="476"/>
    </row>
    <row r="20" spans="3:9" ht="13.45" x14ac:dyDescent="0.25">
      <c r="C20" s="337">
        <v>45017</v>
      </c>
    </row>
    <row r="21" spans="3:9" ht="80.599999999999994" x14ac:dyDescent="0.25">
      <c r="C21" s="479" t="s">
        <v>1858</v>
      </c>
    </row>
    <row r="23" spans="3:9" ht="13.45" x14ac:dyDescent="0.25">
      <c r="C23" s="337">
        <v>45132</v>
      </c>
    </row>
    <row r="24" spans="3:9" ht="53.75" x14ac:dyDescent="0.25">
      <c r="C24" s="479" t="s">
        <v>1852</v>
      </c>
    </row>
    <row r="26" spans="3:9" ht="14" x14ac:dyDescent="0.3">
      <c r="C26" s="249" t="s">
        <v>1777</v>
      </c>
      <c r="D26" s="468" t="s">
        <v>1778</v>
      </c>
      <c r="E26" s="469" t="s">
        <v>167</v>
      </c>
      <c r="F26" s="498" t="s">
        <v>159</v>
      </c>
      <c r="G26" s="503" t="s">
        <v>1107</v>
      </c>
      <c r="H26" s="620" t="s">
        <v>1859</v>
      </c>
      <c r="I26" s="620"/>
    </row>
    <row r="29" spans="3:9" ht="13.45" x14ac:dyDescent="0.25">
      <c r="C29" s="621" t="s">
        <v>1860</v>
      </c>
      <c r="D29" s="621"/>
      <c r="E29" s="621"/>
      <c r="F29" s="621"/>
    </row>
    <row r="30" spans="3:9" ht="14" x14ac:dyDescent="0.3">
      <c r="C30" s="212" t="s">
        <v>965</v>
      </c>
      <c r="D30" s="468" t="s">
        <v>966</v>
      </c>
      <c r="E30" s="469"/>
      <c r="F30" s="498" t="s">
        <v>164</v>
      </c>
      <c r="G30" s="469" t="s">
        <v>1107</v>
      </c>
      <c r="H30" s="476"/>
    </row>
  </sheetData>
  <autoFilter ref="C3:G16" xr:uid="{00000000-0009-0000-0000-00000B000000}"/>
  <mergeCells count="2">
    <mergeCell ref="H26:I26"/>
    <mergeCell ref="C29:F29"/>
  </mergeCells>
  <dataValidations count="2">
    <dataValidation type="list" allowBlank="1" showInputMessage="1" showErrorMessage="1" prompt="Clique e insira um valor de a lista de itens" sqref="E4:E16 E26 E30" xr:uid="{00000000-0002-0000-0B00-000000000000}">
      <formula1>"AJAJ,AJ-BIBLIOTECONOMIA,TJAA,AJAA,TJAS,AJOJ,AJEC,AJ-INFORMATICA,AJ-DESENVOLVIMENTO,TJ-INFORMÁTICA,AJ-INFRAESTRUTURA,AJ-MEDICINA,AJ-CONTADORIA,AJAE"</formula1>
      <formula2>0</formula2>
    </dataValidation>
    <dataValidation type="list" allowBlank="1" showInputMessage="1" showErrorMessage="1" prompt="Clique e insira um valor de a lista de itens" sqref="F4:F16 F26 F30" xr:uid="{00000000-0002-0000-0B00-000001000000}">
      <formula1>"EFETIVO,REQUISITADO,EX. PROVISÓRIO,REMOVIDO,SEM VÍNCULO,VAGO,PROVIDO,A SER PROVIDO"</formula1>
      <formula2>0</formula2>
    </dataValidation>
  </dataValidations>
  <pageMargins left="0.51180555555555596" right="0.51180555555555596" top="0.78749999999999998" bottom="0.78749999999999998" header="0.511811023622047" footer="0.511811023622047"/>
  <pageSetup paperSize="9" orientation="portrait" horizontalDpi="300" verticalDpi="3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B3:J21"/>
  <sheetViews>
    <sheetView topLeftCell="C1" zoomScale="110" zoomScaleNormal="110" workbookViewId="0">
      <selection activeCell="D4" activeCellId="1" sqref="B9 D4"/>
    </sheetView>
  </sheetViews>
  <sheetFormatPr defaultColWidth="12.6328125" defaultRowHeight="14.25" customHeight="1" x14ac:dyDescent="0.25"/>
  <cols>
    <col min="4" max="4" width="36.90625" customWidth="1"/>
  </cols>
  <sheetData>
    <row r="3" spans="2:10" ht="14" x14ac:dyDescent="0.25">
      <c r="C3" s="212" t="s">
        <v>149</v>
      </c>
      <c r="D3" s="212" t="s">
        <v>150</v>
      </c>
      <c r="E3" s="212" t="s">
        <v>118</v>
      </c>
      <c r="F3" s="212" t="s">
        <v>970</v>
      </c>
      <c r="G3" s="212" t="s">
        <v>1651</v>
      </c>
    </row>
    <row r="4" spans="2:10" ht="15.05" customHeight="1" x14ac:dyDescent="0.3">
      <c r="B4" s="477"/>
      <c r="C4" s="249" t="s">
        <v>1791</v>
      </c>
      <c r="D4" s="468" t="s">
        <v>1792</v>
      </c>
      <c r="E4" s="469" t="s">
        <v>171</v>
      </c>
      <c r="F4" s="498" t="s">
        <v>159</v>
      </c>
      <c r="G4" s="469" t="s">
        <v>1039</v>
      </c>
      <c r="H4" s="476"/>
    </row>
    <row r="5" spans="2:10" ht="15.05" customHeight="1" x14ac:dyDescent="0.3">
      <c r="B5" s="477"/>
      <c r="C5" s="249" t="s">
        <v>1793</v>
      </c>
      <c r="D5" s="468" t="s">
        <v>1794</v>
      </c>
      <c r="E5" s="469" t="s">
        <v>171</v>
      </c>
      <c r="F5" s="498" t="s">
        <v>159</v>
      </c>
      <c r="G5" s="469" t="s">
        <v>1039</v>
      </c>
      <c r="H5" s="476"/>
    </row>
    <row r="6" spans="2:10" ht="15.05" customHeight="1" x14ac:dyDescent="0.3">
      <c r="B6" s="477"/>
      <c r="C6" s="249" t="s">
        <v>1795</v>
      </c>
      <c r="D6" s="468" t="s">
        <v>1796</v>
      </c>
      <c r="E6" s="469" t="s">
        <v>171</v>
      </c>
      <c r="F6" s="498" t="s">
        <v>159</v>
      </c>
      <c r="G6" s="469" t="s">
        <v>1039</v>
      </c>
      <c r="H6" s="476"/>
    </row>
    <row r="7" spans="2:10" ht="15.05" customHeight="1" x14ac:dyDescent="0.3">
      <c r="B7" s="477"/>
      <c r="C7" s="249" t="s">
        <v>1797</v>
      </c>
      <c r="D7" s="468" t="s">
        <v>1798</v>
      </c>
      <c r="E7" s="469" t="s">
        <v>171</v>
      </c>
      <c r="F7" s="498" t="s">
        <v>159</v>
      </c>
      <c r="G7" s="469" t="s">
        <v>1039</v>
      </c>
      <c r="H7" s="476"/>
    </row>
    <row r="8" spans="2:10" ht="15.05" customHeight="1" x14ac:dyDescent="0.3">
      <c r="B8" s="477"/>
      <c r="C8" s="249" t="s">
        <v>1799</v>
      </c>
      <c r="D8" s="468" t="s">
        <v>1800</v>
      </c>
      <c r="E8" s="469" t="s">
        <v>171</v>
      </c>
      <c r="F8" s="498" t="s">
        <v>159</v>
      </c>
      <c r="G8" s="469" t="s">
        <v>1039</v>
      </c>
      <c r="H8" s="476"/>
    </row>
    <row r="9" spans="2:10" ht="15.05" customHeight="1" x14ac:dyDescent="0.3">
      <c r="B9" s="477"/>
      <c r="C9" s="249" t="s">
        <v>1803</v>
      </c>
      <c r="D9" s="468" t="s">
        <v>1804</v>
      </c>
      <c r="E9" s="469" t="s">
        <v>178</v>
      </c>
      <c r="F9" s="498" t="s">
        <v>159</v>
      </c>
      <c r="G9" s="469" t="s">
        <v>1039</v>
      </c>
      <c r="H9" s="476"/>
    </row>
    <row r="10" spans="2:10" ht="15.05" customHeight="1" x14ac:dyDescent="0.3">
      <c r="B10" s="477"/>
      <c r="C10" s="249" t="s">
        <v>1805</v>
      </c>
      <c r="D10" s="468" t="s">
        <v>1806</v>
      </c>
      <c r="E10" s="469" t="s">
        <v>178</v>
      </c>
      <c r="F10" s="498" t="s">
        <v>159</v>
      </c>
      <c r="G10" s="469" t="s">
        <v>1039</v>
      </c>
      <c r="H10" s="622" t="s">
        <v>1861</v>
      </c>
      <c r="I10" s="622"/>
      <c r="J10" s="622"/>
    </row>
    <row r="11" spans="2:10" ht="15.05" customHeight="1" x14ac:dyDescent="0.3">
      <c r="B11" s="477" t="s">
        <v>1862</v>
      </c>
      <c r="C11" s="249" t="s">
        <v>1807</v>
      </c>
      <c r="D11" s="468" t="s">
        <v>1808</v>
      </c>
      <c r="E11" s="469" t="s">
        <v>178</v>
      </c>
      <c r="F11" s="498" t="s">
        <v>159</v>
      </c>
      <c r="G11" s="469" t="s">
        <v>1039</v>
      </c>
      <c r="H11" s="476"/>
    </row>
    <row r="12" spans="2:10" ht="15.05" customHeight="1" x14ac:dyDescent="0.3">
      <c r="B12" s="477"/>
      <c r="C12" s="249" t="s">
        <v>1811</v>
      </c>
      <c r="D12" s="468" t="s">
        <v>1812</v>
      </c>
      <c r="E12" s="469" t="s">
        <v>178</v>
      </c>
      <c r="F12" s="498" t="s">
        <v>159</v>
      </c>
      <c r="G12" s="469" t="s">
        <v>1039</v>
      </c>
      <c r="H12" s="476"/>
    </row>
    <row r="13" spans="2:10" ht="15.05" customHeight="1" x14ac:dyDescent="0.3">
      <c r="B13" s="476"/>
      <c r="C13" s="285" t="s">
        <v>1813</v>
      </c>
      <c r="D13" s="499" t="s">
        <v>1814</v>
      </c>
      <c r="E13" s="469" t="s">
        <v>178</v>
      </c>
      <c r="F13" s="498" t="s">
        <v>168</v>
      </c>
      <c r="G13" s="469" t="s">
        <v>1039</v>
      </c>
      <c r="H13" s="476"/>
    </row>
    <row r="14" spans="2:10" ht="14" x14ac:dyDescent="0.3">
      <c r="C14" s="285" t="s">
        <v>1863</v>
      </c>
      <c r="D14" s="499" t="s">
        <v>1864</v>
      </c>
      <c r="E14" s="469" t="s">
        <v>171</v>
      </c>
      <c r="F14" s="498" t="s">
        <v>159</v>
      </c>
      <c r="G14" s="469" t="s">
        <v>1039</v>
      </c>
    </row>
    <row r="19" spans="3:7" ht="13.45" x14ac:dyDescent="0.25">
      <c r="C19" s="621" t="s">
        <v>1865</v>
      </c>
      <c r="D19" s="621"/>
      <c r="E19" s="621"/>
      <c r="F19" s="621"/>
    </row>
    <row r="20" spans="3:7" ht="14" x14ac:dyDescent="0.3">
      <c r="C20" s="249" t="s">
        <v>1809</v>
      </c>
      <c r="D20" s="468" t="s">
        <v>1810</v>
      </c>
      <c r="E20" s="469" t="s">
        <v>171</v>
      </c>
      <c r="F20" s="498" t="s">
        <v>159</v>
      </c>
      <c r="G20" s="469" t="s">
        <v>1039</v>
      </c>
    </row>
    <row r="21" spans="3:7" ht="14" x14ac:dyDescent="0.3">
      <c r="C21" s="249" t="s">
        <v>1801</v>
      </c>
      <c r="D21" s="468" t="s">
        <v>1802</v>
      </c>
      <c r="E21" s="469" t="s">
        <v>171</v>
      </c>
      <c r="F21" s="498" t="s">
        <v>159</v>
      </c>
      <c r="G21" s="469" t="s">
        <v>1039</v>
      </c>
    </row>
  </sheetData>
  <autoFilter ref="C3:G13" xr:uid="{00000000-0009-0000-0000-00000C000000}"/>
  <mergeCells count="2">
    <mergeCell ref="H10:J10"/>
    <mergeCell ref="C19:F19"/>
  </mergeCells>
  <dataValidations count="2">
    <dataValidation type="list" allowBlank="1" showInputMessage="1" showErrorMessage="1" prompt="Clique e insira um valor de a lista de itens" sqref="E4:E14 E20:E21" xr:uid="{00000000-0002-0000-0C00-000000000000}">
      <formula1>"AJAJ,AJ-BIBLIOTECONOMIA,TJAA,AJAA,TJAS,AJOJ,AJEC,AJ-INFORMATICA,AJ-DESENVOLVIMENTO,TJ-INFORMÁTICA,AJ-INFRAESTRUTURA,AJ-MEDICINA,AJ-CONTADORIA,AJAE"</formula1>
      <formula2>0</formula2>
    </dataValidation>
    <dataValidation type="list" allowBlank="1" showInputMessage="1" showErrorMessage="1" prompt="Clique e insira um valor de a lista de itens" sqref="F4:F14 F20:F21" xr:uid="{00000000-0002-0000-0C00-000001000000}">
      <formula1>"EFETIVO,REQUISITADO,EX. PROVISÓRIO,REMOVIDO,SEM VÍNCULO,VAGO,PROVIDO,A SER PROVIDO"</formula1>
      <formula2>0</formula2>
    </dataValidation>
  </dataValidations>
  <pageMargins left="0.51180555555555596" right="0.51180555555555596" top="0.78749999999999998" bottom="0.78749999999999998" header="0.511811023622047" footer="0.511811023622047"/>
  <pageSetup paperSize="9" orientation="portrait" horizontalDpi="300" verticalDpi="30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B3:J30"/>
  <sheetViews>
    <sheetView topLeftCell="C1" zoomScale="110" zoomScaleNormal="110" workbookViewId="0">
      <selection activeCell="H18" activeCellId="1" sqref="B9 H18"/>
    </sheetView>
  </sheetViews>
  <sheetFormatPr defaultColWidth="12.6328125" defaultRowHeight="14.25" customHeight="1" x14ac:dyDescent="0.25"/>
  <cols>
    <col min="4" max="4" width="35.6328125" customWidth="1"/>
  </cols>
  <sheetData>
    <row r="3" spans="2:8" ht="14" x14ac:dyDescent="0.25">
      <c r="C3" s="212" t="s">
        <v>149</v>
      </c>
      <c r="D3" s="212" t="s">
        <v>150</v>
      </c>
      <c r="E3" s="212" t="s">
        <v>118</v>
      </c>
      <c r="F3" s="212" t="s">
        <v>970</v>
      </c>
      <c r="G3" s="212" t="s">
        <v>1651</v>
      </c>
    </row>
    <row r="4" spans="2:8" ht="15.05" customHeight="1" x14ac:dyDescent="0.3">
      <c r="B4" s="476"/>
      <c r="C4" s="249" t="s">
        <v>1815</v>
      </c>
      <c r="D4" s="468" t="s">
        <v>1816</v>
      </c>
      <c r="E4" s="469" t="s">
        <v>171</v>
      </c>
      <c r="F4" s="498" t="s">
        <v>159</v>
      </c>
      <c r="G4" s="469" t="s">
        <v>1056</v>
      </c>
      <c r="H4" s="477"/>
    </row>
    <row r="5" spans="2:8" ht="15.05" customHeight="1" x14ac:dyDescent="0.3">
      <c r="B5" s="476"/>
      <c r="C5" s="249" t="s">
        <v>1817</v>
      </c>
      <c r="D5" s="468" t="s">
        <v>1818</v>
      </c>
      <c r="E5" s="469" t="s">
        <v>171</v>
      </c>
      <c r="F5" s="498" t="s">
        <v>159</v>
      </c>
      <c r="G5" s="469" t="s">
        <v>1056</v>
      </c>
      <c r="H5" s="477"/>
    </row>
    <row r="6" spans="2:8" ht="15.05" customHeight="1" x14ac:dyDescent="0.3">
      <c r="B6" s="476"/>
      <c r="C6" s="249" t="s">
        <v>1821</v>
      </c>
      <c r="D6" s="468" t="s">
        <v>1822</v>
      </c>
      <c r="E6" s="469" t="s">
        <v>171</v>
      </c>
      <c r="F6" s="498" t="s">
        <v>159</v>
      </c>
      <c r="G6" s="469" t="s">
        <v>1056</v>
      </c>
      <c r="H6" s="476"/>
    </row>
    <row r="7" spans="2:8" ht="15.05" customHeight="1" x14ac:dyDescent="0.3">
      <c r="B7" s="476"/>
      <c r="C7" s="249" t="s">
        <v>1823</v>
      </c>
      <c r="D7" s="468" t="s">
        <v>1824</v>
      </c>
      <c r="E7" s="469" t="s">
        <v>178</v>
      </c>
      <c r="F7" s="498" t="s">
        <v>159</v>
      </c>
      <c r="G7" s="469" t="s">
        <v>1056</v>
      </c>
      <c r="H7" s="476"/>
    </row>
    <row r="8" spans="2:8" ht="15.05" customHeight="1" x14ac:dyDescent="0.3">
      <c r="B8" s="476"/>
      <c r="C8" s="249" t="s">
        <v>1825</v>
      </c>
      <c r="D8" s="468" t="s">
        <v>1826</v>
      </c>
      <c r="E8" s="469" t="s">
        <v>178</v>
      </c>
      <c r="F8" s="498" t="s">
        <v>159</v>
      </c>
      <c r="G8" s="469" t="s">
        <v>1056</v>
      </c>
      <c r="H8" s="476"/>
    </row>
    <row r="9" spans="2:8" ht="15.05" customHeight="1" x14ac:dyDescent="0.3">
      <c r="B9" s="476"/>
      <c r="C9" s="249" t="s">
        <v>1829</v>
      </c>
      <c r="D9" s="468" t="s">
        <v>1830</v>
      </c>
      <c r="E9" s="469" t="s">
        <v>178</v>
      </c>
      <c r="F9" s="498" t="s">
        <v>159</v>
      </c>
      <c r="G9" s="469" t="s">
        <v>1056</v>
      </c>
      <c r="H9" s="476"/>
    </row>
    <row r="10" spans="2:8" ht="15.05" customHeight="1" x14ac:dyDescent="0.3">
      <c r="B10" s="477" t="s">
        <v>1853</v>
      </c>
      <c r="C10" s="249" t="s">
        <v>1831</v>
      </c>
      <c r="D10" s="468" t="s">
        <v>1832</v>
      </c>
      <c r="E10" s="469" t="s">
        <v>171</v>
      </c>
      <c r="F10" s="498" t="s">
        <v>159</v>
      </c>
      <c r="G10" s="469" t="s">
        <v>1056</v>
      </c>
      <c r="H10" s="476"/>
    </row>
    <row r="11" spans="2:8" ht="15.05" customHeight="1" x14ac:dyDescent="0.3">
      <c r="B11" s="476"/>
      <c r="C11" s="249" t="s">
        <v>1833</v>
      </c>
      <c r="D11" s="468" t="s">
        <v>1834</v>
      </c>
      <c r="E11" s="469" t="s">
        <v>178</v>
      </c>
      <c r="F11" s="498" t="s">
        <v>159</v>
      </c>
      <c r="G11" s="469" t="s">
        <v>1056</v>
      </c>
      <c r="H11" s="476"/>
    </row>
    <row r="12" spans="2:8" ht="15.05" customHeight="1" x14ac:dyDescent="0.3">
      <c r="B12" s="476"/>
      <c r="C12" s="249" t="s">
        <v>1835</v>
      </c>
      <c r="D12" s="468" t="s">
        <v>1836</v>
      </c>
      <c r="E12" s="469" t="s">
        <v>171</v>
      </c>
      <c r="F12" s="498" t="s">
        <v>159</v>
      </c>
      <c r="G12" s="469" t="s">
        <v>1056</v>
      </c>
      <c r="H12" s="476"/>
    </row>
    <row r="13" spans="2:8" ht="14" x14ac:dyDescent="0.3">
      <c r="B13" s="476"/>
      <c r="C13" s="249" t="s">
        <v>1837</v>
      </c>
      <c r="D13" s="468" t="s">
        <v>1866</v>
      </c>
      <c r="E13" s="469" t="s">
        <v>178</v>
      </c>
      <c r="F13" s="498" t="s">
        <v>159</v>
      </c>
      <c r="G13" s="469" t="s">
        <v>1056</v>
      </c>
      <c r="H13" s="476"/>
    </row>
    <row r="14" spans="2:8" ht="14" x14ac:dyDescent="0.3">
      <c r="B14" s="476"/>
      <c r="C14" s="249" t="s">
        <v>1867</v>
      </c>
      <c r="D14" s="468" t="s">
        <v>1868</v>
      </c>
      <c r="E14" s="469" t="s">
        <v>178</v>
      </c>
      <c r="F14" s="498" t="s">
        <v>159</v>
      </c>
      <c r="G14" s="469" t="s">
        <v>1056</v>
      </c>
      <c r="H14" s="476"/>
    </row>
    <row r="15" spans="2:8" ht="14" x14ac:dyDescent="0.3">
      <c r="C15" s="249" t="s">
        <v>636</v>
      </c>
      <c r="D15" s="468" t="s">
        <v>1869</v>
      </c>
      <c r="E15" s="469" t="s">
        <v>171</v>
      </c>
      <c r="F15" s="498" t="s">
        <v>159</v>
      </c>
      <c r="G15" s="469" t="s">
        <v>1870</v>
      </c>
      <c r="H15" s="476"/>
    </row>
    <row r="20" spans="2:10" ht="13.45" x14ac:dyDescent="0.25">
      <c r="B20" s="476"/>
    </row>
    <row r="21" spans="2:10" ht="13.45" x14ac:dyDescent="0.25">
      <c r="C21" s="337">
        <v>45047</v>
      </c>
    </row>
    <row r="22" spans="2:10" ht="94.05" x14ac:dyDescent="0.25">
      <c r="C22" s="479" t="s">
        <v>1849</v>
      </c>
    </row>
    <row r="24" spans="2:10" ht="14" x14ac:dyDescent="0.3">
      <c r="C24" s="249" t="s">
        <v>1827</v>
      </c>
      <c r="D24" s="468" t="s">
        <v>1828</v>
      </c>
      <c r="E24" s="469" t="s">
        <v>171</v>
      </c>
      <c r="F24" s="498" t="s">
        <v>159</v>
      </c>
      <c r="G24" s="469" t="s">
        <v>1056</v>
      </c>
      <c r="H24" s="504" t="s">
        <v>1871</v>
      </c>
    </row>
    <row r="27" spans="2:10" ht="14" x14ac:dyDescent="0.3">
      <c r="C27" s="249" t="s">
        <v>1819</v>
      </c>
      <c r="D27" s="468" t="s">
        <v>1820</v>
      </c>
      <c r="E27" s="469" t="s">
        <v>178</v>
      </c>
      <c r="F27" s="498" t="s">
        <v>168</v>
      </c>
      <c r="G27" s="469" t="s">
        <v>1056</v>
      </c>
      <c r="H27" s="623" t="s">
        <v>1872</v>
      </c>
      <c r="I27" s="623"/>
      <c r="J27" s="623"/>
    </row>
    <row r="30" spans="2:10" ht="14" x14ac:dyDescent="0.3">
      <c r="C30" s="249" t="s">
        <v>1873</v>
      </c>
      <c r="D30" s="468" t="s">
        <v>1874</v>
      </c>
      <c r="E30" s="469" t="s">
        <v>171</v>
      </c>
      <c r="F30" s="498" t="s">
        <v>159</v>
      </c>
      <c r="G30" s="469" t="s">
        <v>1056</v>
      </c>
    </row>
  </sheetData>
  <autoFilter ref="C3:G15" xr:uid="{00000000-0009-0000-0000-00000D000000}"/>
  <mergeCells count="1">
    <mergeCell ref="H27:J27"/>
  </mergeCells>
  <dataValidations count="2">
    <dataValidation type="list" allowBlank="1" showInputMessage="1" showErrorMessage="1" prompt="Clique e insira um valor de a lista de itens" sqref="E4:E15 E24 E27 E30" xr:uid="{00000000-0002-0000-0D00-000000000000}">
      <formula1>"AJAJ,AJ-BIBLIOTECONOMIA,TJAA,AJAA,TJAS,AJOJ,AJEC,AJ-INFORMATICA,AJ-DESENVOLVIMENTO,TJ-INFORMÁTICA,AJ-INFRAESTRUTURA,AJ-MEDICINA,AJ-CONTADORIA,AJAE"</formula1>
      <formula2>0</formula2>
    </dataValidation>
    <dataValidation type="list" allowBlank="1" showInputMessage="1" showErrorMessage="1" prompt="Clique e insira um valor de a lista de itens" sqref="F4:F15 F24 F27 F30" xr:uid="{00000000-0002-0000-0D00-000001000000}">
      <formula1>"EFETIVO,REQUISITADO,EX. PROVISÓRIO,REMOVIDO,SEM VÍNCULO,VAGO,PROVIDO,A SER PROVIDO"</formula1>
      <formula2>0</formula2>
    </dataValidation>
  </dataValidations>
  <pageMargins left="0.51180555555555596" right="0.51180555555555596" top="0.78749999999999998" bottom="0.78749999999999998" header="0.511811023622047" footer="0.511811023622047"/>
  <pageSetup paperSize="9" orientation="portrait" horizontalDpi="300" verticalDpi="30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B3:I45"/>
  <sheetViews>
    <sheetView tabSelected="1" topLeftCell="B1" zoomScale="110" zoomScaleNormal="110" workbookViewId="0">
      <selection activeCell="B9" sqref="B9"/>
    </sheetView>
  </sheetViews>
  <sheetFormatPr defaultColWidth="12.6328125" defaultRowHeight="14.25" customHeight="1" x14ac:dyDescent="0.25"/>
  <cols>
    <col min="3" max="3" width="14.7265625" customWidth="1"/>
    <col min="4" max="4" width="39.6328125" customWidth="1"/>
    <col min="6" max="6" width="14.453125" customWidth="1"/>
  </cols>
  <sheetData>
    <row r="3" spans="2:7" ht="29.95" customHeight="1" x14ac:dyDescent="0.25">
      <c r="C3" s="212" t="s">
        <v>149</v>
      </c>
      <c r="D3" s="212" t="s">
        <v>150</v>
      </c>
      <c r="E3" s="212" t="s">
        <v>118</v>
      </c>
      <c r="F3" s="212" t="s">
        <v>970</v>
      </c>
    </row>
    <row r="4" spans="2:7" ht="14" x14ac:dyDescent="0.3">
      <c r="C4" s="249" t="s">
        <v>1875</v>
      </c>
      <c r="D4" s="468" t="s">
        <v>1876</v>
      </c>
      <c r="E4" s="469" t="s">
        <v>171</v>
      </c>
      <c r="F4" s="498" t="s">
        <v>159</v>
      </c>
      <c r="G4" s="476"/>
    </row>
    <row r="5" spans="2:7" ht="14" x14ac:dyDescent="0.3">
      <c r="C5" s="249" t="s">
        <v>1877</v>
      </c>
      <c r="D5" s="468" t="s">
        <v>1878</v>
      </c>
      <c r="E5" s="469" t="s">
        <v>171</v>
      </c>
      <c r="F5" s="498" t="s">
        <v>159</v>
      </c>
      <c r="G5" s="476"/>
    </row>
    <row r="6" spans="2:7" ht="14" x14ac:dyDescent="0.3">
      <c r="C6" s="249" t="s">
        <v>1879</v>
      </c>
      <c r="D6" s="468" t="s">
        <v>1880</v>
      </c>
      <c r="E6" s="469" t="s">
        <v>171</v>
      </c>
      <c r="F6" s="498" t="s">
        <v>159</v>
      </c>
      <c r="G6" s="476"/>
    </row>
    <row r="7" spans="2:7" ht="14" x14ac:dyDescent="0.3">
      <c r="C7" s="249" t="s">
        <v>1881</v>
      </c>
      <c r="D7" s="468" t="s">
        <v>1882</v>
      </c>
      <c r="E7" s="469" t="s">
        <v>171</v>
      </c>
      <c r="F7" s="498" t="s">
        <v>159</v>
      </c>
      <c r="G7" s="476"/>
    </row>
    <row r="8" spans="2:7" ht="14" x14ac:dyDescent="0.3">
      <c r="C8" s="249" t="s">
        <v>1883</v>
      </c>
      <c r="D8" s="468" t="s">
        <v>1884</v>
      </c>
      <c r="E8" s="469" t="s">
        <v>171</v>
      </c>
      <c r="F8" s="498" t="s">
        <v>168</v>
      </c>
      <c r="G8" s="476"/>
    </row>
    <row r="9" spans="2:7" ht="14" x14ac:dyDescent="0.3">
      <c r="B9" s="479" t="s">
        <v>1862</v>
      </c>
      <c r="C9" s="249" t="s">
        <v>1885</v>
      </c>
      <c r="D9" s="468" t="s">
        <v>1886</v>
      </c>
      <c r="E9" s="469" t="s">
        <v>178</v>
      </c>
      <c r="F9" s="498" t="s">
        <v>159</v>
      </c>
      <c r="G9" s="476"/>
    </row>
    <row r="10" spans="2:7" ht="14" x14ac:dyDescent="0.3">
      <c r="C10" s="249" t="s">
        <v>1887</v>
      </c>
      <c r="D10" s="468" t="s">
        <v>1888</v>
      </c>
      <c r="E10" s="469" t="s">
        <v>178</v>
      </c>
      <c r="F10" s="498" t="s">
        <v>159</v>
      </c>
      <c r="G10" s="476"/>
    </row>
    <row r="11" spans="2:7" ht="14" x14ac:dyDescent="0.3">
      <c r="C11" s="249" t="s">
        <v>1889</v>
      </c>
      <c r="D11" s="468" t="s">
        <v>1890</v>
      </c>
      <c r="E11" s="469" t="s">
        <v>213</v>
      </c>
      <c r="F11" s="498" t="s">
        <v>159</v>
      </c>
      <c r="G11" s="476"/>
    </row>
    <row r="12" spans="2:7" ht="14" x14ac:dyDescent="0.3">
      <c r="C12" s="249" t="s">
        <v>1891</v>
      </c>
      <c r="D12" s="468" t="s">
        <v>1892</v>
      </c>
      <c r="E12" s="505" t="s">
        <v>178</v>
      </c>
      <c r="F12" s="506" t="s">
        <v>159</v>
      </c>
      <c r="G12" s="476"/>
    </row>
    <row r="13" spans="2:7" ht="14" x14ac:dyDescent="0.3">
      <c r="C13" s="249" t="s">
        <v>1893</v>
      </c>
      <c r="D13" s="468" t="s">
        <v>1894</v>
      </c>
      <c r="E13" s="469" t="s">
        <v>171</v>
      </c>
      <c r="F13" s="498" t="s">
        <v>159</v>
      </c>
      <c r="G13" s="476"/>
    </row>
    <row r="14" spans="2:7" ht="14" x14ac:dyDescent="0.3">
      <c r="C14" s="249" t="s">
        <v>1895</v>
      </c>
      <c r="D14" s="468" t="s">
        <v>1896</v>
      </c>
      <c r="E14" s="469" t="s">
        <v>178</v>
      </c>
      <c r="F14" s="498" t="s">
        <v>159</v>
      </c>
      <c r="G14" s="476"/>
    </row>
    <row r="15" spans="2:7" ht="14" x14ac:dyDescent="0.3">
      <c r="C15" s="249" t="s">
        <v>1897</v>
      </c>
      <c r="D15" s="468" t="s">
        <v>1898</v>
      </c>
      <c r="E15" s="469" t="s">
        <v>171</v>
      </c>
      <c r="F15" s="498" t="s">
        <v>159</v>
      </c>
      <c r="G15" s="476"/>
    </row>
    <row r="16" spans="2:7" ht="14" x14ac:dyDescent="0.3">
      <c r="C16" s="249" t="s">
        <v>1899</v>
      </c>
      <c r="D16" s="468" t="s">
        <v>1900</v>
      </c>
      <c r="E16" s="469" t="s">
        <v>178</v>
      </c>
      <c r="F16" s="498" t="s">
        <v>246</v>
      </c>
      <c r="G16" s="476"/>
    </row>
    <row r="17" spans="3:7" ht="14" x14ac:dyDescent="0.3">
      <c r="C17" s="249" t="s">
        <v>1901</v>
      </c>
      <c r="D17" s="468" t="s">
        <v>1902</v>
      </c>
      <c r="E17" s="469" t="s">
        <v>171</v>
      </c>
      <c r="F17" s="498" t="s">
        <v>168</v>
      </c>
      <c r="G17" s="476"/>
    </row>
    <row r="18" spans="3:7" ht="14" x14ac:dyDescent="0.3">
      <c r="C18" s="249" t="s">
        <v>1903</v>
      </c>
      <c r="D18" s="468" t="s">
        <v>1904</v>
      </c>
      <c r="E18" s="469" t="s">
        <v>171</v>
      </c>
      <c r="F18" s="498" t="s">
        <v>159</v>
      </c>
      <c r="G18" s="476"/>
    </row>
    <row r="19" spans="3:7" ht="13.45" x14ac:dyDescent="0.25">
      <c r="G19" s="476"/>
    </row>
    <row r="20" spans="3:7" ht="13.45" x14ac:dyDescent="0.25">
      <c r="G20" s="476"/>
    </row>
    <row r="21" spans="3:7" ht="13.45" x14ac:dyDescent="0.25">
      <c r="G21" s="476"/>
    </row>
    <row r="22" spans="3:7" ht="13.45" x14ac:dyDescent="0.25"/>
    <row r="23" spans="3:7" ht="13.45" x14ac:dyDescent="0.25">
      <c r="G23" s="476"/>
    </row>
    <row r="24" spans="3:7" ht="13.45" x14ac:dyDescent="0.25"/>
    <row r="25" spans="3:7" ht="13.45" x14ac:dyDescent="0.25">
      <c r="G25" s="476"/>
    </row>
    <row r="26" spans="3:7" ht="13.45" x14ac:dyDescent="0.25">
      <c r="G26" s="476"/>
    </row>
    <row r="27" spans="3:7" ht="13.45" x14ac:dyDescent="0.25">
      <c r="G27" s="476"/>
    </row>
    <row r="28" spans="3:7" ht="13.45" x14ac:dyDescent="0.25"/>
    <row r="32" spans="3:7" ht="14" x14ac:dyDescent="0.3">
      <c r="C32" s="507">
        <v>44501</v>
      </c>
    </row>
    <row r="33" spans="3:9" ht="14" x14ac:dyDescent="0.3">
      <c r="C33" s="16" t="s">
        <v>1905</v>
      </c>
    </row>
    <row r="35" spans="3:9" ht="13.45" x14ac:dyDescent="0.25">
      <c r="C35" s="337">
        <v>44682</v>
      </c>
    </row>
    <row r="36" spans="3:9" ht="67.2" x14ac:dyDescent="0.25">
      <c r="C36" s="479" t="s">
        <v>1906</v>
      </c>
    </row>
    <row r="38" spans="3:9" ht="13.45" x14ac:dyDescent="0.25">
      <c r="C38" s="337">
        <v>44713</v>
      </c>
    </row>
    <row r="39" spans="3:9" ht="94.05" x14ac:dyDescent="0.25">
      <c r="C39" s="479" t="s">
        <v>1907</v>
      </c>
    </row>
    <row r="41" spans="3:9" ht="13.45" x14ac:dyDescent="0.25">
      <c r="C41" s="337">
        <v>44805</v>
      </c>
    </row>
    <row r="42" spans="3:9" ht="80.599999999999994" x14ac:dyDescent="0.25">
      <c r="C42" s="479" t="s">
        <v>1908</v>
      </c>
    </row>
    <row r="45" spans="3:9" ht="14" x14ac:dyDescent="0.3">
      <c r="C45" s="249" t="s">
        <v>1909</v>
      </c>
      <c r="D45" s="468" t="s">
        <v>1588</v>
      </c>
      <c r="E45" s="469" t="s">
        <v>171</v>
      </c>
      <c r="F45" s="498" t="s">
        <v>159</v>
      </c>
      <c r="G45" s="623" t="s">
        <v>1910</v>
      </c>
      <c r="H45" s="623"/>
      <c r="I45" s="623"/>
    </row>
  </sheetData>
  <autoFilter ref="C3:F28" xr:uid="{00000000-0009-0000-0000-00000E000000}"/>
  <mergeCells count="1">
    <mergeCell ref="G45:I45"/>
  </mergeCells>
  <dataValidations count="2">
    <dataValidation type="list" allowBlank="1" showInputMessage="1" showErrorMessage="1" prompt="Clique e insira um valor de a lista de itens" sqref="E4:E18 E45" xr:uid="{00000000-0002-0000-0E00-000000000000}">
      <formula1>"AJAJ,AJ-BIBLIOTECONOMIA,TJAA,AJAA,TJAS,AJOJ,AJEC,AJ-INFORMATICA,AJ-DESENVOLVIMENTO,TJ-INFORMÁTICA,AJ-INFRAESTRUTURA,AJ-MEDICINA,AJ-CONTADORIA,AJAE"</formula1>
      <formula2>0</formula2>
    </dataValidation>
    <dataValidation type="list" allowBlank="1" showInputMessage="1" showErrorMessage="1" prompt="Clique e insira um valor de a lista de itens" sqref="F4:F18 F45" xr:uid="{00000000-0002-0000-0E00-000001000000}">
      <formula1>"EFETIVO,REQUISITADO,EX. PROVISÓRIO,REMOVIDO,SEM VÍNCULO,VAGO,PROVIDO,A SER PROVIDO"</formula1>
      <formula2>0</formula2>
    </dataValidation>
  </dataValidations>
  <pageMargins left="0.51180555555555596" right="0.51180555555555596" top="0.78749999999999998" bottom="0.78749999999999998" header="0.511811023622047" footer="0.511811023622047"/>
  <pageSetup orientation="landscape" horizontalDpi="300" verticalDpi="30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B3:J53"/>
  <sheetViews>
    <sheetView zoomScale="110" zoomScaleNormal="110" workbookViewId="0">
      <selection activeCell="D4" activeCellId="1" sqref="B9 D4"/>
    </sheetView>
  </sheetViews>
  <sheetFormatPr defaultColWidth="12.6328125" defaultRowHeight="14.25" customHeight="1" x14ac:dyDescent="0.25"/>
  <cols>
    <col min="4" max="4" width="41.453125" customWidth="1"/>
  </cols>
  <sheetData>
    <row r="3" spans="2:7" ht="33.049999999999997" customHeight="1" x14ac:dyDescent="0.25">
      <c r="C3" s="212" t="s">
        <v>149</v>
      </c>
      <c r="D3" s="212" t="s">
        <v>150</v>
      </c>
      <c r="E3" s="212" t="s">
        <v>118</v>
      </c>
      <c r="F3" s="212" t="s">
        <v>970</v>
      </c>
    </row>
    <row r="4" spans="2:7" ht="14" x14ac:dyDescent="0.3">
      <c r="C4" s="249" t="s">
        <v>1911</v>
      </c>
      <c r="D4" s="468" t="s">
        <v>1912</v>
      </c>
      <c r="E4" s="505" t="s">
        <v>171</v>
      </c>
      <c r="F4" s="506" t="s">
        <v>168</v>
      </c>
    </row>
    <row r="5" spans="2:7" ht="14" x14ac:dyDescent="0.3">
      <c r="C5" s="249" t="s">
        <v>1913</v>
      </c>
      <c r="D5" s="468" t="s">
        <v>1914</v>
      </c>
      <c r="E5" s="505" t="s">
        <v>171</v>
      </c>
      <c r="F5" s="506" t="s">
        <v>159</v>
      </c>
    </row>
    <row r="6" spans="2:7" ht="14" x14ac:dyDescent="0.3">
      <c r="C6" s="249" t="s">
        <v>1915</v>
      </c>
      <c r="D6" s="468" t="s">
        <v>1916</v>
      </c>
      <c r="E6" s="505" t="s">
        <v>167</v>
      </c>
      <c r="F6" s="506" t="s">
        <v>159</v>
      </c>
    </row>
    <row r="7" spans="2:7" ht="14" x14ac:dyDescent="0.3">
      <c r="C7" s="249" t="s">
        <v>1917</v>
      </c>
      <c r="D7" s="468" t="s">
        <v>1918</v>
      </c>
      <c r="E7" s="505" t="s">
        <v>171</v>
      </c>
      <c r="F7" s="506" t="s">
        <v>159</v>
      </c>
    </row>
    <row r="8" spans="2:7" ht="14" x14ac:dyDescent="0.3">
      <c r="B8" s="479" t="s">
        <v>1853</v>
      </c>
      <c r="C8" s="249" t="s">
        <v>1919</v>
      </c>
      <c r="D8" s="468" t="s">
        <v>1920</v>
      </c>
      <c r="E8" s="505" t="s">
        <v>171</v>
      </c>
      <c r="F8" s="506" t="s">
        <v>159</v>
      </c>
    </row>
    <row r="9" spans="2:7" ht="14" x14ac:dyDescent="0.3">
      <c r="C9" s="249" t="s">
        <v>1921</v>
      </c>
      <c r="D9" s="468" t="s">
        <v>1922</v>
      </c>
      <c r="E9" s="505" t="s">
        <v>171</v>
      </c>
      <c r="F9" s="506" t="s">
        <v>168</v>
      </c>
    </row>
    <row r="10" spans="2:7" ht="14" x14ac:dyDescent="0.3">
      <c r="C10" s="249" t="s">
        <v>1923</v>
      </c>
      <c r="D10" s="468" t="s">
        <v>1924</v>
      </c>
      <c r="E10" s="505" t="s">
        <v>167</v>
      </c>
      <c r="F10" s="506" t="s">
        <v>159</v>
      </c>
    </row>
    <row r="11" spans="2:7" ht="14" x14ac:dyDescent="0.3">
      <c r="C11" s="249" t="s">
        <v>1925</v>
      </c>
      <c r="D11" s="468" t="s">
        <v>1926</v>
      </c>
      <c r="E11" s="505" t="s">
        <v>178</v>
      </c>
      <c r="F11" s="506" t="s">
        <v>159</v>
      </c>
    </row>
    <row r="12" spans="2:7" ht="14" x14ac:dyDescent="0.3">
      <c r="C12" s="249" t="s">
        <v>1927</v>
      </c>
      <c r="D12" s="468" t="s">
        <v>1928</v>
      </c>
      <c r="E12" s="505" t="s">
        <v>171</v>
      </c>
      <c r="F12" s="506" t="s">
        <v>159</v>
      </c>
    </row>
    <row r="13" spans="2:7" ht="14" x14ac:dyDescent="0.3">
      <c r="C13" s="249" t="s">
        <v>1929</v>
      </c>
      <c r="D13" s="468" t="s">
        <v>1930</v>
      </c>
      <c r="E13" s="469"/>
      <c r="F13" s="506" t="s">
        <v>164</v>
      </c>
    </row>
    <row r="14" spans="2:7" ht="14" x14ac:dyDescent="0.3">
      <c r="C14" s="249" t="s">
        <v>1931</v>
      </c>
      <c r="D14" s="468" t="s">
        <v>1932</v>
      </c>
      <c r="E14" s="505" t="s">
        <v>178</v>
      </c>
      <c r="F14" s="506" t="s">
        <v>159</v>
      </c>
    </row>
    <row r="15" spans="2:7" ht="14" x14ac:dyDescent="0.3">
      <c r="C15" s="249" t="s">
        <v>1921</v>
      </c>
      <c r="D15" s="468" t="s">
        <v>1933</v>
      </c>
      <c r="E15" s="469"/>
      <c r="F15" s="506" t="s">
        <v>164</v>
      </c>
    </row>
    <row r="16" spans="2:7" ht="14" x14ac:dyDescent="0.3">
      <c r="C16" s="249" t="s">
        <v>1934</v>
      </c>
      <c r="D16" s="468" t="s">
        <v>1935</v>
      </c>
      <c r="E16" s="505" t="s">
        <v>171</v>
      </c>
      <c r="F16" s="506" t="s">
        <v>159</v>
      </c>
      <c r="G16" s="468"/>
    </row>
    <row r="17" spans="3:7" ht="14" x14ac:dyDescent="0.3">
      <c r="C17" s="249" t="s">
        <v>1936</v>
      </c>
      <c r="D17" s="468" t="s">
        <v>1937</v>
      </c>
      <c r="E17" s="505" t="s">
        <v>171</v>
      </c>
      <c r="F17" s="506" t="s">
        <v>159</v>
      </c>
      <c r="G17" s="468"/>
    </row>
    <row r="18" spans="3:7" ht="14" x14ac:dyDescent="0.3">
      <c r="C18" s="249" t="s">
        <v>1938</v>
      </c>
      <c r="D18" s="468" t="s">
        <v>1939</v>
      </c>
      <c r="E18" s="469"/>
      <c r="F18" s="506" t="s">
        <v>164</v>
      </c>
    </row>
    <row r="20" spans="3:7" ht="14" x14ac:dyDescent="0.3">
      <c r="C20" s="16" t="s">
        <v>1000</v>
      </c>
    </row>
    <row r="21" spans="3:7" ht="14" x14ac:dyDescent="0.3">
      <c r="C21" s="16" t="s">
        <v>1940</v>
      </c>
    </row>
    <row r="23" spans="3:7" ht="14" x14ac:dyDescent="0.3">
      <c r="C23" s="16" t="s">
        <v>867</v>
      </c>
    </row>
    <row r="24" spans="3:7" ht="14" x14ac:dyDescent="0.3">
      <c r="C24" s="16" t="s">
        <v>1941</v>
      </c>
    </row>
    <row r="26" spans="3:7" ht="15.05" customHeight="1" x14ac:dyDescent="0.3">
      <c r="C26" s="16" t="s">
        <v>892</v>
      </c>
    </row>
    <row r="27" spans="3:7" ht="15.05" customHeight="1" x14ac:dyDescent="0.3">
      <c r="C27" s="16" t="s">
        <v>1942</v>
      </c>
    </row>
    <row r="29" spans="3:7" ht="13.45" x14ac:dyDescent="0.25">
      <c r="C29" s="508">
        <v>44682</v>
      </c>
    </row>
    <row r="30" spans="3:7" ht="120.9" x14ac:dyDescent="0.25">
      <c r="C30" s="479" t="s">
        <v>1943</v>
      </c>
    </row>
    <row r="32" spans="3:7" ht="13.45" x14ac:dyDescent="0.25">
      <c r="C32" s="509">
        <v>44593</v>
      </c>
    </row>
    <row r="33" spans="3:10" ht="107.5" x14ac:dyDescent="0.25">
      <c r="C33" s="479" t="s">
        <v>1944</v>
      </c>
    </row>
    <row r="35" spans="3:10" ht="13.45" x14ac:dyDescent="0.25">
      <c r="C35" s="337">
        <v>45261</v>
      </c>
    </row>
    <row r="36" spans="3:10" ht="13.45" x14ac:dyDescent="0.25">
      <c r="C36" t="s">
        <v>1945</v>
      </c>
    </row>
    <row r="38" spans="3:10" ht="14" x14ac:dyDescent="0.3">
      <c r="C38" s="249" t="s">
        <v>1946</v>
      </c>
      <c r="D38" s="468" t="s">
        <v>1947</v>
      </c>
      <c r="E38" s="469"/>
      <c r="F38" s="506" t="s">
        <v>164</v>
      </c>
      <c r="G38" t="s">
        <v>1948</v>
      </c>
    </row>
    <row r="41" spans="3:10" ht="14" x14ac:dyDescent="0.3">
      <c r="C41" s="249" t="s">
        <v>1949</v>
      </c>
      <c r="D41" s="468" t="s">
        <v>1580</v>
      </c>
      <c r="E41" s="505" t="s">
        <v>178</v>
      </c>
      <c r="F41" s="506" t="s">
        <v>159</v>
      </c>
      <c r="G41" t="s">
        <v>1950</v>
      </c>
      <c r="H41" t="s">
        <v>1951</v>
      </c>
    </row>
    <row r="43" spans="3:10" ht="14" x14ac:dyDescent="0.3">
      <c r="C43" s="249" t="s">
        <v>1952</v>
      </c>
      <c r="D43" s="468" t="s">
        <v>1543</v>
      </c>
      <c r="E43" s="505" t="s">
        <v>171</v>
      </c>
      <c r="F43" s="506" t="s">
        <v>159</v>
      </c>
      <c r="G43" t="s">
        <v>1871</v>
      </c>
    </row>
    <row r="45" spans="3:10" ht="14" x14ac:dyDescent="0.3">
      <c r="C45" s="249" t="s">
        <v>1949</v>
      </c>
      <c r="D45" s="468" t="s">
        <v>1580</v>
      </c>
      <c r="E45" s="505" t="s">
        <v>178</v>
      </c>
      <c r="F45" s="506" t="s">
        <v>159</v>
      </c>
      <c r="G45" t="s">
        <v>1871</v>
      </c>
    </row>
    <row r="47" spans="3:10" ht="14" x14ac:dyDescent="0.3">
      <c r="C47" s="249" t="s">
        <v>1953</v>
      </c>
      <c r="D47" s="468" t="s">
        <v>1954</v>
      </c>
      <c r="E47" s="505" t="s">
        <v>171</v>
      </c>
      <c r="F47" s="506" t="s">
        <v>159</v>
      </c>
      <c r="G47" s="624" t="s">
        <v>1955</v>
      </c>
      <c r="H47" s="624"/>
      <c r="I47" s="624"/>
      <c r="J47" s="624"/>
    </row>
    <row r="49" spans="3:10" ht="13.45" x14ac:dyDescent="0.25">
      <c r="C49" s="510">
        <v>45627</v>
      </c>
    </row>
    <row r="50" spans="3:10" ht="14" x14ac:dyDescent="0.3">
      <c r="C50" s="249" t="s">
        <v>1953</v>
      </c>
      <c r="D50" s="468" t="s">
        <v>1954</v>
      </c>
      <c r="E50" s="505" t="s">
        <v>171</v>
      </c>
      <c r="F50" s="506" t="s">
        <v>159</v>
      </c>
      <c r="G50" s="623" t="s">
        <v>1956</v>
      </c>
      <c r="H50" s="623"/>
      <c r="I50" s="623"/>
      <c r="J50" s="623"/>
    </row>
    <row r="52" spans="3:10" ht="13.45" x14ac:dyDescent="0.25">
      <c r="C52" s="511">
        <v>45820</v>
      </c>
    </row>
    <row r="53" spans="3:10" ht="14" x14ac:dyDescent="0.3">
      <c r="C53" s="249" t="s">
        <v>1957</v>
      </c>
      <c r="D53" s="468" t="s">
        <v>1958</v>
      </c>
      <c r="E53" s="505" t="s">
        <v>171</v>
      </c>
      <c r="F53" s="506" t="s">
        <v>168</v>
      </c>
      <c r="G53" s="623" t="s">
        <v>1959</v>
      </c>
      <c r="H53" s="623"/>
      <c r="I53" s="623"/>
      <c r="J53" s="623"/>
    </row>
  </sheetData>
  <autoFilter ref="C3:F15" xr:uid="{00000000-0009-0000-0000-00000F000000}"/>
  <mergeCells count="3">
    <mergeCell ref="G47:J47"/>
    <mergeCell ref="G50:J50"/>
    <mergeCell ref="G53:J53"/>
  </mergeCells>
  <dataValidations count="2">
    <dataValidation type="list" allowBlank="1" showInputMessage="1" showErrorMessage="1" prompt="Clique e insira um valor de a lista de itens" sqref="E4:E12 E14 E16:E17 E41 E43 E45 E47 E50 E53" xr:uid="{00000000-0002-0000-0F00-000000000000}">
      <formula1>"AJAJ,AJ-BIBLIOTECONOMIA,TJAA,AJAA,TJAS,AJOJ,AJEC,AJ-INFORMATICA,AJ-DESENVOLVIMENTO,TJ-INFORMÁTICA,AJ-INFRAESTRUTURA,AJ-MEDICINA,AJ-CONTADORIA,AJAE"</formula1>
      <formula2>0</formula2>
    </dataValidation>
    <dataValidation type="list" allowBlank="1" showInputMessage="1" showErrorMessage="1" prompt="Clique e insira um valor de a lista de itens" sqref="F4:F18 F38 F41 F43 F45 F47 F50 F53" xr:uid="{00000000-0002-0000-0F00-000001000000}">
      <formula1>"EFETIVO,REQUISITADO,EX. PROVISÓRIO,REMOVIDO,SEM VÍNCULO,VAGO,PROVIDO,A SER PROVIDO"</formula1>
      <formula2>0</formula2>
    </dataValidation>
  </dataValidations>
  <pageMargins left="0.51180555555555596" right="0.51180555555555596" top="0.78749999999999998" bottom="0.78749999999999998" header="0.511811023622047" footer="0.511811023622047"/>
  <pageSetup orientation="landscape" horizontalDpi="300" verticalDpi="30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B3:J48"/>
  <sheetViews>
    <sheetView topLeftCell="A37" zoomScale="110" zoomScaleNormal="110" workbookViewId="0">
      <selection activeCell="H12" activeCellId="1" sqref="B9 H12"/>
    </sheetView>
  </sheetViews>
  <sheetFormatPr defaultColWidth="12.6328125" defaultRowHeight="14.25" customHeight="1" x14ac:dyDescent="0.25"/>
  <cols>
    <col min="4" max="4" width="32.453125" customWidth="1"/>
  </cols>
  <sheetData>
    <row r="3" spans="2:7" ht="30.8" customHeight="1" x14ac:dyDescent="0.25">
      <c r="C3" s="212" t="s">
        <v>149</v>
      </c>
      <c r="D3" s="212" t="s">
        <v>150</v>
      </c>
      <c r="E3" s="212" t="s">
        <v>118</v>
      </c>
      <c r="F3" s="212" t="s">
        <v>970</v>
      </c>
    </row>
    <row r="4" spans="2:7" ht="14" x14ac:dyDescent="0.3">
      <c r="B4" s="479"/>
      <c r="C4" s="249" t="s">
        <v>1960</v>
      </c>
      <c r="D4" s="468" t="s">
        <v>1961</v>
      </c>
      <c r="E4" s="505" t="s">
        <v>171</v>
      </c>
      <c r="F4" s="506" t="s">
        <v>159</v>
      </c>
      <c r="G4" s="512"/>
    </row>
    <row r="5" spans="2:7" ht="14" x14ac:dyDescent="0.3">
      <c r="B5" s="479"/>
      <c r="C5" s="249" t="s">
        <v>1962</v>
      </c>
      <c r="D5" s="468" t="s">
        <v>1963</v>
      </c>
      <c r="E5" s="505" t="s">
        <v>171</v>
      </c>
      <c r="F5" s="506" t="s">
        <v>159</v>
      </c>
      <c r="G5" s="512"/>
    </row>
    <row r="6" spans="2:7" ht="14" x14ac:dyDescent="0.3">
      <c r="B6" s="479"/>
      <c r="C6" s="249" t="s">
        <v>1964</v>
      </c>
      <c r="D6" s="468" t="s">
        <v>1965</v>
      </c>
      <c r="E6" s="505" t="s">
        <v>178</v>
      </c>
      <c r="F6" s="506" t="s">
        <v>168</v>
      </c>
      <c r="G6" s="512"/>
    </row>
    <row r="7" spans="2:7" ht="14" x14ac:dyDescent="0.3">
      <c r="B7" s="479"/>
      <c r="C7" s="249" t="s">
        <v>1966</v>
      </c>
      <c r="D7" s="468" t="s">
        <v>1967</v>
      </c>
      <c r="E7" s="505" t="s">
        <v>171</v>
      </c>
      <c r="F7" s="506" t="s">
        <v>159</v>
      </c>
      <c r="G7" s="512"/>
    </row>
    <row r="8" spans="2:7" ht="14" x14ac:dyDescent="0.3">
      <c r="B8" s="479"/>
      <c r="C8" s="249" t="s">
        <v>1968</v>
      </c>
      <c r="D8" s="468" t="s">
        <v>1969</v>
      </c>
      <c r="E8" s="505" t="s">
        <v>178</v>
      </c>
      <c r="F8" s="506" t="s">
        <v>159</v>
      </c>
      <c r="G8" s="512"/>
    </row>
    <row r="9" spans="2:7" ht="14" x14ac:dyDescent="0.3">
      <c r="B9" s="479"/>
      <c r="C9" s="249" t="s">
        <v>1970</v>
      </c>
      <c r="D9" s="468" t="s">
        <v>1971</v>
      </c>
      <c r="E9" s="505" t="s">
        <v>171</v>
      </c>
      <c r="F9" s="506" t="s">
        <v>159</v>
      </c>
      <c r="G9" s="512"/>
    </row>
    <row r="10" spans="2:7" ht="14" x14ac:dyDescent="0.3">
      <c r="B10" s="479"/>
      <c r="C10" s="249" t="s">
        <v>1972</v>
      </c>
      <c r="D10" s="468" t="s">
        <v>1973</v>
      </c>
      <c r="E10" s="505" t="s">
        <v>171</v>
      </c>
      <c r="F10" s="506" t="s">
        <v>159</v>
      </c>
      <c r="G10" s="512"/>
    </row>
    <row r="11" spans="2:7" ht="14" x14ac:dyDescent="0.3">
      <c r="B11" s="479" t="s">
        <v>1853</v>
      </c>
      <c r="C11" s="249" t="s">
        <v>1974</v>
      </c>
      <c r="D11" s="468" t="s">
        <v>1975</v>
      </c>
      <c r="E11" s="505" t="s">
        <v>178</v>
      </c>
      <c r="F11" s="506" t="s">
        <v>159</v>
      </c>
      <c r="G11" s="512"/>
    </row>
    <row r="12" spans="2:7" ht="14" x14ac:dyDescent="0.3">
      <c r="B12" s="479"/>
      <c r="C12" s="249" t="s">
        <v>1976</v>
      </c>
      <c r="D12" s="468" t="s">
        <v>1977</v>
      </c>
      <c r="E12" s="505" t="s">
        <v>171</v>
      </c>
      <c r="F12" s="506" t="s">
        <v>159</v>
      </c>
      <c r="G12" s="512"/>
    </row>
    <row r="13" spans="2:7" ht="14" x14ac:dyDescent="0.3">
      <c r="B13" s="479"/>
      <c r="C13" s="249" t="s">
        <v>1978</v>
      </c>
      <c r="D13" s="513" t="s">
        <v>1979</v>
      </c>
      <c r="E13" s="505" t="s">
        <v>171</v>
      </c>
      <c r="F13" s="506" t="s">
        <v>159</v>
      </c>
      <c r="G13" s="512"/>
    </row>
    <row r="14" spans="2:7" ht="14" x14ac:dyDescent="0.3">
      <c r="B14" s="479"/>
      <c r="C14" s="249" t="s">
        <v>1980</v>
      </c>
      <c r="D14" s="513" t="s">
        <v>1981</v>
      </c>
      <c r="E14" s="505" t="s">
        <v>171</v>
      </c>
      <c r="F14" s="506" t="s">
        <v>159</v>
      </c>
      <c r="G14" s="512"/>
    </row>
    <row r="15" spans="2:7" ht="14" x14ac:dyDescent="0.3">
      <c r="B15" s="479"/>
      <c r="C15" s="249" t="s">
        <v>1982</v>
      </c>
      <c r="D15" s="513" t="s">
        <v>1983</v>
      </c>
      <c r="E15" s="505" t="s">
        <v>178</v>
      </c>
      <c r="F15" s="506" t="s">
        <v>159</v>
      </c>
      <c r="G15" s="512"/>
    </row>
    <row r="16" spans="2:7" ht="14" x14ac:dyDescent="0.3">
      <c r="B16" s="479"/>
      <c r="C16" s="249" t="s">
        <v>1984</v>
      </c>
      <c r="D16" s="513" t="s">
        <v>1985</v>
      </c>
      <c r="E16" s="505" t="s">
        <v>171</v>
      </c>
      <c r="F16" s="506" t="s">
        <v>159</v>
      </c>
      <c r="G16" s="514"/>
    </row>
    <row r="17" spans="3:7" ht="14" x14ac:dyDescent="0.3">
      <c r="C17" s="249" t="s">
        <v>993</v>
      </c>
      <c r="D17" s="468" t="s">
        <v>1128</v>
      </c>
      <c r="E17" s="505" t="s">
        <v>171</v>
      </c>
      <c r="F17" s="506" t="s">
        <v>159</v>
      </c>
      <c r="G17" s="476"/>
    </row>
    <row r="18" spans="3:7" ht="14" x14ac:dyDescent="0.3">
      <c r="C18" s="249" t="s">
        <v>1986</v>
      </c>
      <c r="D18" s="468" t="s">
        <v>1987</v>
      </c>
      <c r="E18" s="505" t="s">
        <v>171</v>
      </c>
      <c r="F18" s="506" t="s">
        <v>159</v>
      </c>
      <c r="G18" s="476"/>
    </row>
    <row r="23" spans="3:7" ht="14" x14ac:dyDescent="0.3">
      <c r="C23" s="515">
        <v>44197</v>
      </c>
    </row>
    <row r="24" spans="3:7" ht="14" x14ac:dyDescent="0.3">
      <c r="C24" s="16" t="s">
        <v>1988</v>
      </c>
      <c r="D24" s="516"/>
    </row>
    <row r="25" spans="3:7" ht="14" x14ac:dyDescent="0.3">
      <c r="C25" s="500"/>
    </row>
    <row r="26" spans="3:7" ht="14" x14ac:dyDescent="0.3">
      <c r="C26" s="515">
        <v>44287</v>
      </c>
    </row>
    <row r="27" spans="3:7" ht="14" x14ac:dyDescent="0.3">
      <c r="C27" s="500" t="s">
        <v>1989</v>
      </c>
    </row>
    <row r="30" spans="3:7" ht="107.5" x14ac:dyDescent="0.25">
      <c r="C30" s="479" t="s">
        <v>1990</v>
      </c>
    </row>
    <row r="33" spans="3:10" ht="14" x14ac:dyDescent="0.3">
      <c r="C33" s="515">
        <v>44805</v>
      </c>
    </row>
    <row r="34" spans="3:10" ht="120.9" x14ac:dyDescent="0.25">
      <c r="C34" s="479" t="s">
        <v>1991</v>
      </c>
    </row>
    <row r="36" spans="3:10" ht="14" x14ac:dyDescent="0.3">
      <c r="C36" s="249" t="s">
        <v>1992</v>
      </c>
      <c r="D36" s="468" t="s">
        <v>1993</v>
      </c>
      <c r="E36" s="505" t="s">
        <v>171</v>
      </c>
      <c r="F36" s="506" t="s">
        <v>159</v>
      </c>
    </row>
    <row r="38" spans="3:10" ht="13.45" x14ac:dyDescent="0.25">
      <c r="C38" s="517" t="s">
        <v>1994</v>
      </c>
      <c r="D38" s="625" t="s">
        <v>1995</v>
      </c>
      <c r="E38" s="625"/>
      <c r="F38" s="518">
        <v>45499</v>
      </c>
    </row>
    <row r="40" spans="3:10" ht="13.45" x14ac:dyDescent="0.25">
      <c r="C40" s="511">
        <v>45533</v>
      </c>
      <c r="D40" s="504"/>
    </row>
    <row r="41" spans="3:10" ht="14" x14ac:dyDescent="0.3">
      <c r="C41" s="249" t="s">
        <v>993</v>
      </c>
      <c r="D41" s="468" t="s">
        <v>1128</v>
      </c>
      <c r="E41" s="505" t="s">
        <v>171</v>
      </c>
      <c r="F41" s="506" t="s">
        <v>159</v>
      </c>
      <c r="G41" s="623" t="s">
        <v>1996</v>
      </c>
      <c r="H41" s="623"/>
      <c r="I41" s="623"/>
    </row>
    <row r="43" spans="3:10" ht="13.45" x14ac:dyDescent="0.25">
      <c r="C43" s="510">
        <v>45627</v>
      </c>
    </row>
    <row r="44" spans="3:10" ht="14" x14ac:dyDescent="0.3">
      <c r="C44" s="249" t="s">
        <v>1953</v>
      </c>
      <c r="D44" s="468" t="s">
        <v>1954</v>
      </c>
      <c r="E44" s="505" t="s">
        <v>171</v>
      </c>
      <c r="F44" s="506" t="s">
        <v>159</v>
      </c>
      <c r="G44" s="623" t="s">
        <v>1997</v>
      </c>
      <c r="H44" s="623"/>
      <c r="I44" s="623"/>
      <c r="J44" s="623"/>
    </row>
    <row r="47" spans="3:10" ht="14" x14ac:dyDescent="0.3">
      <c r="C47" s="249" t="s">
        <v>959</v>
      </c>
      <c r="D47" s="468" t="s">
        <v>1998</v>
      </c>
      <c r="E47" s="505" t="s">
        <v>171</v>
      </c>
      <c r="F47" s="506" t="s">
        <v>159</v>
      </c>
      <c r="G47" s="504" t="s">
        <v>1999</v>
      </c>
    </row>
    <row r="48" spans="3:10" ht="14" x14ac:dyDescent="0.3">
      <c r="C48" s="249" t="s">
        <v>1953</v>
      </c>
      <c r="D48" s="468" t="s">
        <v>1954</v>
      </c>
      <c r="E48" s="505" t="s">
        <v>171</v>
      </c>
      <c r="F48" s="506" t="s">
        <v>159</v>
      </c>
    </row>
  </sheetData>
  <autoFilter ref="C3:F48" xr:uid="{00000000-0009-0000-0000-000010000000}"/>
  <mergeCells count="3">
    <mergeCell ref="D38:E38"/>
    <mergeCell ref="G41:I41"/>
    <mergeCell ref="G44:J44"/>
  </mergeCells>
  <dataValidations count="2">
    <dataValidation type="list" allowBlank="1" showInputMessage="1" showErrorMessage="1" prompt="Clique e insira um valor de a lista de itens" sqref="E4:E18 E36 E41 E44 E47:E48" xr:uid="{00000000-0002-0000-1000-000000000000}">
      <formula1>"AJAJ,AJ-BIBLIOTECONOMIA,TJAA,AJAA,TJAS,AJOJ,AJEC,AJ-INFORMATICA,AJ-DESENVOLVIMENTO,TJ-INFORMÁTICA,AJ-INFRAESTRUTURA,AJ-MEDICINA,AJ-CONTADORIA,AJAE"</formula1>
      <formula2>0</formula2>
    </dataValidation>
    <dataValidation type="list" allowBlank="1" showInputMessage="1" showErrorMessage="1" prompt="Clique e insira um valor de a lista de itens" sqref="F4:F18 F36 F41 F44 F47:F48" xr:uid="{00000000-0002-0000-1000-000001000000}">
      <formula1>"EFETIVO,REQUISITADO,EX. PROVISÓRIO,REMOVIDO,SEM VÍNCULO,VAGO,PROVIDO,A SER PROVIDO"</formula1>
      <formula2>0</formula2>
    </dataValidation>
  </dataValidations>
  <pageMargins left="0.51180555555555596" right="0.51180555555555596" top="0.78749999999999998" bottom="0.78749999999999998" header="0.511811023622047" footer="0.511811023622047"/>
  <pageSetup orientation="landscape" horizontalDpi="300" verticalDpi="30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B3:G33"/>
  <sheetViews>
    <sheetView zoomScale="110" zoomScaleNormal="110" workbookViewId="0">
      <selection activeCell="D23" activeCellId="1" sqref="B9 D23"/>
    </sheetView>
  </sheetViews>
  <sheetFormatPr defaultColWidth="12.6328125" defaultRowHeight="14.25" customHeight="1" x14ac:dyDescent="0.25"/>
  <cols>
    <col min="4" max="4" width="30.26953125" customWidth="1"/>
  </cols>
  <sheetData>
    <row r="3" spans="2:7" ht="30.8" customHeight="1" x14ac:dyDescent="0.25">
      <c r="C3" s="212" t="s">
        <v>149</v>
      </c>
      <c r="D3" s="212" t="s">
        <v>150</v>
      </c>
      <c r="E3" s="212" t="s">
        <v>118</v>
      </c>
      <c r="F3" s="212" t="s">
        <v>970</v>
      </c>
    </row>
    <row r="4" spans="2:7" ht="14" x14ac:dyDescent="0.3">
      <c r="C4" s="249" t="s">
        <v>2000</v>
      </c>
      <c r="D4" s="468" t="s">
        <v>2001</v>
      </c>
      <c r="E4" s="505" t="s">
        <v>171</v>
      </c>
      <c r="F4" s="506" t="s">
        <v>159</v>
      </c>
      <c r="G4" s="476"/>
    </row>
    <row r="5" spans="2:7" ht="14" x14ac:dyDescent="0.3">
      <c r="C5" s="249" t="s">
        <v>2002</v>
      </c>
      <c r="D5" s="468" t="s">
        <v>2003</v>
      </c>
      <c r="E5" s="505" t="s">
        <v>178</v>
      </c>
      <c r="F5" s="506" t="s">
        <v>159</v>
      </c>
      <c r="G5" s="476"/>
    </row>
    <row r="6" spans="2:7" ht="14" x14ac:dyDescent="0.3">
      <c r="C6" s="249" t="s">
        <v>2004</v>
      </c>
      <c r="D6" s="468" t="s">
        <v>2005</v>
      </c>
      <c r="E6" s="505" t="s">
        <v>178</v>
      </c>
      <c r="F6" s="506" t="s">
        <v>159</v>
      </c>
      <c r="G6" s="476"/>
    </row>
    <row r="7" spans="2:7" ht="14" x14ac:dyDescent="0.3">
      <c r="C7" s="249" t="s">
        <v>2006</v>
      </c>
      <c r="D7" s="468" t="s">
        <v>2007</v>
      </c>
      <c r="E7" s="505" t="s">
        <v>178</v>
      </c>
      <c r="F7" s="506" t="s">
        <v>159</v>
      </c>
      <c r="G7" s="476"/>
    </row>
    <row r="8" spans="2:7" ht="14" x14ac:dyDescent="0.3">
      <c r="C8" s="249" t="s">
        <v>2008</v>
      </c>
      <c r="D8" s="468" t="s">
        <v>2009</v>
      </c>
      <c r="E8" s="505" t="s">
        <v>178</v>
      </c>
      <c r="F8" s="506" t="s">
        <v>159</v>
      </c>
      <c r="G8" s="476"/>
    </row>
    <row r="9" spans="2:7" ht="14" x14ac:dyDescent="0.3">
      <c r="C9" s="249" t="s">
        <v>2010</v>
      </c>
      <c r="D9" s="468" t="s">
        <v>2011</v>
      </c>
      <c r="E9" s="469" t="s">
        <v>171</v>
      </c>
      <c r="F9" s="498" t="s">
        <v>159</v>
      </c>
      <c r="G9" s="476"/>
    </row>
    <row r="10" spans="2:7" ht="14" x14ac:dyDescent="0.3">
      <c r="C10" s="249" t="s">
        <v>2012</v>
      </c>
      <c r="D10" s="468" t="s">
        <v>2013</v>
      </c>
      <c r="E10" s="505" t="s">
        <v>171</v>
      </c>
      <c r="F10" s="506" t="s">
        <v>159</v>
      </c>
      <c r="G10" s="476"/>
    </row>
    <row r="11" spans="2:7" ht="14" x14ac:dyDescent="0.3">
      <c r="C11" s="249" t="s">
        <v>2014</v>
      </c>
      <c r="D11" s="468" t="s">
        <v>2015</v>
      </c>
      <c r="E11" s="505" t="s">
        <v>171</v>
      </c>
      <c r="F11" s="506" t="s">
        <v>168</v>
      </c>
      <c r="G11" s="476"/>
    </row>
    <row r="12" spans="2:7" ht="14" x14ac:dyDescent="0.3">
      <c r="B12" s="479" t="s">
        <v>1853</v>
      </c>
      <c r="C12" s="249" t="s">
        <v>2016</v>
      </c>
      <c r="D12" s="468" t="s">
        <v>2017</v>
      </c>
      <c r="E12" s="505" t="s">
        <v>178</v>
      </c>
      <c r="F12" s="506" t="s">
        <v>159</v>
      </c>
      <c r="G12" s="476"/>
    </row>
    <row r="13" spans="2:7" ht="14" x14ac:dyDescent="0.3">
      <c r="C13" s="249" t="s">
        <v>2018</v>
      </c>
      <c r="D13" s="468" t="s">
        <v>2019</v>
      </c>
      <c r="E13" s="505" t="s">
        <v>171</v>
      </c>
      <c r="F13" s="506" t="s">
        <v>159</v>
      </c>
      <c r="G13" s="476"/>
    </row>
    <row r="14" spans="2:7" ht="14" x14ac:dyDescent="0.3">
      <c r="C14" s="249" t="s">
        <v>2020</v>
      </c>
      <c r="D14" s="468" t="s">
        <v>2021</v>
      </c>
      <c r="E14" s="505" t="s">
        <v>171</v>
      </c>
      <c r="F14" s="506" t="s">
        <v>159</v>
      </c>
      <c r="G14" s="476"/>
    </row>
    <row r="15" spans="2:7" ht="14" x14ac:dyDescent="0.3">
      <c r="C15" s="249" t="s">
        <v>2022</v>
      </c>
      <c r="D15" s="468" t="s">
        <v>2023</v>
      </c>
      <c r="E15" s="505" t="s">
        <v>171</v>
      </c>
      <c r="F15" s="506" t="s">
        <v>159</v>
      </c>
      <c r="G15" s="476"/>
    </row>
    <row r="16" spans="2:7" ht="14" x14ac:dyDescent="0.3">
      <c r="C16" s="249" t="s">
        <v>2024</v>
      </c>
      <c r="D16" s="468" t="s">
        <v>2025</v>
      </c>
      <c r="E16" s="505" t="s">
        <v>171</v>
      </c>
      <c r="F16" s="506" t="s">
        <v>159</v>
      </c>
      <c r="G16" s="476"/>
    </row>
    <row r="17" spans="3:7" ht="14" x14ac:dyDescent="0.3">
      <c r="C17" s="249" t="s">
        <v>2026</v>
      </c>
      <c r="D17" s="468" t="s">
        <v>2027</v>
      </c>
      <c r="E17" s="505" t="s">
        <v>171</v>
      </c>
      <c r="F17" s="506" t="s">
        <v>159</v>
      </c>
      <c r="G17" s="476"/>
    </row>
    <row r="18" spans="3:7" ht="14" x14ac:dyDescent="0.3">
      <c r="C18" s="249" t="s">
        <v>2028</v>
      </c>
      <c r="D18" s="468" t="s">
        <v>2029</v>
      </c>
      <c r="E18" s="505" t="s">
        <v>171</v>
      </c>
      <c r="F18" s="506" t="s">
        <v>159</v>
      </c>
      <c r="G18" s="476"/>
    </row>
    <row r="19" spans="3:7" ht="14" x14ac:dyDescent="0.3">
      <c r="C19" s="249" t="s">
        <v>695</v>
      </c>
      <c r="D19" s="468" t="s">
        <v>696</v>
      </c>
      <c r="E19" s="505" t="s">
        <v>171</v>
      </c>
      <c r="F19" s="506" t="s">
        <v>159</v>
      </c>
      <c r="G19" s="476"/>
    </row>
    <row r="24" spans="3:7" ht="13.45" x14ac:dyDescent="0.25">
      <c r="C24" s="337">
        <v>44652</v>
      </c>
    </row>
    <row r="25" spans="3:7" ht="107.5" x14ac:dyDescent="0.25">
      <c r="C25" s="479" t="s">
        <v>2030</v>
      </c>
    </row>
    <row r="27" spans="3:7" ht="13.45" x14ac:dyDescent="0.25">
      <c r="C27" s="337">
        <v>44743</v>
      </c>
    </row>
    <row r="28" spans="3:7" ht="107.5" x14ac:dyDescent="0.25">
      <c r="C28" s="479" t="s">
        <v>2031</v>
      </c>
    </row>
    <row r="30" spans="3:7" ht="13.45" x14ac:dyDescent="0.25">
      <c r="C30" s="337">
        <v>45047</v>
      </c>
    </row>
    <row r="31" spans="3:7" ht="80.599999999999994" x14ac:dyDescent="0.25">
      <c r="C31" s="479" t="s">
        <v>2032</v>
      </c>
    </row>
    <row r="33" spans="3:7" ht="14" x14ac:dyDescent="0.3">
      <c r="C33" s="249" t="s">
        <v>2033</v>
      </c>
      <c r="D33" s="468" t="s">
        <v>2034</v>
      </c>
      <c r="E33" s="505" t="s">
        <v>171</v>
      </c>
      <c r="F33" s="506" t="s">
        <v>159</v>
      </c>
      <c r="G33" t="s">
        <v>2035</v>
      </c>
    </row>
  </sheetData>
  <autoFilter ref="C3:F19" xr:uid="{00000000-0009-0000-0000-000011000000}"/>
  <dataValidations count="2">
    <dataValidation type="list" allowBlank="1" showInputMessage="1" showErrorMessage="1" prompt="Clique e insira um valor de a lista de itens" sqref="E4:E19 E33" xr:uid="{00000000-0002-0000-1100-000000000000}">
      <formula1>"AJAJ,AJ-BIBLIOTECONOMIA,TJAA,AJAA,TJAS,AJOJ,AJEC,AJ-INFORMATICA,AJ-DESENVOLVIMENTO,TJ-INFORMÁTICA,AJ-INFRAESTRUTURA,AJ-MEDICINA,AJ-CONTADORIA,AJAE"</formula1>
      <formula2>0</formula2>
    </dataValidation>
    <dataValidation type="list" allowBlank="1" showInputMessage="1" showErrorMessage="1" prompt="Clique e insira um valor de a lista de itens" sqref="F4:F19 F33" xr:uid="{00000000-0002-0000-1100-000001000000}">
      <formula1>"EFETIVO,REQUISITADO,EX. PROVISÓRIO,REMOVIDO,SEM VÍNCULO,VAGO,PROVIDO,A SER PROVIDO"</formula1>
      <formula2>0</formula2>
    </dataValidation>
  </dataValidations>
  <pageMargins left="0.51180555555555596" right="0.51180555555555596" top="0.78749999999999998" bottom="0.78749999999999998" header="0.511811023622047" footer="0.511811023622047"/>
  <pageSetup orientation="landscape" horizontalDpi="300" verticalDpi="30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B1:H997"/>
  <sheetViews>
    <sheetView topLeftCell="D1" zoomScale="110" zoomScaleNormal="110" workbookViewId="0">
      <selection activeCell="D4" activeCellId="1" sqref="B9 D4"/>
    </sheetView>
  </sheetViews>
  <sheetFormatPr defaultColWidth="12.6328125" defaultRowHeight="14.25" customHeight="1" x14ac:dyDescent="0.25"/>
  <cols>
    <col min="4" max="4" width="31" customWidth="1"/>
    <col min="5" max="5" width="15.26953125" customWidth="1"/>
    <col min="6" max="6" width="14.453125" customWidth="1"/>
  </cols>
  <sheetData>
    <row r="1" spans="2:7" ht="13.45" x14ac:dyDescent="0.25">
      <c r="E1" s="223"/>
    </row>
    <row r="2" spans="2:7" ht="13.45" x14ac:dyDescent="0.25">
      <c r="E2" s="223"/>
    </row>
    <row r="3" spans="2:7" ht="30.8" customHeight="1" x14ac:dyDescent="0.25">
      <c r="C3" s="212" t="s">
        <v>149</v>
      </c>
      <c r="D3" s="212" t="s">
        <v>150</v>
      </c>
      <c r="E3" s="212" t="s">
        <v>118</v>
      </c>
      <c r="F3" s="212" t="s">
        <v>970</v>
      </c>
    </row>
    <row r="4" spans="2:7" ht="14" x14ac:dyDescent="0.3">
      <c r="C4" s="249" t="s">
        <v>2036</v>
      </c>
      <c r="D4" s="468" t="s">
        <v>2037</v>
      </c>
      <c r="E4" s="505" t="s">
        <v>178</v>
      </c>
      <c r="F4" s="506" t="s">
        <v>164</v>
      </c>
    </row>
    <row r="5" spans="2:7" ht="14" x14ac:dyDescent="0.3">
      <c r="C5" s="249" t="s">
        <v>2038</v>
      </c>
      <c r="D5" s="468" t="s">
        <v>2039</v>
      </c>
      <c r="E5" s="505" t="s">
        <v>171</v>
      </c>
      <c r="F5" s="506" t="s">
        <v>159</v>
      </c>
    </row>
    <row r="6" spans="2:7" ht="14" x14ac:dyDescent="0.3">
      <c r="C6" s="249" t="s">
        <v>2040</v>
      </c>
      <c r="D6" s="468" t="s">
        <v>2041</v>
      </c>
      <c r="E6" s="505" t="s">
        <v>178</v>
      </c>
      <c r="F6" s="506" t="s">
        <v>159</v>
      </c>
    </row>
    <row r="7" spans="2:7" ht="14" x14ac:dyDescent="0.3">
      <c r="C7" s="249" t="s">
        <v>2042</v>
      </c>
      <c r="D7" s="468" t="s">
        <v>2043</v>
      </c>
      <c r="E7" s="505" t="s">
        <v>171</v>
      </c>
      <c r="F7" s="506" t="s">
        <v>159</v>
      </c>
    </row>
    <row r="8" spans="2:7" ht="14" x14ac:dyDescent="0.3">
      <c r="C8" s="249" t="s">
        <v>2044</v>
      </c>
      <c r="D8" s="468" t="s">
        <v>2045</v>
      </c>
      <c r="E8" s="505" t="s">
        <v>178</v>
      </c>
      <c r="F8" s="506" t="s">
        <v>159</v>
      </c>
    </row>
    <row r="9" spans="2:7" ht="14" x14ac:dyDescent="0.3">
      <c r="C9" s="249" t="s">
        <v>2046</v>
      </c>
      <c r="D9" s="468" t="s">
        <v>2047</v>
      </c>
      <c r="E9" s="505" t="s">
        <v>171</v>
      </c>
      <c r="F9" s="506" t="s">
        <v>159</v>
      </c>
    </row>
    <row r="10" spans="2:7" ht="14" x14ac:dyDescent="0.3">
      <c r="B10" s="504" t="s">
        <v>1862</v>
      </c>
      <c r="C10" s="249" t="s">
        <v>2048</v>
      </c>
      <c r="D10" s="468" t="s">
        <v>2049</v>
      </c>
      <c r="E10" s="505" t="s">
        <v>178</v>
      </c>
      <c r="F10" s="506" t="s">
        <v>159</v>
      </c>
    </row>
    <row r="11" spans="2:7" ht="14" x14ac:dyDescent="0.3">
      <c r="C11" s="249" t="s">
        <v>2050</v>
      </c>
      <c r="D11" s="468" t="s">
        <v>2051</v>
      </c>
      <c r="E11" s="505" t="s">
        <v>171</v>
      </c>
      <c r="F11" s="506" t="s">
        <v>159</v>
      </c>
    </row>
    <row r="12" spans="2:7" ht="14" x14ac:dyDescent="0.3">
      <c r="C12" s="249" t="s">
        <v>2052</v>
      </c>
      <c r="D12" s="468" t="s">
        <v>2053</v>
      </c>
      <c r="E12" s="505" t="s">
        <v>171</v>
      </c>
      <c r="F12" s="506" t="s">
        <v>168</v>
      </c>
    </row>
    <row r="13" spans="2:7" ht="14" x14ac:dyDescent="0.3">
      <c r="C13" s="249" t="s">
        <v>2054</v>
      </c>
      <c r="D13" s="468" t="s">
        <v>2055</v>
      </c>
      <c r="E13" s="505" t="s">
        <v>178</v>
      </c>
      <c r="F13" s="506" t="s">
        <v>246</v>
      </c>
    </row>
    <row r="14" spans="2:7" ht="14" x14ac:dyDescent="0.3">
      <c r="C14" s="249" t="s">
        <v>2056</v>
      </c>
      <c r="D14" s="468" t="s">
        <v>2057</v>
      </c>
      <c r="E14" s="505" t="s">
        <v>171</v>
      </c>
      <c r="F14" s="506" t="s">
        <v>168</v>
      </c>
    </row>
    <row r="15" spans="2:7" ht="14" x14ac:dyDescent="0.3">
      <c r="C15" s="249" t="s">
        <v>2058</v>
      </c>
      <c r="D15" s="468" t="s">
        <v>2059</v>
      </c>
      <c r="E15" s="505" t="s">
        <v>171</v>
      </c>
      <c r="F15" s="506" t="s">
        <v>159</v>
      </c>
    </row>
    <row r="16" spans="2:7" ht="14" x14ac:dyDescent="0.3">
      <c r="C16" s="249" t="s">
        <v>2060</v>
      </c>
      <c r="D16" s="468" t="s">
        <v>2061</v>
      </c>
      <c r="E16" s="505" t="s">
        <v>178</v>
      </c>
      <c r="F16" s="506" t="s">
        <v>159</v>
      </c>
      <c r="G16" s="519"/>
    </row>
    <row r="17" spans="3:6" ht="14" x14ac:dyDescent="0.3">
      <c r="C17" s="249" t="s">
        <v>2062</v>
      </c>
      <c r="D17" s="468" t="s">
        <v>2063</v>
      </c>
      <c r="E17" s="505" t="s">
        <v>178</v>
      </c>
      <c r="F17" s="506" t="s">
        <v>159</v>
      </c>
    </row>
    <row r="18" spans="3:6" ht="14" x14ac:dyDescent="0.3">
      <c r="C18" s="249" t="s">
        <v>2064</v>
      </c>
      <c r="D18" s="468" t="s">
        <v>2065</v>
      </c>
      <c r="E18" s="505" t="s">
        <v>171</v>
      </c>
      <c r="F18" s="506" t="s">
        <v>159</v>
      </c>
    </row>
    <row r="19" spans="3:6" ht="14" x14ac:dyDescent="0.3">
      <c r="C19" s="249"/>
      <c r="D19" s="468"/>
      <c r="E19" s="469"/>
      <c r="F19" s="468"/>
    </row>
    <row r="20" spans="3:6" ht="14" x14ac:dyDescent="0.3">
      <c r="C20" s="249"/>
      <c r="D20" s="468"/>
      <c r="E20" s="469"/>
      <c r="F20" s="468"/>
    </row>
    <row r="21" spans="3:6" ht="13.45" x14ac:dyDescent="0.25">
      <c r="E21" s="223"/>
    </row>
    <row r="22" spans="3:6" ht="13.45" x14ac:dyDescent="0.25">
      <c r="E22" s="223"/>
    </row>
    <row r="23" spans="3:6" ht="14" x14ac:dyDescent="0.3">
      <c r="C23" s="16" t="s">
        <v>1000</v>
      </c>
      <c r="E23" s="223"/>
    </row>
    <row r="24" spans="3:6" ht="14" x14ac:dyDescent="0.3">
      <c r="C24" s="16" t="s">
        <v>2066</v>
      </c>
      <c r="E24" s="223"/>
    </row>
    <row r="25" spans="3:6" ht="13.45" x14ac:dyDescent="0.25">
      <c r="E25" s="223"/>
    </row>
    <row r="26" spans="3:6" ht="14" x14ac:dyDescent="0.3">
      <c r="C26" s="507">
        <v>44562</v>
      </c>
      <c r="E26" s="223"/>
    </row>
    <row r="27" spans="3:6" ht="14" x14ac:dyDescent="0.3">
      <c r="C27" s="16" t="s">
        <v>2067</v>
      </c>
      <c r="E27" s="223"/>
    </row>
    <row r="28" spans="3:6" ht="13.45" x14ac:dyDescent="0.25">
      <c r="E28" s="223"/>
    </row>
    <row r="29" spans="3:6" ht="13.45" x14ac:dyDescent="0.25">
      <c r="C29" s="337">
        <v>44682</v>
      </c>
      <c r="E29" s="223"/>
    </row>
    <row r="30" spans="3:6" ht="134.35" x14ac:dyDescent="0.25">
      <c r="C30" s="479" t="s">
        <v>2068</v>
      </c>
      <c r="E30" s="223"/>
    </row>
    <row r="31" spans="3:6" ht="13.45" x14ac:dyDescent="0.25">
      <c r="E31" s="223"/>
    </row>
    <row r="32" spans="3:6" ht="174.65" x14ac:dyDescent="0.25">
      <c r="C32" s="479" t="s">
        <v>2069</v>
      </c>
      <c r="E32" s="223"/>
    </row>
    <row r="33" spans="3:8" ht="13.45" x14ac:dyDescent="0.25">
      <c r="E33" s="223"/>
    </row>
    <row r="34" spans="3:8" ht="14" x14ac:dyDescent="0.3">
      <c r="C34" s="249" t="s">
        <v>2070</v>
      </c>
      <c r="D34" s="468" t="s">
        <v>1065</v>
      </c>
      <c r="E34" s="505" t="s">
        <v>167</v>
      </c>
      <c r="F34" s="520" t="s">
        <v>159</v>
      </c>
      <c r="G34" s="620" t="s">
        <v>2071</v>
      </c>
      <c r="H34" s="620"/>
    </row>
    <row r="35" spans="3:8" ht="13.45" x14ac:dyDescent="0.25">
      <c r="E35" s="223"/>
    </row>
    <row r="36" spans="3:8" ht="13.45" x14ac:dyDescent="0.25">
      <c r="E36" s="223"/>
    </row>
    <row r="37" spans="3:8" ht="13.45" x14ac:dyDescent="0.25">
      <c r="E37" s="223"/>
    </row>
    <row r="38" spans="3:8" ht="13.45" x14ac:dyDescent="0.25">
      <c r="E38" s="223"/>
    </row>
    <row r="39" spans="3:8" ht="13.45" x14ac:dyDescent="0.25">
      <c r="E39" s="223"/>
    </row>
    <row r="40" spans="3:8" ht="13.45" x14ac:dyDescent="0.25">
      <c r="E40" s="223"/>
    </row>
    <row r="41" spans="3:8" ht="13.45" x14ac:dyDescent="0.25">
      <c r="E41" s="223"/>
    </row>
    <row r="42" spans="3:8" ht="13.45" x14ac:dyDescent="0.25">
      <c r="E42" s="223"/>
    </row>
    <row r="43" spans="3:8" ht="13.45" x14ac:dyDescent="0.25">
      <c r="E43" s="223"/>
    </row>
    <row r="44" spans="3:8" ht="13.45" x14ac:dyDescent="0.25">
      <c r="E44" s="223"/>
    </row>
    <row r="45" spans="3:8" ht="13.45" x14ac:dyDescent="0.25">
      <c r="E45" s="223"/>
    </row>
    <row r="46" spans="3:8" ht="13.45" x14ac:dyDescent="0.25">
      <c r="E46" s="223"/>
    </row>
    <row r="47" spans="3:8" ht="13.45" x14ac:dyDescent="0.25">
      <c r="E47" s="223"/>
    </row>
    <row r="48" spans="3:8" ht="13.45" x14ac:dyDescent="0.25">
      <c r="E48" s="223"/>
    </row>
    <row r="49" spans="5:5" ht="13.45" x14ac:dyDescent="0.25">
      <c r="E49" s="223"/>
    </row>
    <row r="50" spans="5:5" ht="13.45" x14ac:dyDescent="0.25">
      <c r="E50" s="223"/>
    </row>
    <row r="51" spans="5:5" ht="13.45" x14ac:dyDescent="0.25">
      <c r="E51" s="223"/>
    </row>
    <row r="52" spans="5:5" ht="13.45" x14ac:dyDescent="0.25">
      <c r="E52" s="223"/>
    </row>
    <row r="53" spans="5:5" ht="13.45" x14ac:dyDescent="0.25">
      <c r="E53" s="223"/>
    </row>
    <row r="54" spans="5:5" ht="13.45" x14ac:dyDescent="0.25">
      <c r="E54" s="223"/>
    </row>
    <row r="55" spans="5:5" ht="13.45" x14ac:dyDescent="0.25">
      <c r="E55" s="223"/>
    </row>
    <row r="56" spans="5:5" ht="13.45" x14ac:dyDescent="0.25">
      <c r="E56" s="223"/>
    </row>
    <row r="57" spans="5:5" ht="13.45" x14ac:dyDescent="0.25">
      <c r="E57" s="223"/>
    </row>
    <row r="58" spans="5:5" ht="13.45" x14ac:dyDescent="0.25">
      <c r="E58" s="223"/>
    </row>
    <row r="59" spans="5:5" ht="13.45" x14ac:dyDescent="0.25">
      <c r="E59" s="223"/>
    </row>
    <row r="60" spans="5:5" ht="13.45" x14ac:dyDescent="0.25">
      <c r="E60" s="223"/>
    </row>
    <row r="61" spans="5:5" ht="13.45" x14ac:dyDescent="0.25">
      <c r="E61" s="223"/>
    </row>
    <row r="62" spans="5:5" ht="13.45" x14ac:dyDescent="0.25">
      <c r="E62" s="223"/>
    </row>
    <row r="63" spans="5:5" ht="13.45" x14ac:dyDescent="0.25">
      <c r="E63" s="223"/>
    </row>
    <row r="64" spans="5:5" ht="13.45" x14ac:dyDescent="0.25">
      <c r="E64" s="223"/>
    </row>
    <row r="65" spans="5:5" ht="13.45" x14ac:dyDescent="0.25">
      <c r="E65" s="223"/>
    </row>
    <row r="66" spans="5:5" ht="13.45" x14ac:dyDescent="0.25">
      <c r="E66" s="223"/>
    </row>
    <row r="67" spans="5:5" ht="13.45" x14ac:dyDescent="0.25">
      <c r="E67" s="223"/>
    </row>
    <row r="68" spans="5:5" ht="13.45" x14ac:dyDescent="0.25">
      <c r="E68" s="223"/>
    </row>
    <row r="69" spans="5:5" ht="13.45" x14ac:dyDescent="0.25">
      <c r="E69" s="223"/>
    </row>
    <row r="70" spans="5:5" ht="13.45" x14ac:dyDescent="0.25">
      <c r="E70" s="223"/>
    </row>
    <row r="71" spans="5:5" ht="13.45" x14ac:dyDescent="0.25">
      <c r="E71" s="223"/>
    </row>
    <row r="72" spans="5:5" ht="13.45" x14ac:dyDescent="0.25">
      <c r="E72" s="223"/>
    </row>
    <row r="73" spans="5:5" ht="13.45" x14ac:dyDescent="0.25">
      <c r="E73" s="223"/>
    </row>
    <row r="74" spans="5:5" ht="13.45" x14ac:dyDescent="0.25">
      <c r="E74" s="223"/>
    </row>
    <row r="75" spans="5:5" ht="13.45" x14ac:dyDescent="0.25">
      <c r="E75" s="223"/>
    </row>
    <row r="76" spans="5:5" ht="13.45" x14ac:dyDescent="0.25">
      <c r="E76" s="223"/>
    </row>
    <row r="77" spans="5:5" ht="13.45" x14ac:dyDescent="0.25">
      <c r="E77" s="223"/>
    </row>
    <row r="78" spans="5:5" ht="13.45" x14ac:dyDescent="0.25">
      <c r="E78" s="223"/>
    </row>
    <row r="79" spans="5:5" ht="13.45" x14ac:dyDescent="0.25">
      <c r="E79" s="223"/>
    </row>
    <row r="80" spans="5:5" ht="13.45" x14ac:dyDescent="0.25">
      <c r="E80" s="223"/>
    </row>
    <row r="81" spans="5:5" ht="13.45" x14ac:dyDescent="0.25">
      <c r="E81" s="223"/>
    </row>
    <row r="82" spans="5:5" ht="13.45" x14ac:dyDescent="0.25">
      <c r="E82" s="223"/>
    </row>
    <row r="83" spans="5:5" ht="13.45" x14ac:dyDescent="0.25">
      <c r="E83" s="223"/>
    </row>
    <row r="84" spans="5:5" ht="13.45" x14ac:dyDescent="0.25">
      <c r="E84" s="223"/>
    </row>
    <row r="85" spans="5:5" ht="13.45" x14ac:dyDescent="0.25">
      <c r="E85" s="223"/>
    </row>
    <row r="86" spans="5:5" ht="13.45" x14ac:dyDescent="0.25">
      <c r="E86" s="223"/>
    </row>
    <row r="87" spans="5:5" ht="13.45" x14ac:dyDescent="0.25">
      <c r="E87" s="223"/>
    </row>
    <row r="88" spans="5:5" ht="13.45" x14ac:dyDescent="0.25">
      <c r="E88" s="223"/>
    </row>
    <row r="89" spans="5:5" ht="13.45" x14ac:dyDescent="0.25">
      <c r="E89" s="223"/>
    </row>
    <row r="90" spans="5:5" ht="13.45" x14ac:dyDescent="0.25">
      <c r="E90" s="223"/>
    </row>
    <row r="91" spans="5:5" ht="13.45" x14ac:dyDescent="0.25">
      <c r="E91" s="223"/>
    </row>
    <row r="92" spans="5:5" ht="13.45" x14ac:dyDescent="0.25">
      <c r="E92" s="223"/>
    </row>
    <row r="93" spans="5:5" ht="13.45" x14ac:dyDescent="0.25">
      <c r="E93" s="223"/>
    </row>
    <row r="94" spans="5:5" ht="13.45" x14ac:dyDescent="0.25">
      <c r="E94" s="223"/>
    </row>
    <row r="95" spans="5:5" ht="13.45" x14ac:dyDescent="0.25">
      <c r="E95" s="223"/>
    </row>
    <row r="96" spans="5:5" ht="13.45" x14ac:dyDescent="0.25">
      <c r="E96" s="223"/>
    </row>
    <row r="97" spans="5:5" ht="13.45" x14ac:dyDescent="0.25">
      <c r="E97" s="223"/>
    </row>
    <row r="98" spans="5:5" ht="13.45" x14ac:dyDescent="0.25">
      <c r="E98" s="223"/>
    </row>
    <row r="99" spans="5:5" ht="13.45" x14ac:dyDescent="0.25">
      <c r="E99" s="223"/>
    </row>
    <row r="100" spans="5:5" ht="13.45" x14ac:dyDescent="0.25">
      <c r="E100" s="223"/>
    </row>
    <row r="101" spans="5:5" ht="13.45" x14ac:dyDescent="0.25">
      <c r="E101" s="223"/>
    </row>
    <row r="102" spans="5:5" ht="13.45" x14ac:dyDescent="0.25">
      <c r="E102" s="223"/>
    </row>
    <row r="103" spans="5:5" ht="13.45" x14ac:dyDescent="0.25">
      <c r="E103" s="223"/>
    </row>
    <row r="104" spans="5:5" ht="13.45" x14ac:dyDescent="0.25">
      <c r="E104" s="223"/>
    </row>
    <row r="105" spans="5:5" ht="13.45" x14ac:dyDescent="0.25">
      <c r="E105" s="223"/>
    </row>
    <row r="106" spans="5:5" ht="13.45" x14ac:dyDescent="0.25">
      <c r="E106" s="223"/>
    </row>
    <row r="107" spans="5:5" ht="13.45" x14ac:dyDescent="0.25">
      <c r="E107" s="223"/>
    </row>
    <row r="108" spans="5:5" ht="13.45" x14ac:dyDescent="0.25">
      <c r="E108" s="223"/>
    </row>
    <row r="109" spans="5:5" ht="13.45" x14ac:dyDescent="0.25">
      <c r="E109" s="223"/>
    </row>
    <row r="110" spans="5:5" ht="13.45" x14ac:dyDescent="0.25">
      <c r="E110" s="223"/>
    </row>
    <row r="111" spans="5:5" ht="13.45" x14ac:dyDescent="0.25">
      <c r="E111" s="223"/>
    </row>
    <row r="112" spans="5:5" ht="13.45" x14ac:dyDescent="0.25">
      <c r="E112" s="223"/>
    </row>
    <row r="113" spans="5:5" ht="13.45" x14ac:dyDescent="0.25">
      <c r="E113" s="223"/>
    </row>
    <row r="114" spans="5:5" ht="13.45" x14ac:dyDescent="0.25">
      <c r="E114" s="223"/>
    </row>
    <row r="115" spans="5:5" ht="13.45" x14ac:dyDescent="0.25">
      <c r="E115" s="223"/>
    </row>
    <row r="116" spans="5:5" ht="13.45" x14ac:dyDescent="0.25">
      <c r="E116" s="223"/>
    </row>
    <row r="117" spans="5:5" ht="13.45" x14ac:dyDescent="0.25">
      <c r="E117" s="223"/>
    </row>
    <row r="118" spans="5:5" ht="13.45" x14ac:dyDescent="0.25">
      <c r="E118" s="223"/>
    </row>
    <row r="119" spans="5:5" ht="13.45" x14ac:dyDescent="0.25">
      <c r="E119" s="223"/>
    </row>
    <row r="120" spans="5:5" ht="13.45" x14ac:dyDescent="0.25">
      <c r="E120" s="223"/>
    </row>
    <row r="121" spans="5:5" ht="13.45" x14ac:dyDescent="0.25">
      <c r="E121" s="223"/>
    </row>
    <row r="122" spans="5:5" ht="13.45" x14ac:dyDescent="0.25">
      <c r="E122" s="223"/>
    </row>
    <row r="123" spans="5:5" ht="13.45" x14ac:dyDescent="0.25">
      <c r="E123" s="223"/>
    </row>
    <row r="124" spans="5:5" ht="13.45" x14ac:dyDescent="0.25">
      <c r="E124" s="223"/>
    </row>
    <row r="125" spans="5:5" ht="13.45" x14ac:dyDescent="0.25">
      <c r="E125" s="223"/>
    </row>
    <row r="126" spans="5:5" ht="13.45" x14ac:dyDescent="0.25">
      <c r="E126" s="223"/>
    </row>
    <row r="127" spans="5:5" ht="13.45" x14ac:dyDescent="0.25">
      <c r="E127" s="223"/>
    </row>
    <row r="128" spans="5:5" ht="13.45" x14ac:dyDescent="0.25">
      <c r="E128" s="223"/>
    </row>
    <row r="129" spans="5:5" ht="13.45" x14ac:dyDescent="0.25">
      <c r="E129" s="223"/>
    </row>
    <row r="130" spans="5:5" ht="13.45" x14ac:dyDescent="0.25">
      <c r="E130" s="223"/>
    </row>
    <row r="131" spans="5:5" ht="13.45" x14ac:dyDescent="0.25">
      <c r="E131" s="223"/>
    </row>
    <row r="132" spans="5:5" ht="13.45" x14ac:dyDescent="0.25">
      <c r="E132" s="223"/>
    </row>
    <row r="133" spans="5:5" ht="13.45" x14ac:dyDescent="0.25">
      <c r="E133" s="223"/>
    </row>
    <row r="134" spans="5:5" ht="13.45" x14ac:dyDescent="0.25">
      <c r="E134" s="223"/>
    </row>
    <row r="135" spans="5:5" ht="13.45" x14ac:dyDescent="0.25">
      <c r="E135" s="223"/>
    </row>
    <row r="136" spans="5:5" ht="13.45" x14ac:dyDescent="0.25">
      <c r="E136" s="223"/>
    </row>
    <row r="137" spans="5:5" ht="13.45" x14ac:dyDescent="0.25">
      <c r="E137" s="223"/>
    </row>
    <row r="138" spans="5:5" ht="13.45" x14ac:dyDescent="0.25">
      <c r="E138" s="223"/>
    </row>
    <row r="139" spans="5:5" ht="13.45" x14ac:dyDescent="0.25">
      <c r="E139" s="223"/>
    </row>
    <row r="140" spans="5:5" ht="13.45" x14ac:dyDescent="0.25">
      <c r="E140" s="223"/>
    </row>
    <row r="141" spans="5:5" ht="13.45" x14ac:dyDescent="0.25">
      <c r="E141" s="223"/>
    </row>
    <row r="142" spans="5:5" ht="13.45" x14ac:dyDescent="0.25">
      <c r="E142" s="223"/>
    </row>
    <row r="143" spans="5:5" ht="13.45" x14ac:dyDescent="0.25">
      <c r="E143" s="223"/>
    </row>
    <row r="144" spans="5:5" ht="13.45" x14ac:dyDescent="0.25">
      <c r="E144" s="223"/>
    </row>
    <row r="145" spans="5:5" ht="13.45" x14ac:dyDescent="0.25">
      <c r="E145" s="223"/>
    </row>
    <row r="146" spans="5:5" ht="13.45" x14ac:dyDescent="0.25">
      <c r="E146" s="223"/>
    </row>
    <row r="147" spans="5:5" ht="13.45" x14ac:dyDescent="0.25">
      <c r="E147" s="223"/>
    </row>
    <row r="148" spans="5:5" ht="13.45" x14ac:dyDescent="0.25">
      <c r="E148" s="223"/>
    </row>
    <row r="149" spans="5:5" ht="13.45" x14ac:dyDescent="0.25">
      <c r="E149" s="223"/>
    </row>
    <row r="150" spans="5:5" ht="13.45" x14ac:dyDescent="0.25">
      <c r="E150" s="223"/>
    </row>
    <row r="151" spans="5:5" ht="13.45" x14ac:dyDescent="0.25">
      <c r="E151" s="223"/>
    </row>
    <row r="152" spans="5:5" ht="13.45" x14ac:dyDescent="0.25">
      <c r="E152" s="223"/>
    </row>
    <row r="153" spans="5:5" ht="13.45" x14ac:dyDescent="0.25">
      <c r="E153" s="223"/>
    </row>
    <row r="154" spans="5:5" ht="13.45" x14ac:dyDescent="0.25">
      <c r="E154" s="223"/>
    </row>
    <row r="155" spans="5:5" ht="13.45" x14ac:dyDescent="0.25">
      <c r="E155" s="223"/>
    </row>
    <row r="156" spans="5:5" ht="13.45" x14ac:dyDescent="0.25">
      <c r="E156" s="223"/>
    </row>
    <row r="157" spans="5:5" ht="13.45" x14ac:dyDescent="0.25">
      <c r="E157" s="223"/>
    </row>
    <row r="158" spans="5:5" ht="13.45" x14ac:dyDescent="0.25">
      <c r="E158" s="223"/>
    </row>
    <row r="159" spans="5:5" ht="13.45" x14ac:dyDescent="0.25">
      <c r="E159" s="223"/>
    </row>
    <row r="160" spans="5:5" ht="13.45" x14ac:dyDescent="0.25">
      <c r="E160" s="223"/>
    </row>
    <row r="161" spans="5:5" ht="13.45" x14ac:dyDescent="0.25">
      <c r="E161" s="223"/>
    </row>
    <row r="162" spans="5:5" ht="13.45" x14ac:dyDescent="0.25">
      <c r="E162" s="223"/>
    </row>
    <row r="163" spans="5:5" ht="13.45" x14ac:dyDescent="0.25">
      <c r="E163" s="223"/>
    </row>
    <row r="164" spans="5:5" ht="13.45" x14ac:dyDescent="0.25">
      <c r="E164" s="223"/>
    </row>
    <row r="165" spans="5:5" ht="13.45" x14ac:dyDescent="0.25">
      <c r="E165" s="223"/>
    </row>
    <row r="166" spans="5:5" ht="13.45" x14ac:dyDescent="0.25">
      <c r="E166" s="223"/>
    </row>
    <row r="167" spans="5:5" ht="13.45" x14ac:dyDescent="0.25">
      <c r="E167" s="223"/>
    </row>
    <row r="168" spans="5:5" ht="13.45" x14ac:dyDescent="0.25">
      <c r="E168" s="223"/>
    </row>
    <row r="169" spans="5:5" ht="13.45" x14ac:dyDescent="0.25">
      <c r="E169" s="223"/>
    </row>
    <row r="170" spans="5:5" ht="13.45" x14ac:dyDescent="0.25">
      <c r="E170" s="223"/>
    </row>
    <row r="171" spans="5:5" ht="13.45" x14ac:dyDescent="0.25">
      <c r="E171" s="223"/>
    </row>
    <row r="172" spans="5:5" ht="13.45" x14ac:dyDescent="0.25">
      <c r="E172" s="223"/>
    </row>
    <row r="173" spans="5:5" ht="13.45" x14ac:dyDescent="0.25">
      <c r="E173" s="223"/>
    </row>
    <row r="174" spans="5:5" ht="13.45" x14ac:dyDescent="0.25">
      <c r="E174" s="223"/>
    </row>
    <row r="175" spans="5:5" ht="13.45" x14ac:dyDescent="0.25">
      <c r="E175" s="223"/>
    </row>
    <row r="176" spans="5:5" ht="13.45" x14ac:dyDescent="0.25">
      <c r="E176" s="223"/>
    </row>
    <row r="177" spans="5:5" ht="13.45" x14ac:dyDescent="0.25">
      <c r="E177" s="223"/>
    </row>
    <row r="178" spans="5:5" ht="13.45" x14ac:dyDescent="0.25">
      <c r="E178" s="223"/>
    </row>
    <row r="179" spans="5:5" ht="13.45" x14ac:dyDescent="0.25">
      <c r="E179" s="223"/>
    </row>
    <row r="180" spans="5:5" ht="13.45" x14ac:dyDescent="0.25">
      <c r="E180" s="223"/>
    </row>
    <row r="181" spans="5:5" ht="13.45" x14ac:dyDescent="0.25">
      <c r="E181" s="223"/>
    </row>
    <row r="182" spans="5:5" ht="13.45" x14ac:dyDescent="0.25">
      <c r="E182" s="223"/>
    </row>
    <row r="183" spans="5:5" ht="13.45" x14ac:dyDescent="0.25">
      <c r="E183" s="223"/>
    </row>
    <row r="184" spans="5:5" ht="13.45" x14ac:dyDescent="0.25">
      <c r="E184" s="223"/>
    </row>
    <row r="185" spans="5:5" ht="13.45" x14ac:dyDescent="0.25">
      <c r="E185" s="223"/>
    </row>
    <row r="186" spans="5:5" ht="13.45" x14ac:dyDescent="0.25">
      <c r="E186" s="223"/>
    </row>
    <row r="187" spans="5:5" ht="13.45" x14ac:dyDescent="0.25">
      <c r="E187" s="223"/>
    </row>
    <row r="188" spans="5:5" ht="13.45" x14ac:dyDescent="0.25">
      <c r="E188" s="223"/>
    </row>
    <row r="189" spans="5:5" ht="13.45" x14ac:dyDescent="0.25">
      <c r="E189" s="223"/>
    </row>
    <row r="190" spans="5:5" ht="13.45" x14ac:dyDescent="0.25">
      <c r="E190" s="223"/>
    </row>
    <row r="191" spans="5:5" ht="13.45" x14ac:dyDescent="0.25">
      <c r="E191" s="223"/>
    </row>
    <row r="192" spans="5:5" ht="13.45" x14ac:dyDescent="0.25">
      <c r="E192" s="223"/>
    </row>
    <row r="193" spans="5:5" ht="13.45" x14ac:dyDescent="0.25">
      <c r="E193" s="223"/>
    </row>
    <row r="194" spans="5:5" ht="13.45" x14ac:dyDescent="0.25">
      <c r="E194" s="223"/>
    </row>
    <row r="195" spans="5:5" ht="13.45" x14ac:dyDescent="0.25">
      <c r="E195" s="223"/>
    </row>
    <row r="196" spans="5:5" ht="13.45" x14ac:dyDescent="0.25">
      <c r="E196" s="223"/>
    </row>
    <row r="197" spans="5:5" ht="13.45" x14ac:dyDescent="0.25">
      <c r="E197" s="223"/>
    </row>
    <row r="198" spans="5:5" ht="13.45" x14ac:dyDescent="0.25">
      <c r="E198" s="223"/>
    </row>
    <row r="199" spans="5:5" ht="13.45" x14ac:dyDescent="0.25">
      <c r="E199" s="223"/>
    </row>
    <row r="200" spans="5:5" ht="13.45" x14ac:dyDescent="0.25">
      <c r="E200" s="223"/>
    </row>
    <row r="201" spans="5:5" ht="13.45" x14ac:dyDescent="0.25">
      <c r="E201" s="223"/>
    </row>
    <row r="202" spans="5:5" ht="13.45" x14ac:dyDescent="0.25">
      <c r="E202" s="223"/>
    </row>
    <row r="203" spans="5:5" ht="13.45" x14ac:dyDescent="0.25">
      <c r="E203" s="223"/>
    </row>
    <row r="204" spans="5:5" ht="13.45" x14ac:dyDescent="0.25">
      <c r="E204" s="223"/>
    </row>
    <row r="205" spans="5:5" ht="13.45" x14ac:dyDescent="0.25">
      <c r="E205" s="223"/>
    </row>
    <row r="206" spans="5:5" ht="13.45" x14ac:dyDescent="0.25">
      <c r="E206" s="223"/>
    </row>
    <row r="207" spans="5:5" ht="13.45" x14ac:dyDescent="0.25">
      <c r="E207" s="223"/>
    </row>
    <row r="208" spans="5:5" ht="13.45" x14ac:dyDescent="0.25">
      <c r="E208" s="223"/>
    </row>
    <row r="209" spans="5:5" ht="13.45" x14ac:dyDescent="0.25">
      <c r="E209" s="223"/>
    </row>
    <row r="210" spans="5:5" ht="13.45" x14ac:dyDescent="0.25">
      <c r="E210" s="223"/>
    </row>
    <row r="211" spans="5:5" ht="13.45" x14ac:dyDescent="0.25">
      <c r="E211" s="223"/>
    </row>
    <row r="212" spans="5:5" ht="13.45" x14ac:dyDescent="0.25">
      <c r="E212" s="223"/>
    </row>
    <row r="213" spans="5:5" ht="13.45" x14ac:dyDescent="0.25">
      <c r="E213" s="223"/>
    </row>
    <row r="214" spans="5:5" ht="13.45" x14ac:dyDescent="0.25">
      <c r="E214" s="223"/>
    </row>
    <row r="215" spans="5:5" ht="13.45" x14ac:dyDescent="0.25">
      <c r="E215" s="223"/>
    </row>
    <row r="216" spans="5:5" ht="13.45" x14ac:dyDescent="0.25">
      <c r="E216" s="223"/>
    </row>
    <row r="217" spans="5:5" ht="13.45" x14ac:dyDescent="0.25">
      <c r="E217" s="223"/>
    </row>
    <row r="218" spans="5:5" ht="13.45" x14ac:dyDescent="0.25">
      <c r="E218" s="223"/>
    </row>
    <row r="219" spans="5:5" ht="13.45" x14ac:dyDescent="0.25">
      <c r="E219" s="223"/>
    </row>
    <row r="220" spans="5:5" ht="13.45" x14ac:dyDescent="0.25">
      <c r="E220" s="223"/>
    </row>
    <row r="221" spans="5:5" ht="13.45" x14ac:dyDescent="0.25">
      <c r="E221" s="223"/>
    </row>
    <row r="222" spans="5:5" ht="13.45" x14ac:dyDescent="0.25">
      <c r="E222" s="223"/>
    </row>
    <row r="223" spans="5:5" ht="13.45" x14ac:dyDescent="0.25">
      <c r="E223" s="223"/>
    </row>
    <row r="224" spans="5:5" ht="13.45" x14ac:dyDescent="0.25">
      <c r="E224" s="223"/>
    </row>
    <row r="225" spans="5:5" ht="13.45" x14ac:dyDescent="0.25">
      <c r="E225" s="223"/>
    </row>
    <row r="226" spans="5:5" ht="13.45" x14ac:dyDescent="0.25">
      <c r="E226" s="223"/>
    </row>
    <row r="227" spans="5:5" ht="13.45" x14ac:dyDescent="0.25">
      <c r="E227" s="223"/>
    </row>
    <row r="228" spans="5:5" ht="13.45" x14ac:dyDescent="0.25">
      <c r="E228" s="223"/>
    </row>
    <row r="229" spans="5:5" ht="13.45" x14ac:dyDescent="0.25">
      <c r="E229" s="223"/>
    </row>
    <row r="230" spans="5:5" ht="13.45" x14ac:dyDescent="0.25">
      <c r="E230" s="223"/>
    </row>
    <row r="231" spans="5:5" ht="13.45" x14ac:dyDescent="0.25">
      <c r="E231" s="223"/>
    </row>
    <row r="232" spans="5:5" ht="13.45" x14ac:dyDescent="0.25">
      <c r="E232" s="223"/>
    </row>
    <row r="233" spans="5:5" ht="13.45" x14ac:dyDescent="0.25">
      <c r="E233" s="223"/>
    </row>
    <row r="234" spans="5:5" ht="13.45" x14ac:dyDescent="0.25">
      <c r="E234" s="223"/>
    </row>
    <row r="235" spans="5:5" ht="13.45" x14ac:dyDescent="0.25">
      <c r="E235" s="223"/>
    </row>
    <row r="236" spans="5:5" ht="13.45" x14ac:dyDescent="0.25">
      <c r="E236" s="223"/>
    </row>
    <row r="237" spans="5:5" ht="13.45" x14ac:dyDescent="0.25">
      <c r="E237" s="223"/>
    </row>
    <row r="238" spans="5:5" ht="13.45" x14ac:dyDescent="0.25">
      <c r="E238" s="223"/>
    </row>
    <row r="239" spans="5:5" ht="13.45" x14ac:dyDescent="0.25">
      <c r="E239" s="223"/>
    </row>
    <row r="240" spans="5:5" ht="13.45" x14ac:dyDescent="0.25">
      <c r="E240" s="223"/>
    </row>
    <row r="241" spans="5:5" ht="13.45" x14ac:dyDescent="0.25">
      <c r="E241" s="223"/>
    </row>
    <row r="242" spans="5:5" ht="13.45" x14ac:dyDescent="0.25">
      <c r="E242" s="223"/>
    </row>
    <row r="243" spans="5:5" ht="13.45" x14ac:dyDescent="0.25">
      <c r="E243" s="223"/>
    </row>
    <row r="244" spans="5:5" ht="13.45" x14ac:dyDescent="0.25">
      <c r="E244" s="223"/>
    </row>
    <row r="245" spans="5:5" ht="13.45" x14ac:dyDescent="0.25">
      <c r="E245" s="223"/>
    </row>
    <row r="246" spans="5:5" ht="13.45" x14ac:dyDescent="0.25">
      <c r="E246" s="223"/>
    </row>
    <row r="247" spans="5:5" ht="13.45" x14ac:dyDescent="0.25">
      <c r="E247" s="223"/>
    </row>
    <row r="248" spans="5:5" ht="13.45" x14ac:dyDescent="0.25">
      <c r="E248" s="223"/>
    </row>
    <row r="249" spans="5:5" ht="13.45" x14ac:dyDescent="0.25">
      <c r="E249" s="223"/>
    </row>
    <row r="250" spans="5:5" ht="13.45" x14ac:dyDescent="0.25">
      <c r="E250" s="223"/>
    </row>
    <row r="251" spans="5:5" ht="13.45" x14ac:dyDescent="0.25">
      <c r="E251" s="223"/>
    </row>
    <row r="252" spans="5:5" ht="13.45" x14ac:dyDescent="0.25">
      <c r="E252" s="223"/>
    </row>
    <row r="253" spans="5:5" ht="13.45" x14ac:dyDescent="0.25">
      <c r="E253" s="223"/>
    </row>
    <row r="254" spans="5:5" ht="13.45" x14ac:dyDescent="0.25">
      <c r="E254" s="223"/>
    </row>
    <row r="255" spans="5:5" ht="13.45" x14ac:dyDescent="0.25">
      <c r="E255" s="223"/>
    </row>
    <row r="256" spans="5:5" ht="13.45" x14ac:dyDescent="0.25">
      <c r="E256" s="223"/>
    </row>
    <row r="257" spans="5:5" ht="13.45" x14ac:dyDescent="0.25">
      <c r="E257" s="223"/>
    </row>
    <row r="258" spans="5:5" ht="13.45" x14ac:dyDescent="0.25">
      <c r="E258" s="223"/>
    </row>
    <row r="259" spans="5:5" ht="13.45" x14ac:dyDescent="0.25">
      <c r="E259" s="223"/>
    </row>
    <row r="260" spans="5:5" ht="13.45" x14ac:dyDescent="0.25">
      <c r="E260" s="223"/>
    </row>
    <row r="261" spans="5:5" ht="13.45" x14ac:dyDescent="0.25">
      <c r="E261" s="223"/>
    </row>
    <row r="262" spans="5:5" ht="13.45" x14ac:dyDescent="0.25">
      <c r="E262" s="223"/>
    </row>
    <row r="263" spans="5:5" ht="13.45" x14ac:dyDescent="0.25">
      <c r="E263" s="223"/>
    </row>
    <row r="264" spans="5:5" ht="13.45" x14ac:dyDescent="0.25">
      <c r="E264" s="223"/>
    </row>
    <row r="265" spans="5:5" ht="13.45" x14ac:dyDescent="0.25">
      <c r="E265" s="223"/>
    </row>
    <row r="266" spans="5:5" ht="13.45" x14ac:dyDescent="0.25">
      <c r="E266" s="223"/>
    </row>
    <row r="267" spans="5:5" ht="13.45" x14ac:dyDescent="0.25">
      <c r="E267" s="223"/>
    </row>
    <row r="268" spans="5:5" ht="13.45" x14ac:dyDescent="0.25">
      <c r="E268" s="223"/>
    </row>
    <row r="269" spans="5:5" ht="13.45" x14ac:dyDescent="0.25">
      <c r="E269" s="223"/>
    </row>
    <row r="270" spans="5:5" ht="13.45" x14ac:dyDescent="0.25">
      <c r="E270" s="223"/>
    </row>
    <row r="271" spans="5:5" ht="13.45" x14ac:dyDescent="0.25">
      <c r="E271" s="223"/>
    </row>
    <row r="272" spans="5:5" ht="13.45" x14ac:dyDescent="0.25">
      <c r="E272" s="223"/>
    </row>
    <row r="273" spans="5:5" ht="13.45" x14ac:dyDescent="0.25">
      <c r="E273" s="223"/>
    </row>
    <row r="274" spans="5:5" ht="13.45" x14ac:dyDescent="0.25">
      <c r="E274" s="223"/>
    </row>
    <row r="275" spans="5:5" ht="13.45" x14ac:dyDescent="0.25">
      <c r="E275" s="223"/>
    </row>
    <row r="276" spans="5:5" ht="13.45" x14ac:dyDescent="0.25">
      <c r="E276" s="223"/>
    </row>
    <row r="277" spans="5:5" ht="13.45" x14ac:dyDescent="0.25">
      <c r="E277" s="223"/>
    </row>
    <row r="278" spans="5:5" ht="13.45" x14ac:dyDescent="0.25">
      <c r="E278" s="223"/>
    </row>
    <row r="279" spans="5:5" ht="13.45" x14ac:dyDescent="0.25">
      <c r="E279" s="223"/>
    </row>
    <row r="280" spans="5:5" ht="13.45" x14ac:dyDescent="0.25">
      <c r="E280" s="223"/>
    </row>
    <row r="281" spans="5:5" ht="13.45" x14ac:dyDescent="0.25">
      <c r="E281" s="223"/>
    </row>
    <row r="282" spans="5:5" ht="13.45" x14ac:dyDescent="0.25">
      <c r="E282" s="223"/>
    </row>
    <row r="283" spans="5:5" ht="13.45" x14ac:dyDescent="0.25">
      <c r="E283" s="223"/>
    </row>
    <row r="284" spans="5:5" ht="13.45" x14ac:dyDescent="0.25">
      <c r="E284" s="223"/>
    </row>
    <row r="285" spans="5:5" ht="13.45" x14ac:dyDescent="0.25">
      <c r="E285" s="223"/>
    </row>
    <row r="286" spans="5:5" ht="13.45" x14ac:dyDescent="0.25">
      <c r="E286" s="223"/>
    </row>
    <row r="287" spans="5:5" ht="13.45" x14ac:dyDescent="0.25">
      <c r="E287" s="223"/>
    </row>
    <row r="288" spans="5:5" ht="13.45" x14ac:dyDescent="0.25">
      <c r="E288" s="223"/>
    </row>
    <row r="289" spans="5:5" ht="13.45" x14ac:dyDescent="0.25">
      <c r="E289" s="223"/>
    </row>
    <row r="290" spans="5:5" ht="13.45" x14ac:dyDescent="0.25">
      <c r="E290" s="223"/>
    </row>
    <row r="291" spans="5:5" ht="13.45" x14ac:dyDescent="0.25">
      <c r="E291" s="223"/>
    </row>
    <row r="292" spans="5:5" ht="13.45" x14ac:dyDescent="0.25">
      <c r="E292" s="223"/>
    </row>
    <row r="293" spans="5:5" ht="13.45" x14ac:dyDescent="0.25">
      <c r="E293" s="223"/>
    </row>
    <row r="294" spans="5:5" ht="13.45" x14ac:dyDescent="0.25">
      <c r="E294" s="223"/>
    </row>
    <row r="295" spans="5:5" ht="13.45" x14ac:dyDescent="0.25">
      <c r="E295" s="223"/>
    </row>
    <row r="296" spans="5:5" ht="13.45" x14ac:dyDescent="0.25">
      <c r="E296" s="223"/>
    </row>
    <row r="297" spans="5:5" ht="13.45" x14ac:dyDescent="0.25">
      <c r="E297" s="223"/>
    </row>
    <row r="298" spans="5:5" ht="13.45" x14ac:dyDescent="0.25">
      <c r="E298" s="223"/>
    </row>
    <row r="299" spans="5:5" ht="13.45" x14ac:dyDescent="0.25">
      <c r="E299" s="223"/>
    </row>
    <row r="300" spans="5:5" ht="13.45" x14ac:dyDescent="0.25">
      <c r="E300" s="223"/>
    </row>
    <row r="301" spans="5:5" ht="13.45" x14ac:dyDescent="0.25">
      <c r="E301" s="223"/>
    </row>
    <row r="302" spans="5:5" ht="13.45" x14ac:dyDescent="0.25">
      <c r="E302" s="223"/>
    </row>
    <row r="303" spans="5:5" ht="13.45" x14ac:dyDescent="0.25">
      <c r="E303" s="223"/>
    </row>
    <row r="304" spans="5:5" ht="13.45" x14ac:dyDescent="0.25">
      <c r="E304" s="223"/>
    </row>
    <row r="305" spans="5:5" ht="13.45" x14ac:dyDescent="0.25">
      <c r="E305" s="223"/>
    </row>
    <row r="306" spans="5:5" ht="13.45" x14ac:dyDescent="0.25">
      <c r="E306" s="223"/>
    </row>
    <row r="307" spans="5:5" ht="13.45" x14ac:dyDescent="0.25">
      <c r="E307" s="223"/>
    </row>
    <row r="308" spans="5:5" ht="13.45" x14ac:dyDescent="0.25">
      <c r="E308" s="223"/>
    </row>
    <row r="309" spans="5:5" ht="13.45" x14ac:dyDescent="0.25">
      <c r="E309" s="223"/>
    </row>
    <row r="310" spans="5:5" ht="13.45" x14ac:dyDescent="0.25">
      <c r="E310" s="223"/>
    </row>
    <row r="311" spans="5:5" ht="13.45" x14ac:dyDescent="0.25">
      <c r="E311" s="223"/>
    </row>
    <row r="312" spans="5:5" ht="13.45" x14ac:dyDescent="0.25">
      <c r="E312" s="223"/>
    </row>
    <row r="313" spans="5:5" ht="13.45" x14ac:dyDescent="0.25">
      <c r="E313" s="223"/>
    </row>
    <row r="314" spans="5:5" ht="13.45" x14ac:dyDescent="0.25">
      <c r="E314" s="223"/>
    </row>
    <row r="315" spans="5:5" ht="13.45" x14ac:dyDescent="0.25">
      <c r="E315" s="223"/>
    </row>
    <row r="316" spans="5:5" ht="13.45" x14ac:dyDescent="0.25">
      <c r="E316" s="223"/>
    </row>
    <row r="317" spans="5:5" ht="13.45" x14ac:dyDescent="0.25">
      <c r="E317" s="223"/>
    </row>
    <row r="318" spans="5:5" ht="13.45" x14ac:dyDescent="0.25">
      <c r="E318" s="223"/>
    </row>
    <row r="319" spans="5:5" ht="13.45" x14ac:dyDescent="0.25">
      <c r="E319" s="223"/>
    </row>
    <row r="320" spans="5:5" ht="13.45" x14ac:dyDescent="0.25">
      <c r="E320" s="223"/>
    </row>
    <row r="321" spans="5:5" ht="13.45" x14ac:dyDescent="0.25">
      <c r="E321" s="223"/>
    </row>
    <row r="322" spans="5:5" ht="13.45" x14ac:dyDescent="0.25">
      <c r="E322" s="223"/>
    </row>
    <row r="323" spans="5:5" ht="13.45" x14ac:dyDescent="0.25">
      <c r="E323" s="223"/>
    </row>
    <row r="324" spans="5:5" ht="13.45" x14ac:dyDescent="0.25">
      <c r="E324" s="223"/>
    </row>
    <row r="325" spans="5:5" ht="13.45" x14ac:dyDescent="0.25">
      <c r="E325" s="223"/>
    </row>
    <row r="326" spans="5:5" ht="13.45" x14ac:dyDescent="0.25">
      <c r="E326" s="223"/>
    </row>
    <row r="327" spans="5:5" ht="13.45" x14ac:dyDescent="0.25">
      <c r="E327" s="223"/>
    </row>
    <row r="328" spans="5:5" ht="13.45" x14ac:dyDescent="0.25">
      <c r="E328" s="223"/>
    </row>
    <row r="329" spans="5:5" ht="13.45" x14ac:dyDescent="0.25">
      <c r="E329" s="223"/>
    </row>
    <row r="330" spans="5:5" ht="13.45" x14ac:dyDescent="0.25">
      <c r="E330" s="223"/>
    </row>
    <row r="331" spans="5:5" ht="13.45" x14ac:dyDescent="0.25">
      <c r="E331" s="223"/>
    </row>
    <row r="332" spans="5:5" ht="13.45" x14ac:dyDescent="0.25">
      <c r="E332" s="223"/>
    </row>
    <row r="333" spans="5:5" ht="13.45" x14ac:dyDescent="0.25">
      <c r="E333" s="223"/>
    </row>
    <row r="334" spans="5:5" ht="13.45" x14ac:dyDescent="0.25">
      <c r="E334" s="223"/>
    </row>
    <row r="335" spans="5:5" ht="13.45" x14ac:dyDescent="0.25">
      <c r="E335" s="223"/>
    </row>
    <row r="336" spans="5:5" ht="13.45" x14ac:dyDescent="0.25">
      <c r="E336" s="223"/>
    </row>
    <row r="337" spans="5:5" ht="13.45" x14ac:dyDescent="0.25">
      <c r="E337" s="223"/>
    </row>
    <row r="338" spans="5:5" ht="13.45" x14ac:dyDescent="0.25">
      <c r="E338" s="223"/>
    </row>
    <row r="339" spans="5:5" ht="13.45" x14ac:dyDescent="0.25">
      <c r="E339" s="223"/>
    </row>
    <row r="340" spans="5:5" ht="13.45" x14ac:dyDescent="0.25">
      <c r="E340" s="223"/>
    </row>
    <row r="341" spans="5:5" ht="13.45" x14ac:dyDescent="0.25">
      <c r="E341" s="223"/>
    </row>
    <row r="342" spans="5:5" ht="13.45" x14ac:dyDescent="0.25">
      <c r="E342" s="223"/>
    </row>
    <row r="343" spans="5:5" ht="13.45" x14ac:dyDescent="0.25">
      <c r="E343" s="223"/>
    </row>
    <row r="344" spans="5:5" ht="13.45" x14ac:dyDescent="0.25">
      <c r="E344" s="223"/>
    </row>
    <row r="345" spans="5:5" ht="13.45" x14ac:dyDescent="0.25">
      <c r="E345" s="223"/>
    </row>
    <row r="346" spans="5:5" ht="13.45" x14ac:dyDescent="0.25">
      <c r="E346" s="223"/>
    </row>
    <row r="347" spans="5:5" ht="13.45" x14ac:dyDescent="0.25">
      <c r="E347" s="223"/>
    </row>
    <row r="348" spans="5:5" ht="13.45" x14ac:dyDescent="0.25">
      <c r="E348" s="223"/>
    </row>
    <row r="349" spans="5:5" ht="13.45" x14ac:dyDescent="0.25">
      <c r="E349" s="223"/>
    </row>
    <row r="350" spans="5:5" ht="13.45" x14ac:dyDescent="0.25">
      <c r="E350" s="223"/>
    </row>
    <row r="351" spans="5:5" ht="13.45" x14ac:dyDescent="0.25">
      <c r="E351" s="223"/>
    </row>
    <row r="352" spans="5:5" ht="13.45" x14ac:dyDescent="0.25">
      <c r="E352" s="223"/>
    </row>
    <row r="353" spans="5:5" ht="13.45" x14ac:dyDescent="0.25">
      <c r="E353" s="223"/>
    </row>
    <row r="354" spans="5:5" ht="13.45" x14ac:dyDescent="0.25">
      <c r="E354" s="223"/>
    </row>
    <row r="355" spans="5:5" ht="13.45" x14ac:dyDescent="0.25">
      <c r="E355" s="223"/>
    </row>
    <row r="356" spans="5:5" ht="13.45" x14ac:dyDescent="0.25">
      <c r="E356" s="223"/>
    </row>
    <row r="357" spans="5:5" ht="13.45" x14ac:dyDescent="0.25">
      <c r="E357" s="223"/>
    </row>
    <row r="358" spans="5:5" ht="13.45" x14ac:dyDescent="0.25">
      <c r="E358" s="223"/>
    </row>
    <row r="359" spans="5:5" ht="13.45" x14ac:dyDescent="0.25">
      <c r="E359" s="223"/>
    </row>
    <row r="360" spans="5:5" ht="13.45" x14ac:dyDescent="0.25">
      <c r="E360" s="223"/>
    </row>
    <row r="361" spans="5:5" ht="13.45" x14ac:dyDescent="0.25">
      <c r="E361" s="223"/>
    </row>
    <row r="362" spans="5:5" ht="13.45" x14ac:dyDescent="0.25">
      <c r="E362" s="223"/>
    </row>
    <row r="363" spans="5:5" ht="13.45" x14ac:dyDescent="0.25">
      <c r="E363" s="223"/>
    </row>
    <row r="364" spans="5:5" ht="13.45" x14ac:dyDescent="0.25">
      <c r="E364" s="223"/>
    </row>
    <row r="365" spans="5:5" ht="13.45" x14ac:dyDescent="0.25">
      <c r="E365" s="223"/>
    </row>
    <row r="366" spans="5:5" ht="13.45" x14ac:dyDescent="0.25">
      <c r="E366" s="223"/>
    </row>
    <row r="367" spans="5:5" ht="13.45" x14ac:dyDescent="0.25">
      <c r="E367" s="223"/>
    </row>
    <row r="368" spans="5:5" ht="13.45" x14ac:dyDescent="0.25">
      <c r="E368" s="223"/>
    </row>
    <row r="369" spans="5:5" ht="13.45" x14ac:dyDescent="0.25">
      <c r="E369" s="223"/>
    </row>
    <row r="370" spans="5:5" ht="13.45" x14ac:dyDescent="0.25">
      <c r="E370" s="223"/>
    </row>
    <row r="371" spans="5:5" ht="13.45" x14ac:dyDescent="0.25">
      <c r="E371" s="223"/>
    </row>
    <row r="372" spans="5:5" ht="13.45" x14ac:dyDescent="0.25">
      <c r="E372" s="223"/>
    </row>
    <row r="373" spans="5:5" ht="13.45" x14ac:dyDescent="0.25">
      <c r="E373" s="223"/>
    </row>
    <row r="374" spans="5:5" ht="13.45" x14ac:dyDescent="0.25">
      <c r="E374" s="223"/>
    </row>
    <row r="375" spans="5:5" ht="13.45" x14ac:dyDescent="0.25">
      <c r="E375" s="223"/>
    </row>
    <row r="376" spans="5:5" ht="13.45" x14ac:dyDescent="0.25">
      <c r="E376" s="223"/>
    </row>
    <row r="377" spans="5:5" ht="13.45" x14ac:dyDescent="0.25">
      <c r="E377" s="223"/>
    </row>
    <row r="378" spans="5:5" ht="13.45" x14ac:dyDescent="0.25">
      <c r="E378" s="223"/>
    </row>
    <row r="379" spans="5:5" ht="13.45" x14ac:dyDescent="0.25">
      <c r="E379" s="223"/>
    </row>
    <row r="380" spans="5:5" ht="13.45" x14ac:dyDescent="0.25">
      <c r="E380" s="223"/>
    </row>
    <row r="381" spans="5:5" ht="13.45" x14ac:dyDescent="0.25">
      <c r="E381" s="223"/>
    </row>
    <row r="382" spans="5:5" ht="13.45" x14ac:dyDescent="0.25">
      <c r="E382" s="223"/>
    </row>
    <row r="383" spans="5:5" ht="13.45" x14ac:dyDescent="0.25">
      <c r="E383" s="223"/>
    </row>
    <row r="384" spans="5:5" ht="13.45" x14ac:dyDescent="0.25">
      <c r="E384" s="223"/>
    </row>
    <row r="385" spans="5:5" ht="13.45" x14ac:dyDescent="0.25">
      <c r="E385" s="223"/>
    </row>
    <row r="386" spans="5:5" ht="13.45" x14ac:dyDescent="0.25">
      <c r="E386" s="223"/>
    </row>
    <row r="387" spans="5:5" ht="13.45" x14ac:dyDescent="0.25">
      <c r="E387" s="223"/>
    </row>
    <row r="388" spans="5:5" ht="13.45" x14ac:dyDescent="0.25">
      <c r="E388" s="223"/>
    </row>
    <row r="389" spans="5:5" ht="13.45" x14ac:dyDescent="0.25">
      <c r="E389" s="223"/>
    </row>
    <row r="390" spans="5:5" ht="13.45" x14ac:dyDescent="0.25">
      <c r="E390" s="223"/>
    </row>
    <row r="391" spans="5:5" ht="13.45" x14ac:dyDescent="0.25">
      <c r="E391" s="223"/>
    </row>
    <row r="392" spans="5:5" ht="13.45" x14ac:dyDescent="0.25">
      <c r="E392" s="223"/>
    </row>
    <row r="393" spans="5:5" ht="13.45" x14ac:dyDescent="0.25">
      <c r="E393" s="223"/>
    </row>
    <row r="394" spans="5:5" ht="13.45" x14ac:dyDescent="0.25">
      <c r="E394" s="223"/>
    </row>
    <row r="395" spans="5:5" ht="13.45" x14ac:dyDescent="0.25">
      <c r="E395" s="223"/>
    </row>
    <row r="396" spans="5:5" ht="13.45" x14ac:dyDescent="0.25">
      <c r="E396" s="223"/>
    </row>
    <row r="397" spans="5:5" ht="13.45" x14ac:dyDescent="0.25">
      <c r="E397" s="223"/>
    </row>
    <row r="398" spans="5:5" ht="13.45" x14ac:dyDescent="0.25">
      <c r="E398" s="223"/>
    </row>
    <row r="399" spans="5:5" ht="13.45" x14ac:dyDescent="0.25">
      <c r="E399" s="223"/>
    </row>
    <row r="400" spans="5:5" ht="13.45" x14ac:dyDescent="0.25">
      <c r="E400" s="223"/>
    </row>
    <row r="401" spans="5:5" ht="13.45" x14ac:dyDescent="0.25">
      <c r="E401" s="223"/>
    </row>
    <row r="402" spans="5:5" ht="13.45" x14ac:dyDescent="0.25">
      <c r="E402" s="223"/>
    </row>
    <row r="403" spans="5:5" ht="13.45" x14ac:dyDescent="0.25">
      <c r="E403" s="223"/>
    </row>
    <row r="404" spans="5:5" ht="13.45" x14ac:dyDescent="0.25">
      <c r="E404" s="223"/>
    </row>
    <row r="405" spans="5:5" ht="13.45" x14ac:dyDescent="0.25">
      <c r="E405" s="223"/>
    </row>
    <row r="406" spans="5:5" ht="13.45" x14ac:dyDescent="0.25">
      <c r="E406" s="223"/>
    </row>
    <row r="407" spans="5:5" ht="13.45" x14ac:dyDescent="0.25">
      <c r="E407" s="223"/>
    </row>
    <row r="408" spans="5:5" ht="13.45" x14ac:dyDescent="0.25">
      <c r="E408" s="223"/>
    </row>
    <row r="409" spans="5:5" ht="13.45" x14ac:dyDescent="0.25">
      <c r="E409" s="223"/>
    </row>
    <row r="410" spans="5:5" ht="13.45" x14ac:dyDescent="0.25">
      <c r="E410" s="223"/>
    </row>
    <row r="411" spans="5:5" ht="13.45" x14ac:dyDescent="0.25">
      <c r="E411" s="223"/>
    </row>
    <row r="412" spans="5:5" ht="13.45" x14ac:dyDescent="0.25">
      <c r="E412" s="223"/>
    </row>
    <row r="413" spans="5:5" ht="13.45" x14ac:dyDescent="0.25">
      <c r="E413" s="223"/>
    </row>
    <row r="414" spans="5:5" ht="13.45" x14ac:dyDescent="0.25">
      <c r="E414" s="223"/>
    </row>
    <row r="415" spans="5:5" ht="13.45" x14ac:dyDescent="0.25">
      <c r="E415" s="223"/>
    </row>
    <row r="416" spans="5:5" ht="13.45" x14ac:dyDescent="0.25">
      <c r="E416" s="223"/>
    </row>
    <row r="417" spans="5:5" ht="13.45" x14ac:dyDescent="0.25">
      <c r="E417" s="223"/>
    </row>
    <row r="418" spans="5:5" ht="13.45" x14ac:dyDescent="0.25">
      <c r="E418" s="223"/>
    </row>
    <row r="419" spans="5:5" ht="13.45" x14ac:dyDescent="0.25">
      <c r="E419" s="223"/>
    </row>
    <row r="420" spans="5:5" ht="13.45" x14ac:dyDescent="0.25">
      <c r="E420" s="223"/>
    </row>
    <row r="421" spans="5:5" ht="13.45" x14ac:dyDescent="0.25">
      <c r="E421" s="223"/>
    </row>
    <row r="422" spans="5:5" ht="13.45" x14ac:dyDescent="0.25">
      <c r="E422" s="223"/>
    </row>
    <row r="423" spans="5:5" ht="13.45" x14ac:dyDescent="0.25">
      <c r="E423" s="223"/>
    </row>
    <row r="424" spans="5:5" ht="13.45" x14ac:dyDescent="0.25">
      <c r="E424" s="223"/>
    </row>
    <row r="425" spans="5:5" ht="13.45" x14ac:dyDescent="0.25">
      <c r="E425" s="223"/>
    </row>
    <row r="426" spans="5:5" ht="13.45" x14ac:dyDescent="0.25">
      <c r="E426" s="223"/>
    </row>
    <row r="427" spans="5:5" ht="13.45" x14ac:dyDescent="0.25">
      <c r="E427" s="223"/>
    </row>
    <row r="428" spans="5:5" ht="13.45" x14ac:dyDescent="0.25">
      <c r="E428" s="223"/>
    </row>
    <row r="429" spans="5:5" ht="13.45" x14ac:dyDescent="0.25">
      <c r="E429" s="223"/>
    </row>
    <row r="430" spans="5:5" ht="13.45" x14ac:dyDescent="0.25">
      <c r="E430" s="223"/>
    </row>
    <row r="431" spans="5:5" ht="13.45" x14ac:dyDescent="0.25">
      <c r="E431" s="223"/>
    </row>
    <row r="432" spans="5:5" ht="13.45" x14ac:dyDescent="0.25">
      <c r="E432" s="223"/>
    </row>
    <row r="433" spans="5:5" ht="13.45" x14ac:dyDescent="0.25">
      <c r="E433" s="223"/>
    </row>
    <row r="434" spans="5:5" ht="13.45" x14ac:dyDescent="0.25">
      <c r="E434" s="223"/>
    </row>
    <row r="435" spans="5:5" ht="13.45" x14ac:dyDescent="0.25">
      <c r="E435" s="223"/>
    </row>
    <row r="436" spans="5:5" ht="13.45" x14ac:dyDescent="0.25">
      <c r="E436" s="223"/>
    </row>
    <row r="437" spans="5:5" ht="13.45" x14ac:dyDescent="0.25">
      <c r="E437" s="223"/>
    </row>
    <row r="438" spans="5:5" ht="13.45" x14ac:dyDescent="0.25">
      <c r="E438" s="223"/>
    </row>
    <row r="439" spans="5:5" ht="13.45" x14ac:dyDescent="0.25">
      <c r="E439" s="223"/>
    </row>
    <row r="440" spans="5:5" ht="13.45" x14ac:dyDescent="0.25">
      <c r="E440" s="223"/>
    </row>
    <row r="441" spans="5:5" ht="13.45" x14ac:dyDescent="0.25">
      <c r="E441" s="223"/>
    </row>
    <row r="442" spans="5:5" ht="13.45" x14ac:dyDescent="0.25">
      <c r="E442" s="223"/>
    </row>
    <row r="443" spans="5:5" ht="13.45" x14ac:dyDescent="0.25">
      <c r="E443" s="223"/>
    </row>
    <row r="444" spans="5:5" ht="13.45" x14ac:dyDescent="0.25">
      <c r="E444" s="223"/>
    </row>
    <row r="445" spans="5:5" ht="13.45" x14ac:dyDescent="0.25">
      <c r="E445" s="223"/>
    </row>
    <row r="446" spans="5:5" ht="13.45" x14ac:dyDescent="0.25">
      <c r="E446" s="223"/>
    </row>
    <row r="447" spans="5:5" ht="13.45" x14ac:dyDescent="0.25">
      <c r="E447" s="223"/>
    </row>
    <row r="448" spans="5:5" ht="13.45" x14ac:dyDescent="0.25">
      <c r="E448" s="223"/>
    </row>
    <row r="449" spans="5:5" ht="13.45" x14ac:dyDescent="0.25">
      <c r="E449" s="223"/>
    </row>
    <row r="450" spans="5:5" ht="13.45" x14ac:dyDescent="0.25">
      <c r="E450" s="223"/>
    </row>
    <row r="451" spans="5:5" ht="13.45" x14ac:dyDescent="0.25">
      <c r="E451" s="223"/>
    </row>
    <row r="452" spans="5:5" ht="13.45" x14ac:dyDescent="0.25">
      <c r="E452" s="223"/>
    </row>
    <row r="453" spans="5:5" ht="13.45" x14ac:dyDescent="0.25">
      <c r="E453" s="223"/>
    </row>
    <row r="454" spans="5:5" ht="13.45" x14ac:dyDescent="0.25">
      <c r="E454" s="223"/>
    </row>
    <row r="455" spans="5:5" ht="13.45" x14ac:dyDescent="0.25">
      <c r="E455" s="223"/>
    </row>
    <row r="456" spans="5:5" ht="13.45" x14ac:dyDescent="0.25">
      <c r="E456" s="223"/>
    </row>
    <row r="457" spans="5:5" ht="13.45" x14ac:dyDescent="0.25">
      <c r="E457" s="223"/>
    </row>
    <row r="458" spans="5:5" ht="13.45" x14ac:dyDescent="0.25">
      <c r="E458" s="223"/>
    </row>
    <row r="459" spans="5:5" ht="13.45" x14ac:dyDescent="0.25">
      <c r="E459" s="223"/>
    </row>
    <row r="460" spans="5:5" ht="13.45" x14ac:dyDescent="0.25">
      <c r="E460" s="223"/>
    </row>
    <row r="461" spans="5:5" ht="13.45" x14ac:dyDescent="0.25">
      <c r="E461" s="223"/>
    </row>
    <row r="462" spans="5:5" ht="13.45" x14ac:dyDescent="0.25">
      <c r="E462" s="223"/>
    </row>
    <row r="463" spans="5:5" ht="13.45" x14ac:dyDescent="0.25">
      <c r="E463" s="223"/>
    </row>
    <row r="464" spans="5:5" ht="13.45" x14ac:dyDescent="0.25">
      <c r="E464" s="223"/>
    </row>
    <row r="465" spans="5:5" ht="13.45" x14ac:dyDescent="0.25">
      <c r="E465" s="223"/>
    </row>
    <row r="466" spans="5:5" ht="13.45" x14ac:dyDescent="0.25">
      <c r="E466" s="223"/>
    </row>
    <row r="467" spans="5:5" ht="13.45" x14ac:dyDescent="0.25">
      <c r="E467" s="223"/>
    </row>
    <row r="468" spans="5:5" ht="13.45" x14ac:dyDescent="0.25">
      <c r="E468" s="223"/>
    </row>
    <row r="469" spans="5:5" ht="13.45" x14ac:dyDescent="0.25">
      <c r="E469" s="223"/>
    </row>
    <row r="470" spans="5:5" ht="13.45" x14ac:dyDescent="0.25">
      <c r="E470" s="223"/>
    </row>
    <row r="471" spans="5:5" ht="13.45" x14ac:dyDescent="0.25">
      <c r="E471" s="223"/>
    </row>
    <row r="472" spans="5:5" ht="13.45" x14ac:dyDescent="0.25">
      <c r="E472" s="223"/>
    </row>
    <row r="473" spans="5:5" ht="13.45" x14ac:dyDescent="0.25">
      <c r="E473" s="223"/>
    </row>
    <row r="474" spans="5:5" ht="13.45" x14ac:dyDescent="0.25">
      <c r="E474" s="223"/>
    </row>
    <row r="475" spans="5:5" ht="13.45" x14ac:dyDescent="0.25">
      <c r="E475" s="223"/>
    </row>
    <row r="476" spans="5:5" ht="13.45" x14ac:dyDescent="0.25">
      <c r="E476" s="223"/>
    </row>
    <row r="477" spans="5:5" ht="13.45" x14ac:dyDescent="0.25">
      <c r="E477" s="223"/>
    </row>
    <row r="478" spans="5:5" ht="13.45" x14ac:dyDescent="0.25">
      <c r="E478" s="223"/>
    </row>
    <row r="479" spans="5:5" ht="13.45" x14ac:dyDescent="0.25">
      <c r="E479" s="223"/>
    </row>
    <row r="480" spans="5:5" ht="13.45" x14ac:dyDescent="0.25">
      <c r="E480" s="223"/>
    </row>
    <row r="481" spans="5:5" ht="13.45" x14ac:dyDescent="0.25">
      <c r="E481" s="223"/>
    </row>
    <row r="482" spans="5:5" ht="13.45" x14ac:dyDescent="0.25">
      <c r="E482" s="223"/>
    </row>
    <row r="483" spans="5:5" ht="13.45" x14ac:dyDescent="0.25">
      <c r="E483" s="223"/>
    </row>
    <row r="484" spans="5:5" ht="13.45" x14ac:dyDescent="0.25">
      <c r="E484" s="223"/>
    </row>
    <row r="485" spans="5:5" ht="13.45" x14ac:dyDescent="0.25">
      <c r="E485" s="223"/>
    </row>
    <row r="486" spans="5:5" ht="13.45" x14ac:dyDescent="0.25">
      <c r="E486" s="223"/>
    </row>
    <row r="487" spans="5:5" ht="13.45" x14ac:dyDescent="0.25">
      <c r="E487" s="223"/>
    </row>
    <row r="488" spans="5:5" ht="13.45" x14ac:dyDescent="0.25">
      <c r="E488" s="223"/>
    </row>
    <row r="489" spans="5:5" ht="13.45" x14ac:dyDescent="0.25">
      <c r="E489" s="223"/>
    </row>
    <row r="490" spans="5:5" ht="13.45" x14ac:dyDescent="0.25">
      <c r="E490" s="223"/>
    </row>
    <row r="491" spans="5:5" ht="13.45" x14ac:dyDescent="0.25">
      <c r="E491" s="223"/>
    </row>
    <row r="492" spans="5:5" ht="13.45" x14ac:dyDescent="0.25">
      <c r="E492" s="223"/>
    </row>
    <row r="493" spans="5:5" ht="13.45" x14ac:dyDescent="0.25">
      <c r="E493" s="223"/>
    </row>
    <row r="494" spans="5:5" ht="13.45" x14ac:dyDescent="0.25">
      <c r="E494" s="223"/>
    </row>
    <row r="495" spans="5:5" ht="13.45" x14ac:dyDescent="0.25">
      <c r="E495" s="223"/>
    </row>
    <row r="496" spans="5:5" ht="13.45" x14ac:dyDescent="0.25">
      <c r="E496" s="223"/>
    </row>
    <row r="497" spans="5:5" ht="13.45" x14ac:dyDescent="0.25">
      <c r="E497" s="223"/>
    </row>
    <row r="498" spans="5:5" ht="13.45" x14ac:dyDescent="0.25">
      <c r="E498" s="223"/>
    </row>
    <row r="499" spans="5:5" ht="13.45" x14ac:dyDescent="0.25">
      <c r="E499" s="223"/>
    </row>
    <row r="500" spans="5:5" ht="13.45" x14ac:dyDescent="0.25">
      <c r="E500" s="223"/>
    </row>
    <row r="501" spans="5:5" ht="13.45" x14ac:dyDescent="0.25">
      <c r="E501" s="223"/>
    </row>
    <row r="502" spans="5:5" ht="13.45" x14ac:dyDescent="0.25">
      <c r="E502" s="223"/>
    </row>
    <row r="503" spans="5:5" ht="13.45" x14ac:dyDescent="0.25">
      <c r="E503" s="223"/>
    </row>
    <row r="504" spans="5:5" ht="13.45" x14ac:dyDescent="0.25">
      <c r="E504" s="223"/>
    </row>
    <row r="505" spans="5:5" ht="13.45" x14ac:dyDescent="0.25">
      <c r="E505" s="223"/>
    </row>
    <row r="506" spans="5:5" ht="13.45" x14ac:dyDescent="0.25">
      <c r="E506" s="223"/>
    </row>
    <row r="507" spans="5:5" ht="13.45" x14ac:dyDescent="0.25">
      <c r="E507" s="223"/>
    </row>
    <row r="508" spans="5:5" ht="13.45" x14ac:dyDescent="0.25">
      <c r="E508" s="223"/>
    </row>
    <row r="509" spans="5:5" ht="13.45" x14ac:dyDescent="0.25">
      <c r="E509" s="223"/>
    </row>
    <row r="510" spans="5:5" ht="13.45" x14ac:dyDescent="0.25">
      <c r="E510" s="223"/>
    </row>
    <row r="511" spans="5:5" ht="13.45" x14ac:dyDescent="0.25">
      <c r="E511" s="223"/>
    </row>
    <row r="512" spans="5:5" ht="13.45" x14ac:dyDescent="0.25">
      <c r="E512" s="223"/>
    </row>
    <row r="513" spans="5:5" ht="13.45" x14ac:dyDescent="0.25">
      <c r="E513" s="223"/>
    </row>
    <row r="514" spans="5:5" ht="13.45" x14ac:dyDescent="0.25">
      <c r="E514" s="223"/>
    </row>
    <row r="515" spans="5:5" ht="13.45" x14ac:dyDescent="0.25">
      <c r="E515" s="223"/>
    </row>
    <row r="516" spans="5:5" ht="13.45" x14ac:dyDescent="0.25">
      <c r="E516" s="223"/>
    </row>
    <row r="517" spans="5:5" ht="13.45" x14ac:dyDescent="0.25">
      <c r="E517" s="223"/>
    </row>
    <row r="518" spans="5:5" ht="13.45" x14ac:dyDescent="0.25">
      <c r="E518" s="223"/>
    </row>
    <row r="519" spans="5:5" ht="13.45" x14ac:dyDescent="0.25">
      <c r="E519" s="223"/>
    </row>
    <row r="520" spans="5:5" ht="13.45" x14ac:dyDescent="0.25">
      <c r="E520" s="223"/>
    </row>
    <row r="521" spans="5:5" ht="13.45" x14ac:dyDescent="0.25">
      <c r="E521" s="223"/>
    </row>
    <row r="522" spans="5:5" ht="13.45" x14ac:dyDescent="0.25">
      <c r="E522" s="223"/>
    </row>
    <row r="523" spans="5:5" ht="13.45" x14ac:dyDescent="0.25">
      <c r="E523" s="223"/>
    </row>
    <row r="524" spans="5:5" ht="13.45" x14ac:dyDescent="0.25">
      <c r="E524" s="223"/>
    </row>
    <row r="525" spans="5:5" ht="13.45" x14ac:dyDescent="0.25">
      <c r="E525" s="223"/>
    </row>
    <row r="526" spans="5:5" ht="13.45" x14ac:dyDescent="0.25">
      <c r="E526" s="223"/>
    </row>
    <row r="527" spans="5:5" ht="13.45" x14ac:dyDescent="0.25">
      <c r="E527" s="223"/>
    </row>
    <row r="528" spans="5:5" ht="13.45" x14ac:dyDescent="0.25">
      <c r="E528" s="223"/>
    </row>
    <row r="529" spans="5:5" ht="13.45" x14ac:dyDescent="0.25">
      <c r="E529" s="223"/>
    </row>
    <row r="530" spans="5:5" ht="13.45" x14ac:dyDescent="0.25">
      <c r="E530" s="223"/>
    </row>
    <row r="531" spans="5:5" ht="13.45" x14ac:dyDescent="0.25">
      <c r="E531" s="223"/>
    </row>
    <row r="532" spans="5:5" ht="13.45" x14ac:dyDescent="0.25">
      <c r="E532" s="223"/>
    </row>
    <row r="533" spans="5:5" ht="13.45" x14ac:dyDescent="0.25">
      <c r="E533" s="223"/>
    </row>
    <row r="534" spans="5:5" ht="13.45" x14ac:dyDescent="0.25">
      <c r="E534" s="223"/>
    </row>
    <row r="535" spans="5:5" ht="13.45" x14ac:dyDescent="0.25">
      <c r="E535" s="223"/>
    </row>
    <row r="536" spans="5:5" ht="13.45" x14ac:dyDescent="0.25">
      <c r="E536" s="223"/>
    </row>
    <row r="537" spans="5:5" ht="13.45" x14ac:dyDescent="0.25">
      <c r="E537" s="223"/>
    </row>
    <row r="538" spans="5:5" ht="13.45" x14ac:dyDescent="0.25">
      <c r="E538" s="223"/>
    </row>
    <row r="539" spans="5:5" ht="13.45" x14ac:dyDescent="0.25">
      <c r="E539" s="223"/>
    </row>
    <row r="540" spans="5:5" ht="13.45" x14ac:dyDescent="0.25">
      <c r="E540" s="223"/>
    </row>
    <row r="541" spans="5:5" ht="13.45" x14ac:dyDescent="0.25">
      <c r="E541" s="223"/>
    </row>
    <row r="542" spans="5:5" ht="13.45" x14ac:dyDescent="0.25">
      <c r="E542" s="223"/>
    </row>
    <row r="543" spans="5:5" ht="13.45" x14ac:dyDescent="0.25">
      <c r="E543" s="223"/>
    </row>
    <row r="544" spans="5:5" ht="13.45" x14ac:dyDescent="0.25">
      <c r="E544" s="223"/>
    </row>
    <row r="545" spans="5:5" ht="13.45" x14ac:dyDescent="0.25">
      <c r="E545" s="223"/>
    </row>
    <row r="546" spans="5:5" ht="13.45" x14ac:dyDescent="0.25">
      <c r="E546" s="223"/>
    </row>
    <row r="547" spans="5:5" ht="13.45" x14ac:dyDescent="0.25">
      <c r="E547" s="223"/>
    </row>
    <row r="548" spans="5:5" ht="13.45" x14ac:dyDescent="0.25">
      <c r="E548" s="223"/>
    </row>
    <row r="549" spans="5:5" ht="13.45" x14ac:dyDescent="0.25">
      <c r="E549" s="223"/>
    </row>
    <row r="550" spans="5:5" ht="13.45" x14ac:dyDescent="0.25">
      <c r="E550" s="223"/>
    </row>
    <row r="551" spans="5:5" ht="13.45" x14ac:dyDescent="0.25">
      <c r="E551" s="223"/>
    </row>
    <row r="552" spans="5:5" ht="13.45" x14ac:dyDescent="0.25">
      <c r="E552" s="223"/>
    </row>
    <row r="553" spans="5:5" ht="13.45" x14ac:dyDescent="0.25">
      <c r="E553" s="223"/>
    </row>
    <row r="554" spans="5:5" ht="13.45" x14ac:dyDescent="0.25">
      <c r="E554" s="223"/>
    </row>
    <row r="555" spans="5:5" ht="13.45" x14ac:dyDescent="0.25">
      <c r="E555" s="223"/>
    </row>
    <row r="556" spans="5:5" ht="13.45" x14ac:dyDescent="0.25">
      <c r="E556" s="223"/>
    </row>
    <row r="557" spans="5:5" ht="13.45" x14ac:dyDescent="0.25">
      <c r="E557" s="223"/>
    </row>
    <row r="558" spans="5:5" ht="13.45" x14ac:dyDescent="0.25">
      <c r="E558" s="223"/>
    </row>
    <row r="559" spans="5:5" ht="13.45" x14ac:dyDescent="0.25">
      <c r="E559" s="223"/>
    </row>
    <row r="560" spans="5:5" ht="13.45" x14ac:dyDescent="0.25">
      <c r="E560" s="223"/>
    </row>
    <row r="561" spans="5:5" ht="13.45" x14ac:dyDescent="0.25">
      <c r="E561" s="223"/>
    </row>
    <row r="562" spans="5:5" ht="13.45" x14ac:dyDescent="0.25">
      <c r="E562" s="223"/>
    </row>
    <row r="563" spans="5:5" ht="13.45" x14ac:dyDescent="0.25">
      <c r="E563" s="223"/>
    </row>
    <row r="564" spans="5:5" ht="13.45" x14ac:dyDescent="0.25">
      <c r="E564" s="223"/>
    </row>
    <row r="565" spans="5:5" ht="13.45" x14ac:dyDescent="0.25">
      <c r="E565" s="223"/>
    </row>
    <row r="566" spans="5:5" ht="13.45" x14ac:dyDescent="0.25">
      <c r="E566" s="223"/>
    </row>
    <row r="567" spans="5:5" ht="13.45" x14ac:dyDescent="0.25">
      <c r="E567" s="223"/>
    </row>
    <row r="568" spans="5:5" ht="13.45" x14ac:dyDescent="0.25">
      <c r="E568" s="223"/>
    </row>
    <row r="569" spans="5:5" ht="13.45" x14ac:dyDescent="0.25">
      <c r="E569" s="223"/>
    </row>
    <row r="570" spans="5:5" ht="13.45" x14ac:dyDescent="0.25">
      <c r="E570" s="223"/>
    </row>
    <row r="571" spans="5:5" ht="13.45" x14ac:dyDescent="0.25">
      <c r="E571" s="223"/>
    </row>
    <row r="572" spans="5:5" ht="13.45" x14ac:dyDescent="0.25">
      <c r="E572" s="223"/>
    </row>
    <row r="573" spans="5:5" ht="13.45" x14ac:dyDescent="0.25">
      <c r="E573" s="223"/>
    </row>
    <row r="574" spans="5:5" ht="13.45" x14ac:dyDescent="0.25">
      <c r="E574" s="223"/>
    </row>
    <row r="575" spans="5:5" ht="13.45" x14ac:dyDescent="0.25">
      <c r="E575" s="223"/>
    </row>
    <row r="576" spans="5:5" ht="13.45" x14ac:dyDescent="0.25">
      <c r="E576" s="223"/>
    </row>
    <row r="577" spans="5:5" ht="13.45" x14ac:dyDescent="0.25">
      <c r="E577" s="223"/>
    </row>
    <row r="578" spans="5:5" ht="13.45" x14ac:dyDescent="0.25">
      <c r="E578" s="223"/>
    </row>
    <row r="579" spans="5:5" ht="13.45" x14ac:dyDescent="0.25">
      <c r="E579" s="223"/>
    </row>
    <row r="580" spans="5:5" ht="13.45" x14ac:dyDescent="0.25">
      <c r="E580" s="223"/>
    </row>
    <row r="581" spans="5:5" ht="13.45" x14ac:dyDescent="0.25">
      <c r="E581" s="223"/>
    </row>
    <row r="582" spans="5:5" ht="13.45" x14ac:dyDescent="0.25">
      <c r="E582" s="223"/>
    </row>
    <row r="583" spans="5:5" ht="13.45" x14ac:dyDescent="0.25">
      <c r="E583" s="223"/>
    </row>
    <row r="584" spans="5:5" ht="13.45" x14ac:dyDescent="0.25">
      <c r="E584" s="223"/>
    </row>
    <row r="585" spans="5:5" ht="13.45" x14ac:dyDescent="0.25">
      <c r="E585" s="223"/>
    </row>
    <row r="586" spans="5:5" ht="13.45" x14ac:dyDescent="0.25">
      <c r="E586" s="223"/>
    </row>
    <row r="587" spans="5:5" ht="13.45" x14ac:dyDescent="0.25">
      <c r="E587" s="223"/>
    </row>
    <row r="588" spans="5:5" ht="13.45" x14ac:dyDescent="0.25">
      <c r="E588" s="223"/>
    </row>
    <row r="589" spans="5:5" ht="13.45" x14ac:dyDescent="0.25">
      <c r="E589" s="223"/>
    </row>
    <row r="590" spans="5:5" ht="13.45" x14ac:dyDescent="0.25">
      <c r="E590" s="223"/>
    </row>
    <row r="591" spans="5:5" ht="13.45" x14ac:dyDescent="0.25">
      <c r="E591" s="223"/>
    </row>
    <row r="592" spans="5:5" ht="13.45" x14ac:dyDescent="0.25">
      <c r="E592" s="223"/>
    </row>
    <row r="593" spans="5:5" ht="13.45" x14ac:dyDescent="0.25">
      <c r="E593" s="223"/>
    </row>
    <row r="594" spans="5:5" ht="13.45" x14ac:dyDescent="0.25">
      <c r="E594" s="223"/>
    </row>
    <row r="595" spans="5:5" ht="13.45" x14ac:dyDescent="0.25">
      <c r="E595" s="223"/>
    </row>
    <row r="596" spans="5:5" ht="13.45" x14ac:dyDescent="0.25">
      <c r="E596" s="223"/>
    </row>
    <row r="597" spans="5:5" ht="13.45" x14ac:dyDescent="0.25">
      <c r="E597" s="223"/>
    </row>
    <row r="598" spans="5:5" ht="13.45" x14ac:dyDescent="0.25">
      <c r="E598" s="223"/>
    </row>
    <row r="599" spans="5:5" ht="13.45" x14ac:dyDescent="0.25">
      <c r="E599" s="223"/>
    </row>
    <row r="600" spans="5:5" ht="13.45" x14ac:dyDescent="0.25">
      <c r="E600" s="223"/>
    </row>
    <row r="601" spans="5:5" ht="13.45" x14ac:dyDescent="0.25">
      <c r="E601" s="223"/>
    </row>
    <row r="602" spans="5:5" ht="13.45" x14ac:dyDescent="0.25">
      <c r="E602" s="223"/>
    </row>
    <row r="603" spans="5:5" ht="13.45" x14ac:dyDescent="0.25">
      <c r="E603" s="223"/>
    </row>
    <row r="604" spans="5:5" ht="13.45" x14ac:dyDescent="0.25">
      <c r="E604" s="223"/>
    </row>
    <row r="605" spans="5:5" ht="13.45" x14ac:dyDescent="0.25">
      <c r="E605" s="223"/>
    </row>
    <row r="606" spans="5:5" ht="13.45" x14ac:dyDescent="0.25">
      <c r="E606" s="223"/>
    </row>
    <row r="607" spans="5:5" ht="13.45" x14ac:dyDescent="0.25">
      <c r="E607" s="223"/>
    </row>
    <row r="608" spans="5:5" ht="13.45" x14ac:dyDescent="0.25">
      <c r="E608" s="223"/>
    </row>
    <row r="609" spans="5:5" ht="13.45" x14ac:dyDescent="0.25">
      <c r="E609" s="223"/>
    </row>
    <row r="610" spans="5:5" ht="13.45" x14ac:dyDescent="0.25">
      <c r="E610" s="223"/>
    </row>
    <row r="611" spans="5:5" ht="13.45" x14ac:dyDescent="0.25">
      <c r="E611" s="223"/>
    </row>
    <row r="612" spans="5:5" ht="13.45" x14ac:dyDescent="0.25">
      <c r="E612" s="223"/>
    </row>
    <row r="613" spans="5:5" ht="13.45" x14ac:dyDescent="0.25">
      <c r="E613" s="223"/>
    </row>
    <row r="614" spans="5:5" ht="13.45" x14ac:dyDescent="0.25">
      <c r="E614" s="223"/>
    </row>
    <row r="615" spans="5:5" ht="13.45" x14ac:dyDescent="0.25">
      <c r="E615" s="223"/>
    </row>
    <row r="616" spans="5:5" ht="13.45" x14ac:dyDescent="0.25">
      <c r="E616" s="223"/>
    </row>
    <row r="617" spans="5:5" ht="13.45" x14ac:dyDescent="0.25">
      <c r="E617" s="223"/>
    </row>
    <row r="618" spans="5:5" ht="13.45" x14ac:dyDescent="0.25">
      <c r="E618" s="223"/>
    </row>
    <row r="619" spans="5:5" ht="13.45" x14ac:dyDescent="0.25">
      <c r="E619" s="223"/>
    </row>
    <row r="620" spans="5:5" ht="13.45" x14ac:dyDescent="0.25">
      <c r="E620" s="223"/>
    </row>
    <row r="621" spans="5:5" ht="13.45" x14ac:dyDescent="0.25">
      <c r="E621" s="223"/>
    </row>
    <row r="622" spans="5:5" ht="13.45" x14ac:dyDescent="0.25">
      <c r="E622" s="223"/>
    </row>
    <row r="623" spans="5:5" ht="13.45" x14ac:dyDescent="0.25">
      <c r="E623" s="223"/>
    </row>
    <row r="624" spans="5:5" ht="13.45" x14ac:dyDescent="0.25">
      <c r="E624" s="223"/>
    </row>
    <row r="625" spans="5:5" ht="13.45" x14ac:dyDescent="0.25">
      <c r="E625" s="223"/>
    </row>
    <row r="626" spans="5:5" ht="13.45" x14ac:dyDescent="0.25">
      <c r="E626" s="223"/>
    </row>
    <row r="627" spans="5:5" ht="13.45" x14ac:dyDescent="0.25">
      <c r="E627" s="223"/>
    </row>
    <row r="628" spans="5:5" ht="13.45" x14ac:dyDescent="0.25">
      <c r="E628" s="223"/>
    </row>
    <row r="629" spans="5:5" ht="13.45" x14ac:dyDescent="0.25">
      <c r="E629" s="223"/>
    </row>
    <row r="630" spans="5:5" ht="13.45" x14ac:dyDescent="0.25">
      <c r="E630" s="223"/>
    </row>
    <row r="631" spans="5:5" ht="13.45" x14ac:dyDescent="0.25">
      <c r="E631" s="223"/>
    </row>
    <row r="632" spans="5:5" ht="13.45" x14ac:dyDescent="0.25">
      <c r="E632" s="223"/>
    </row>
    <row r="633" spans="5:5" ht="13.45" x14ac:dyDescent="0.25">
      <c r="E633" s="223"/>
    </row>
    <row r="634" spans="5:5" ht="13.45" x14ac:dyDescent="0.25">
      <c r="E634" s="223"/>
    </row>
    <row r="635" spans="5:5" ht="13.45" x14ac:dyDescent="0.25">
      <c r="E635" s="223"/>
    </row>
    <row r="636" spans="5:5" ht="13.45" x14ac:dyDescent="0.25">
      <c r="E636" s="223"/>
    </row>
    <row r="637" spans="5:5" ht="13.45" x14ac:dyDescent="0.25">
      <c r="E637" s="223"/>
    </row>
    <row r="638" spans="5:5" ht="13.45" x14ac:dyDescent="0.25">
      <c r="E638" s="223"/>
    </row>
    <row r="639" spans="5:5" ht="13.45" x14ac:dyDescent="0.25">
      <c r="E639" s="223"/>
    </row>
    <row r="640" spans="5:5" ht="13.45" x14ac:dyDescent="0.25">
      <c r="E640" s="223"/>
    </row>
    <row r="641" spans="5:5" ht="13.45" x14ac:dyDescent="0.25">
      <c r="E641" s="223"/>
    </row>
    <row r="642" spans="5:5" ht="13.45" x14ac:dyDescent="0.25">
      <c r="E642" s="223"/>
    </row>
    <row r="643" spans="5:5" ht="13.45" x14ac:dyDescent="0.25">
      <c r="E643" s="223"/>
    </row>
    <row r="644" spans="5:5" ht="13.45" x14ac:dyDescent="0.25">
      <c r="E644" s="223"/>
    </row>
    <row r="645" spans="5:5" ht="13.45" x14ac:dyDescent="0.25">
      <c r="E645" s="223"/>
    </row>
    <row r="646" spans="5:5" ht="13.45" x14ac:dyDescent="0.25">
      <c r="E646" s="223"/>
    </row>
    <row r="647" spans="5:5" ht="13.45" x14ac:dyDescent="0.25">
      <c r="E647" s="223"/>
    </row>
    <row r="648" spans="5:5" ht="13.45" x14ac:dyDescent="0.25">
      <c r="E648" s="223"/>
    </row>
    <row r="649" spans="5:5" ht="13.45" x14ac:dyDescent="0.25">
      <c r="E649" s="223"/>
    </row>
    <row r="650" spans="5:5" ht="13.45" x14ac:dyDescent="0.25">
      <c r="E650" s="223"/>
    </row>
    <row r="651" spans="5:5" ht="13.45" x14ac:dyDescent="0.25">
      <c r="E651" s="223"/>
    </row>
    <row r="652" spans="5:5" ht="13.45" x14ac:dyDescent="0.25">
      <c r="E652" s="223"/>
    </row>
    <row r="653" spans="5:5" ht="13.45" x14ac:dyDescent="0.25">
      <c r="E653" s="223"/>
    </row>
    <row r="654" spans="5:5" ht="13.45" x14ac:dyDescent="0.25">
      <c r="E654" s="223"/>
    </row>
    <row r="655" spans="5:5" ht="13.45" x14ac:dyDescent="0.25">
      <c r="E655" s="223"/>
    </row>
    <row r="656" spans="5:5" ht="13.45" x14ac:dyDescent="0.25">
      <c r="E656" s="223"/>
    </row>
    <row r="657" spans="5:5" ht="13.45" x14ac:dyDescent="0.25">
      <c r="E657" s="223"/>
    </row>
    <row r="658" spans="5:5" ht="13.45" x14ac:dyDescent="0.25">
      <c r="E658" s="223"/>
    </row>
    <row r="659" spans="5:5" ht="13.45" x14ac:dyDescent="0.25">
      <c r="E659" s="223"/>
    </row>
    <row r="660" spans="5:5" ht="13.45" x14ac:dyDescent="0.25">
      <c r="E660" s="223"/>
    </row>
    <row r="661" spans="5:5" ht="13.45" x14ac:dyDescent="0.25">
      <c r="E661" s="223"/>
    </row>
    <row r="662" spans="5:5" ht="13.45" x14ac:dyDescent="0.25">
      <c r="E662" s="223"/>
    </row>
    <row r="663" spans="5:5" ht="13.45" x14ac:dyDescent="0.25">
      <c r="E663" s="223"/>
    </row>
    <row r="664" spans="5:5" ht="13.45" x14ac:dyDescent="0.25">
      <c r="E664" s="223"/>
    </row>
    <row r="665" spans="5:5" ht="13.45" x14ac:dyDescent="0.25">
      <c r="E665" s="223"/>
    </row>
    <row r="666" spans="5:5" ht="13.45" x14ac:dyDescent="0.25">
      <c r="E666" s="223"/>
    </row>
    <row r="667" spans="5:5" ht="13.45" x14ac:dyDescent="0.25">
      <c r="E667" s="223"/>
    </row>
    <row r="668" spans="5:5" ht="13.45" x14ac:dyDescent="0.25">
      <c r="E668" s="223"/>
    </row>
    <row r="669" spans="5:5" ht="13.45" x14ac:dyDescent="0.25">
      <c r="E669" s="223"/>
    </row>
    <row r="670" spans="5:5" ht="13.45" x14ac:dyDescent="0.25">
      <c r="E670" s="223"/>
    </row>
    <row r="671" spans="5:5" ht="13.45" x14ac:dyDescent="0.25">
      <c r="E671" s="223"/>
    </row>
    <row r="672" spans="5:5" ht="13.45" x14ac:dyDescent="0.25">
      <c r="E672" s="223"/>
    </row>
    <row r="673" spans="5:5" ht="13.45" x14ac:dyDescent="0.25">
      <c r="E673" s="223"/>
    </row>
    <row r="674" spans="5:5" ht="13.45" x14ac:dyDescent="0.25">
      <c r="E674" s="223"/>
    </row>
    <row r="675" spans="5:5" ht="13.45" x14ac:dyDescent="0.25">
      <c r="E675" s="223"/>
    </row>
    <row r="676" spans="5:5" ht="13.45" x14ac:dyDescent="0.25">
      <c r="E676" s="223"/>
    </row>
    <row r="677" spans="5:5" ht="13.45" x14ac:dyDescent="0.25">
      <c r="E677" s="223"/>
    </row>
    <row r="678" spans="5:5" ht="13.45" x14ac:dyDescent="0.25">
      <c r="E678" s="223"/>
    </row>
    <row r="679" spans="5:5" ht="13.45" x14ac:dyDescent="0.25">
      <c r="E679" s="223"/>
    </row>
    <row r="680" spans="5:5" ht="13.45" x14ac:dyDescent="0.25">
      <c r="E680" s="223"/>
    </row>
    <row r="681" spans="5:5" ht="13.45" x14ac:dyDescent="0.25">
      <c r="E681" s="223"/>
    </row>
    <row r="682" spans="5:5" ht="13.45" x14ac:dyDescent="0.25">
      <c r="E682" s="223"/>
    </row>
    <row r="683" spans="5:5" ht="13.45" x14ac:dyDescent="0.25">
      <c r="E683" s="223"/>
    </row>
    <row r="684" spans="5:5" ht="13.45" x14ac:dyDescent="0.25">
      <c r="E684" s="223"/>
    </row>
    <row r="685" spans="5:5" ht="13.45" x14ac:dyDescent="0.25">
      <c r="E685" s="223"/>
    </row>
    <row r="686" spans="5:5" ht="13.45" x14ac:dyDescent="0.25">
      <c r="E686" s="223"/>
    </row>
    <row r="687" spans="5:5" ht="13.45" x14ac:dyDescent="0.25">
      <c r="E687" s="223"/>
    </row>
    <row r="688" spans="5:5" ht="13.45" x14ac:dyDescent="0.25">
      <c r="E688" s="223"/>
    </row>
    <row r="689" spans="5:5" ht="13.45" x14ac:dyDescent="0.25">
      <c r="E689" s="223"/>
    </row>
    <row r="690" spans="5:5" ht="13.45" x14ac:dyDescent="0.25">
      <c r="E690" s="223"/>
    </row>
    <row r="691" spans="5:5" ht="13.45" x14ac:dyDescent="0.25">
      <c r="E691" s="223"/>
    </row>
    <row r="692" spans="5:5" ht="13.45" x14ac:dyDescent="0.25">
      <c r="E692" s="223"/>
    </row>
    <row r="693" spans="5:5" ht="13.45" x14ac:dyDescent="0.25">
      <c r="E693" s="223"/>
    </row>
    <row r="694" spans="5:5" ht="13.45" x14ac:dyDescent="0.25">
      <c r="E694" s="223"/>
    </row>
    <row r="695" spans="5:5" ht="13.45" x14ac:dyDescent="0.25">
      <c r="E695" s="223"/>
    </row>
    <row r="696" spans="5:5" ht="13.45" x14ac:dyDescent="0.25">
      <c r="E696" s="223"/>
    </row>
    <row r="697" spans="5:5" ht="13.45" x14ac:dyDescent="0.25">
      <c r="E697" s="223"/>
    </row>
    <row r="698" spans="5:5" ht="13.45" x14ac:dyDescent="0.25">
      <c r="E698" s="223"/>
    </row>
    <row r="699" spans="5:5" ht="13.45" x14ac:dyDescent="0.25">
      <c r="E699" s="223"/>
    </row>
    <row r="700" spans="5:5" ht="13.45" x14ac:dyDescent="0.25">
      <c r="E700" s="223"/>
    </row>
    <row r="701" spans="5:5" ht="13.45" x14ac:dyDescent="0.25">
      <c r="E701" s="223"/>
    </row>
    <row r="702" spans="5:5" ht="13.45" x14ac:dyDescent="0.25">
      <c r="E702" s="223"/>
    </row>
    <row r="703" spans="5:5" ht="13.45" x14ac:dyDescent="0.25">
      <c r="E703" s="223"/>
    </row>
    <row r="704" spans="5:5" ht="13.45" x14ac:dyDescent="0.25">
      <c r="E704" s="223"/>
    </row>
    <row r="705" spans="5:5" ht="13.45" x14ac:dyDescent="0.25">
      <c r="E705" s="223"/>
    </row>
    <row r="706" spans="5:5" ht="13.45" x14ac:dyDescent="0.25">
      <c r="E706" s="223"/>
    </row>
    <row r="707" spans="5:5" ht="13.45" x14ac:dyDescent="0.25">
      <c r="E707" s="223"/>
    </row>
    <row r="708" spans="5:5" ht="13.45" x14ac:dyDescent="0.25">
      <c r="E708" s="223"/>
    </row>
    <row r="709" spans="5:5" ht="13.45" x14ac:dyDescent="0.25">
      <c r="E709" s="223"/>
    </row>
    <row r="710" spans="5:5" ht="13.45" x14ac:dyDescent="0.25">
      <c r="E710" s="223"/>
    </row>
    <row r="711" spans="5:5" ht="13.45" x14ac:dyDescent="0.25">
      <c r="E711" s="223"/>
    </row>
    <row r="712" spans="5:5" ht="13.45" x14ac:dyDescent="0.25">
      <c r="E712" s="223"/>
    </row>
    <row r="713" spans="5:5" ht="13.45" x14ac:dyDescent="0.25">
      <c r="E713" s="223"/>
    </row>
    <row r="714" spans="5:5" ht="13.45" x14ac:dyDescent="0.25">
      <c r="E714" s="223"/>
    </row>
    <row r="715" spans="5:5" ht="13.45" x14ac:dyDescent="0.25">
      <c r="E715" s="223"/>
    </row>
    <row r="716" spans="5:5" ht="13.45" x14ac:dyDescent="0.25">
      <c r="E716" s="223"/>
    </row>
    <row r="717" spans="5:5" ht="13.45" x14ac:dyDescent="0.25">
      <c r="E717" s="223"/>
    </row>
    <row r="718" spans="5:5" ht="13.45" x14ac:dyDescent="0.25">
      <c r="E718" s="223"/>
    </row>
    <row r="719" spans="5:5" ht="13.45" x14ac:dyDescent="0.25">
      <c r="E719" s="223"/>
    </row>
    <row r="720" spans="5:5" ht="13.45" x14ac:dyDescent="0.25">
      <c r="E720" s="223"/>
    </row>
    <row r="721" spans="5:5" ht="13.45" x14ac:dyDescent="0.25">
      <c r="E721" s="223"/>
    </row>
    <row r="722" spans="5:5" ht="13.45" x14ac:dyDescent="0.25">
      <c r="E722" s="223"/>
    </row>
    <row r="723" spans="5:5" ht="13.45" x14ac:dyDescent="0.25">
      <c r="E723" s="223"/>
    </row>
    <row r="724" spans="5:5" ht="13.45" x14ac:dyDescent="0.25">
      <c r="E724" s="223"/>
    </row>
    <row r="725" spans="5:5" ht="13.45" x14ac:dyDescent="0.25">
      <c r="E725" s="223"/>
    </row>
    <row r="726" spans="5:5" ht="13.45" x14ac:dyDescent="0.25">
      <c r="E726" s="223"/>
    </row>
    <row r="727" spans="5:5" ht="13.45" x14ac:dyDescent="0.25">
      <c r="E727" s="223"/>
    </row>
    <row r="728" spans="5:5" ht="13.45" x14ac:dyDescent="0.25">
      <c r="E728" s="223"/>
    </row>
    <row r="729" spans="5:5" ht="13.45" x14ac:dyDescent="0.25">
      <c r="E729" s="223"/>
    </row>
    <row r="730" spans="5:5" ht="13.45" x14ac:dyDescent="0.25">
      <c r="E730" s="223"/>
    </row>
    <row r="731" spans="5:5" ht="13.45" x14ac:dyDescent="0.25">
      <c r="E731" s="223"/>
    </row>
    <row r="732" spans="5:5" ht="13.45" x14ac:dyDescent="0.25">
      <c r="E732" s="223"/>
    </row>
    <row r="733" spans="5:5" ht="13.45" x14ac:dyDescent="0.25">
      <c r="E733" s="223"/>
    </row>
    <row r="734" spans="5:5" ht="13.45" x14ac:dyDescent="0.25">
      <c r="E734" s="223"/>
    </row>
    <row r="735" spans="5:5" ht="13.45" x14ac:dyDescent="0.25">
      <c r="E735" s="223"/>
    </row>
    <row r="736" spans="5:5" ht="13.45" x14ac:dyDescent="0.25">
      <c r="E736" s="223"/>
    </row>
    <row r="737" spans="5:5" ht="13.45" x14ac:dyDescent="0.25">
      <c r="E737" s="223"/>
    </row>
    <row r="738" spans="5:5" ht="13.45" x14ac:dyDescent="0.25">
      <c r="E738" s="223"/>
    </row>
    <row r="739" spans="5:5" ht="13.45" x14ac:dyDescent="0.25">
      <c r="E739" s="223"/>
    </row>
    <row r="740" spans="5:5" ht="13.45" x14ac:dyDescent="0.25">
      <c r="E740" s="223"/>
    </row>
    <row r="741" spans="5:5" ht="13.45" x14ac:dyDescent="0.25">
      <c r="E741" s="223"/>
    </row>
    <row r="742" spans="5:5" ht="13.45" x14ac:dyDescent="0.25">
      <c r="E742" s="223"/>
    </row>
    <row r="743" spans="5:5" ht="13.45" x14ac:dyDescent="0.25">
      <c r="E743" s="223"/>
    </row>
    <row r="744" spans="5:5" ht="13.45" x14ac:dyDescent="0.25">
      <c r="E744" s="223"/>
    </row>
    <row r="745" spans="5:5" ht="13.45" x14ac:dyDescent="0.25">
      <c r="E745" s="223"/>
    </row>
    <row r="746" spans="5:5" ht="13.45" x14ac:dyDescent="0.25">
      <c r="E746" s="223"/>
    </row>
    <row r="747" spans="5:5" ht="13.45" x14ac:dyDescent="0.25">
      <c r="E747" s="223"/>
    </row>
    <row r="748" spans="5:5" ht="13.45" x14ac:dyDescent="0.25">
      <c r="E748" s="223"/>
    </row>
    <row r="749" spans="5:5" ht="13.45" x14ac:dyDescent="0.25">
      <c r="E749" s="223"/>
    </row>
    <row r="750" spans="5:5" ht="13.45" x14ac:dyDescent="0.25">
      <c r="E750" s="223"/>
    </row>
    <row r="751" spans="5:5" ht="13.45" x14ac:dyDescent="0.25">
      <c r="E751" s="223"/>
    </row>
    <row r="752" spans="5:5" ht="13.45" x14ac:dyDescent="0.25">
      <c r="E752" s="223"/>
    </row>
    <row r="753" spans="5:5" ht="13.45" x14ac:dyDescent="0.25">
      <c r="E753" s="223"/>
    </row>
    <row r="754" spans="5:5" ht="13.45" x14ac:dyDescent="0.25">
      <c r="E754" s="223"/>
    </row>
    <row r="755" spans="5:5" ht="13.45" x14ac:dyDescent="0.25">
      <c r="E755" s="223"/>
    </row>
    <row r="756" spans="5:5" ht="13.45" x14ac:dyDescent="0.25">
      <c r="E756" s="223"/>
    </row>
    <row r="757" spans="5:5" ht="13.45" x14ac:dyDescent="0.25">
      <c r="E757" s="223"/>
    </row>
    <row r="758" spans="5:5" ht="13.45" x14ac:dyDescent="0.25">
      <c r="E758" s="223"/>
    </row>
    <row r="759" spans="5:5" ht="13.45" x14ac:dyDescent="0.25">
      <c r="E759" s="223"/>
    </row>
    <row r="760" spans="5:5" ht="13.45" x14ac:dyDescent="0.25">
      <c r="E760" s="223"/>
    </row>
    <row r="761" spans="5:5" ht="13.45" x14ac:dyDescent="0.25">
      <c r="E761" s="223"/>
    </row>
    <row r="762" spans="5:5" ht="13.45" x14ac:dyDescent="0.25">
      <c r="E762" s="223"/>
    </row>
    <row r="763" spans="5:5" ht="13.45" x14ac:dyDescent="0.25">
      <c r="E763" s="223"/>
    </row>
    <row r="764" spans="5:5" ht="13.45" x14ac:dyDescent="0.25">
      <c r="E764" s="223"/>
    </row>
    <row r="765" spans="5:5" ht="13.45" x14ac:dyDescent="0.25">
      <c r="E765" s="223"/>
    </row>
    <row r="766" spans="5:5" ht="13.45" x14ac:dyDescent="0.25">
      <c r="E766" s="223"/>
    </row>
    <row r="767" spans="5:5" ht="13.45" x14ac:dyDescent="0.25">
      <c r="E767" s="223"/>
    </row>
    <row r="768" spans="5:5" ht="13.45" x14ac:dyDescent="0.25">
      <c r="E768" s="223"/>
    </row>
    <row r="769" spans="5:5" ht="13.45" x14ac:dyDescent="0.25">
      <c r="E769" s="223"/>
    </row>
    <row r="770" spans="5:5" ht="13.45" x14ac:dyDescent="0.25">
      <c r="E770" s="223"/>
    </row>
    <row r="771" spans="5:5" ht="13.45" x14ac:dyDescent="0.25">
      <c r="E771" s="223"/>
    </row>
    <row r="772" spans="5:5" ht="13.45" x14ac:dyDescent="0.25">
      <c r="E772" s="223"/>
    </row>
    <row r="773" spans="5:5" ht="13.45" x14ac:dyDescent="0.25">
      <c r="E773" s="223"/>
    </row>
    <row r="774" spans="5:5" ht="13.45" x14ac:dyDescent="0.25">
      <c r="E774" s="223"/>
    </row>
    <row r="775" spans="5:5" ht="13.45" x14ac:dyDescent="0.25">
      <c r="E775" s="223"/>
    </row>
    <row r="776" spans="5:5" ht="13.45" x14ac:dyDescent="0.25">
      <c r="E776" s="223"/>
    </row>
    <row r="777" spans="5:5" ht="13.45" x14ac:dyDescent="0.25">
      <c r="E777" s="223"/>
    </row>
    <row r="778" spans="5:5" ht="13.45" x14ac:dyDescent="0.25">
      <c r="E778" s="223"/>
    </row>
    <row r="779" spans="5:5" ht="13.45" x14ac:dyDescent="0.25">
      <c r="E779" s="223"/>
    </row>
    <row r="780" spans="5:5" ht="13.45" x14ac:dyDescent="0.25">
      <c r="E780" s="223"/>
    </row>
    <row r="781" spans="5:5" ht="13.45" x14ac:dyDescent="0.25">
      <c r="E781" s="223"/>
    </row>
    <row r="782" spans="5:5" ht="13.45" x14ac:dyDescent="0.25">
      <c r="E782" s="223"/>
    </row>
    <row r="783" spans="5:5" ht="13.45" x14ac:dyDescent="0.25">
      <c r="E783" s="223"/>
    </row>
    <row r="784" spans="5:5" ht="13.45" x14ac:dyDescent="0.25">
      <c r="E784" s="223"/>
    </row>
    <row r="785" spans="5:5" ht="13.45" x14ac:dyDescent="0.25">
      <c r="E785" s="223"/>
    </row>
    <row r="786" spans="5:5" ht="13.45" x14ac:dyDescent="0.25">
      <c r="E786" s="223"/>
    </row>
    <row r="787" spans="5:5" ht="13.45" x14ac:dyDescent="0.25">
      <c r="E787" s="223"/>
    </row>
    <row r="788" spans="5:5" ht="13.45" x14ac:dyDescent="0.25">
      <c r="E788" s="223"/>
    </row>
    <row r="789" spans="5:5" ht="13.45" x14ac:dyDescent="0.25">
      <c r="E789" s="223"/>
    </row>
    <row r="790" spans="5:5" ht="13.45" x14ac:dyDescent="0.25">
      <c r="E790" s="223"/>
    </row>
    <row r="791" spans="5:5" ht="13.45" x14ac:dyDescent="0.25">
      <c r="E791" s="223"/>
    </row>
    <row r="792" spans="5:5" ht="13.45" x14ac:dyDescent="0.25">
      <c r="E792" s="223"/>
    </row>
    <row r="793" spans="5:5" ht="13.45" x14ac:dyDescent="0.25">
      <c r="E793" s="223"/>
    </row>
    <row r="794" spans="5:5" ht="13.45" x14ac:dyDescent="0.25">
      <c r="E794" s="223"/>
    </row>
    <row r="795" spans="5:5" ht="13.45" x14ac:dyDescent="0.25">
      <c r="E795" s="223"/>
    </row>
    <row r="796" spans="5:5" ht="13.45" x14ac:dyDescent="0.25">
      <c r="E796" s="223"/>
    </row>
    <row r="797" spans="5:5" ht="13.45" x14ac:dyDescent="0.25">
      <c r="E797" s="223"/>
    </row>
    <row r="798" spans="5:5" ht="13.45" x14ac:dyDescent="0.25">
      <c r="E798" s="223"/>
    </row>
    <row r="799" spans="5:5" ht="13.45" x14ac:dyDescent="0.25">
      <c r="E799" s="223"/>
    </row>
    <row r="800" spans="5:5" ht="13.45" x14ac:dyDescent="0.25">
      <c r="E800" s="223"/>
    </row>
    <row r="801" spans="5:5" ht="13.45" x14ac:dyDescent="0.25">
      <c r="E801" s="223"/>
    </row>
    <row r="802" spans="5:5" ht="13.45" x14ac:dyDescent="0.25">
      <c r="E802" s="223"/>
    </row>
    <row r="803" spans="5:5" ht="13.45" x14ac:dyDescent="0.25">
      <c r="E803" s="223"/>
    </row>
    <row r="804" spans="5:5" ht="13.45" x14ac:dyDescent="0.25">
      <c r="E804" s="223"/>
    </row>
    <row r="805" spans="5:5" ht="13.45" x14ac:dyDescent="0.25">
      <c r="E805" s="223"/>
    </row>
    <row r="806" spans="5:5" ht="13.45" x14ac:dyDescent="0.25">
      <c r="E806" s="223"/>
    </row>
    <row r="807" spans="5:5" ht="13.45" x14ac:dyDescent="0.25">
      <c r="E807" s="223"/>
    </row>
    <row r="808" spans="5:5" ht="13.45" x14ac:dyDescent="0.25">
      <c r="E808" s="223"/>
    </row>
    <row r="809" spans="5:5" ht="13.45" x14ac:dyDescent="0.25">
      <c r="E809" s="223"/>
    </row>
    <row r="810" spans="5:5" ht="13.45" x14ac:dyDescent="0.25">
      <c r="E810" s="223"/>
    </row>
    <row r="811" spans="5:5" ht="13.45" x14ac:dyDescent="0.25">
      <c r="E811" s="223"/>
    </row>
    <row r="812" spans="5:5" ht="13.45" x14ac:dyDescent="0.25">
      <c r="E812" s="223"/>
    </row>
    <row r="813" spans="5:5" ht="13.45" x14ac:dyDescent="0.25">
      <c r="E813" s="223"/>
    </row>
    <row r="814" spans="5:5" ht="13.45" x14ac:dyDescent="0.25">
      <c r="E814" s="223"/>
    </row>
    <row r="815" spans="5:5" ht="13.45" x14ac:dyDescent="0.25">
      <c r="E815" s="223"/>
    </row>
    <row r="816" spans="5:5" ht="13.45" x14ac:dyDescent="0.25">
      <c r="E816" s="223"/>
    </row>
    <row r="817" spans="5:5" ht="13.45" x14ac:dyDescent="0.25">
      <c r="E817" s="223"/>
    </row>
    <row r="818" spans="5:5" ht="13.45" x14ac:dyDescent="0.25">
      <c r="E818" s="223"/>
    </row>
    <row r="819" spans="5:5" ht="13.45" x14ac:dyDescent="0.25">
      <c r="E819" s="223"/>
    </row>
    <row r="820" spans="5:5" ht="13.45" x14ac:dyDescent="0.25">
      <c r="E820" s="223"/>
    </row>
    <row r="821" spans="5:5" ht="13.45" x14ac:dyDescent="0.25">
      <c r="E821" s="223"/>
    </row>
    <row r="822" spans="5:5" ht="13.45" x14ac:dyDescent="0.25">
      <c r="E822" s="223"/>
    </row>
    <row r="823" spans="5:5" ht="13.45" x14ac:dyDescent="0.25">
      <c r="E823" s="223"/>
    </row>
    <row r="824" spans="5:5" ht="13.45" x14ac:dyDescent="0.25">
      <c r="E824" s="223"/>
    </row>
    <row r="825" spans="5:5" ht="13.45" x14ac:dyDescent="0.25">
      <c r="E825" s="223"/>
    </row>
    <row r="826" spans="5:5" ht="13.45" x14ac:dyDescent="0.25">
      <c r="E826" s="223"/>
    </row>
    <row r="827" spans="5:5" ht="13.45" x14ac:dyDescent="0.25">
      <c r="E827" s="223"/>
    </row>
    <row r="828" spans="5:5" ht="13.45" x14ac:dyDescent="0.25">
      <c r="E828" s="223"/>
    </row>
    <row r="829" spans="5:5" ht="13.45" x14ac:dyDescent="0.25">
      <c r="E829" s="223"/>
    </row>
    <row r="830" spans="5:5" ht="13.45" x14ac:dyDescent="0.25">
      <c r="E830" s="223"/>
    </row>
    <row r="831" spans="5:5" ht="13.45" x14ac:dyDescent="0.25">
      <c r="E831" s="223"/>
    </row>
    <row r="832" spans="5:5" ht="13.45" x14ac:dyDescent="0.25">
      <c r="E832" s="223"/>
    </row>
    <row r="833" spans="5:5" ht="13.45" x14ac:dyDescent="0.25">
      <c r="E833" s="223"/>
    </row>
    <row r="834" spans="5:5" ht="13.45" x14ac:dyDescent="0.25">
      <c r="E834" s="223"/>
    </row>
    <row r="835" spans="5:5" ht="13.45" x14ac:dyDescent="0.25">
      <c r="E835" s="223"/>
    </row>
    <row r="836" spans="5:5" ht="13.45" x14ac:dyDescent="0.25">
      <c r="E836" s="223"/>
    </row>
    <row r="837" spans="5:5" ht="13.45" x14ac:dyDescent="0.25">
      <c r="E837" s="223"/>
    </row>
    <row r="838" spans="5:5" ht="13.45" x14ac:dyDescent="0.25">
      <c r="E838" s="223"/>
    </row>
    <row r="839" spans="5:5" ht="13.45" x14ac:dyDescent="0.25">
      <c r="E839" s="223"/>
    </row>
    <row r="840" spans="5:5" ht="13.45" x14ac:dyDescent="0.25">
      <c r="E840" s="223"/>
    </row>
    <row r="841" spans="5:5" ht="13.45" x14ac:dyDescent="0.25">
      <c r="E841" s="223"/>
    </row>
    <row r="842" spans="5:5" ht="13.45" x14ac:dyDescent="0.25">
      <c r="E842" s="223"/>
    </row>
    <row r="843" spans="5:5" ht="13.45" x14ac:dyDescent="0.25">
      <c r="E843" s="223"/>
    </row>
    <row r="844" spans="5:5" ht="13.45" x14ac:dyDescent="0.25">
      <c r="E844" s="223"/>
    </row>
    <row r="845" spans="5:5" ht="13.45" x14ac:dyDescent="0.25">
      <c r="E845" s="223"/>
    </row>
    <row r="846" spans="5:5" ht="13.45" x14ac:dyDescent="0.25">
      <c r="E846" s="223"/>
    </row>
    <row r="847" spans="5:5" ht="13.45" x14ac:dyDescent="0.25">
      <c r="E847" s="223"/>
    </row>
    <row r="848" spans="5:5" ht="13.45" x14ac:dyDescent="0.25">
      <c r="E848" s="223"/>
    </row>
    <row r="849" spans="5:5" ht="13.45" x14ac:dyDescent="0.25">
      <c r="E849" s="223"/>
    </row>
    <row r="850" spans="5:5" ht="13.45" x14ac:dyDescent="0.25">
      <c r="E850" s="223"/>
    </row>
    <row r="851" spans="5:5" ht="13.45" x14ac:dyDescent="0.25">
      <c r="E851" s="223"/>
    </row>
    <row r="852" spans="5:5" ht="13.45" x14ac:dyDescent="0.25">
      <c r="E852" s="223"/>
    </row>
    <row r="853" spans="5:5" ht="13.45" x14ac:dyDescent="0.25">
      <c r="E853" s="223"/>
    </row>
    <row r="854" spans="5:5" ht="13.45" x14ac:dyDescent="0.25">
      <c r="E854" s="223"/>
    </row>
    <row r="855" spans="5:5" ht="13.45" x14ac:dyDescent="0.25">
      <c r="E855" s="223"/>
    </row>
    <row r="856" spans="5:5" ht="13.45" x14ac:dyDescent="0.25">
      <c r="E856" s="223"/>
    </row>
    <row r="857" spans="5:5" ht="13.45" x14ac:dyDescent="0.25">
      <c r="E857" s="223"/>
    </row>
    <row r="858" spans="5:5" ht="13.45" x14ac:dyDescent="0.25">
      <c r="E858" s="223"/>
    </row>
    <row r="859" spans="5:5" ht="13.45" x14ac:dyDescent="0.25">
      <c r="E859" s="223"/>
    </row>
    <row r="860" spans="5:5" ht="13.45" x14ac:dyDescent="0.25">
      <c r="E860" s="223"/>
    </row>
    <row r="861" spans="5:5" ht="13.45" x14ac:dyDescent="0.25">
      <c r="E861" s="223"/>
    </row>
    <row r="862" spans="5:5" ht="13.45" x14ac:dyDescent="0.25">
      <c r="E862" s="223"/>
    </row>
    <row r="863" spans="5:5" ht="13.45" x14ac:dyDescent="0.25">
      <c r="E863" s="223"/>
    </row>
    <row r="864" spans="5:5" ht="13.45" x14ac:dyDescent="0.25">
      <c r="E864" s="223"/>
    </row>
    <row r="865" spans="5:5" ht="13.45" x14ac:dyDescent="0.25">
      <c r="E865" s="223"/>
    </row>
    <row r="866" spans="5:5" ht="13.45" x14ac:dyDescent="0.25">
      <c r="E866" s="223"/>
    </row>
    <row r="867" spans="5:5" ht="13.45" x14ac:dyDescent="0.25">
      <c r="E867" s="223"/>
    </row>
    <row r="868" spans="5:5" ht="13.45" x14ac:dyDescent="0.25">
      <c r="E868" s="223"/>
    </row>
    <row r="869" spans="5:5" ht="13.45" x14ac:dyDescent="0.25">
      <c r="E869" s="223"/>
    </row>
    <row r="870" spans="5:5" ht="13.45" x14ac:dyDescent="0.25">
      <c r="E870" s="223"/>
    </row>
    <row r="871" spans="5:5" ht="13.45" x14ac:dyDescent="0.25">
      <c r="E871" s="223"/>
    </row>
    <row r="872" spans="5:5" ht="13.45" x14ac:dyDescent="0.25">
      <c r="E872" s="223"/>
    </row>
    <row r="873" spans="5:5" ht="13.45" x14ac:dyDescent="0.25">
      <c r="E873" s="223"/>
    </row>
    <row r="874" spans="5:5" ht="13.45" x14ac:dyDescent="0.25">
      <c r="E874" s="223"/>
    </row>
    <row r="875" spans="5:5" ht="13.45" x14ac:dyDescent="0.25">
      <c r="E875" s="223"/>
    </row>
    <row r="876" spans="5:5" ht="13.45" x14ac:dyDescent="0.25">
      <c r="E876" s="223"/>
    </row>
    <row r="877" spans="5:5" ht="13.45" x14ac:dyDescent="0.25">
      <c r="E877" s="223"/>
    </row>
    <row r="878" spans="5:5" ht="13.45" x14ac:dyDescent="0.25">
      <c r="E878" s="223"/>
    </row>
    <row r="879" spans="5:5" ht="13.45" x14ac:dyDescent="0.25">
      <c r="E879" s="223"/>
    </row>
    <row r="880" spans="5:5" ht="13.45" x14ac:dyDescent="0.25">
      <c r="E880" s="223"/>
    </row>
    <row r="881" spans="5:5" ht="13.45" x14ac:dyDescent="0.25">
      <c r="E881" s="223"/>
    </row>
    <row r="882" spans="5:5" ht="13.45" x14ac:dyDescent="0.25">
      <c r="E882" s="223"/>
    </row>
    <row r="883" spans="5:5" ht="13.45" x14ac:dyDescent="0.25">
      <c r="E883" s="223"/>
    </row>
    <row r="884" spans="5:5" ht="13.45" x14ac:dyDescent="0.25">
      <c r="E884" s="223"/>
    </row>
    <row r="885" spans="5:5" ht="13.45" x14ac:dyDescent="0.25">
      <c r="E885" s="223"/>
    </row>
    <row r="886" spans="5:5" ht="13.45" x14ac:dyDescent="0.25">
      <c r="E886" s="223"/>
    </row>
    <row r="887" spans="5:5" ht="13.45" x14ac:dyDescent="0.25">
      <c r="E887" s="223"/>
    </row>
    <row r="888" spans="5:5" ht="13.45" x14ac:dyDescent="0.25">
      <c r="E888" s="223"/>
    </row>
    <row r="889" spans="5:5" ht="13.45" x14ac:dyDescent="0.25">
      <c r="E889" s="223"/>
    </row>
    <row r="890" spans="5:5" ht="13.45" x14ac:dyDescent="0.25">
      <c r="E890" s="223"/>
    </row>
    <row r="891" spans="5:5" ht="13.45" x14ac:dyDescent="0.25">
      <c r="E891" s="223"/>
    </row>
    <row r="892" spans="5:5" ht="13.45" x14ac:dyDescent="0.25">
      <c r="E892" s="223"/>
    </row>
    <row r="893" spans="5:5" ht="13.45" x14ac:dyDescent="0.25">
      <c r="E893" s="223"/>
    </row>
    <row r="894" spans="5:5" ht="13.45" x14ac:dyDescent="0.25">
      <c r="E894" s="223"/>
    </row>
    <row r="895" spans="5:5" ht="13.45" x14ac:dyDescent="0.25">
      <c r="E895" s="223"/>
    </row>
    <row r="896" spans="5:5" ht="13.45" x14ac:dyDescent="0.25">
      <c r="E896" s="223"/>
    </row>
    <row r="897" spans="5:5" ht="13.45" x14ac:dyDescent="0.25">
      <c r="E897" s="223"/>
    </row>
    <row r="898" spans="5:5" ht="13.45" x14ac:dyDescent="0.25">
      <c r="E898" s="223"/>
    </row>
    <row r="899" spans="5:5" ht="13.45" x14ac:dyDescent="0.25">
      <c r="E899" s="223"/>
    </row>
    <row r="900" spans="5:5" ht="13.45" x14ac:dyDescent="0.25">
      <c r="E900" s="223"/>
    </row>
    <row r="901" spans="5:5" ht="13.45" x14ac:dyDescent="0.25">
      <c r="E901" s="223"/>
    </row>
    <row r="902" spans="5:5" ht="13.45" x14ac:dyDescent="0.25">
      <c r="E902" s="223"/>
    </row>
    <row r="903" spans="5:5" ht="13.45" x14ac:dyDescent="0.25">
      <c r="E903" s="223"/>
    </row>
    <row r="904" spans="5:5" ht="13.45" x14ac:dyDescent="0.25">
      <c r="E904" s="223"/>
    </row>
    <row r="905" spans="5:5" ht="13.45" x14ac:dyDescent="0.25">
      <c r="E905" s="223"/>
    </row>
    <row r="906" spans="5:5" ht="13.45" x14ac:dyDescent="0.25">
      <c r="E906" s="223"/>
    </row>
    <row r="907" spans="5:5" ht="13.45" x14ac:dyDescent="0.25">
      <c r="E907" s="223"/>
    </row>
    <row r="908" spans="5:5" ht="13.45" x14ac:dyDescent="0.25">
      <c r="E908" s="223"/>
    </row>
    <row r="909" spans="5:5" ht="13.45" x14ac:dyDescent="0.25">
      <c r="E909" s="223"/>
    </row>
    <row r="910" spans="5:5" ht="13.45" x14ac:dyDescent="0.25">
      <c r="E910" s="223"/>
    </row>
    <row r="911" spans="5:5" ht="13.45" x14ac:dyDescent="0.25">
      <c r="E911" s="223"/>
    </row>
    <row r="912" spans="5:5" ht="13.45" x14ac:dyDescent="0.25">
      <c r="E912" s="223"/>
    </row>
    <row r="913" spans="5:5" ht="13.45" x14ac:dyDescent="0.25">
      <c r="E913" s="223"/>
    </row>
    <row r="914" spans="5:5" ht="13.45" x14ac:dyDescent="0.25">
      <c r="E914" s="223"/>
    </row>
    <row r="915" spans="5:5" ht="13.45" x14ac:dyDescent="0.25">
      <c r="E915" s="223"/>
    </row>
    <row r="916" spans="5:5" ht="13.45" x14ac:dyDescent="0.25">
      <c r="E916" s="223"/>
    </row>
    <row r="917" spans="5:5" ht="13.45" x14ac:dyDescent="0.25">
      <c r="E917" s="223"/>
    </row>
    <row r="918" spans="5:5" ht="13.45" x14ac:dyDescent="0.25">
      <c r="E918" s="223"/>
    </row>
    <row r="919" spans="5:5" ht="13.45" x14ac:dyDescent="0.25">
      <c r="E919" s="223"/>
    </row>
    <row r="920" spans="5:5" ht="13.45" x14ac:dyDescent="0.25">
      <c r="E920" s="223"/>
    </row>
    <row r="921" spans="5:5" ht="13.45" x14ac:dyDescent="0.25">
      <c r="E921" s="223"/>
    </row>
    <row r="922" spans="5:5" ht="13.45" x14ac:dyDescent="0.25">
      <c r="E922" s="223"/>
    </row>
    <row r="923" spans="5:5" ht="13.45" x14ac:dyDescent="0.25">
      <c r="E923" s="223"/>
    </row>
    <row r="924" spans="5:5" ht="13.45" x14ac:dyDescent="0.25">
      <c r="E924" s="223"/>
    </row>
    <row r="925" spans="5:5" ht="13.45" x14ac:dyDescent="0.25">
      <c r="E925" s="223"/>
    </row>
    <row r="926" spans="5:5" ht="13.45" x14ac:dyDescent="0.25">
      <c r="E926" s="223"/>
    </row>
    <row r="927" spans="5:5" ht="13.45" x14ac:dyDescent="0.25">
      <c r="E927" s="223"/>
    </row>
    <row r="928" spans="5:5" ht="13.45" x14ac:dyDescent="0.25">
      <c r="E928" s="223"/>
    </row>
    <row r="929" spans="5:5" ht="13.45" x14ac:dyDescent="0.25">
      <c r="E929" s="223"/>
    </row>
    <row r="930" spans="5:5" ht="13.45" x14ac:dyDescent="0.25">
      <c r="E930" s="223"/>
    </row>
    <row r="931" spans="5:5" ht="13.45" x14ac:dyDescent="0.25">
      <c r="E931" s="223"/>
    </row>
    <row r="932" spans="5:5" ht="13.45" x14ac:dyDescent="0.25">
      <c r="E932" s="223"/>
    </row>
    <row r="933" spans="5:5" ht="13.45" x14ac:dyDescent="0.25">
      <c r="E933" s="223"/>
    </row>
    <row r="934" spans="5:5" ht="13.45" x14ac:dyDescent="0.25">
      <c r="E934" s="223"/>
    </row>
    <row r="935" spans="5:5" ht="13.45" x14ac:dyDescent="0.25">
      <c r="E935" s="223"/>
    </row>
    <row r="936" spans="5:5" ht="13.45" x14ac:dyDescent="0.25">
      <c r="E936" s="223"/>
    </row>
    <row r="937" spans="5:5" ht="13.45" x14ac:dyDescent="0.25">
      <c r="E937" s="223"/>
    </row>
    <row r="938" spans="5:5" ht="13.45" x14ac:dyDescent="0.25">
      <c r="E938" s="223"/>
    </row>
    <row r="939" spans="5:5" ht="13.45" x14ac:dyDescent="0.25">
      <c r="E939" s="223"/>
    </row>
    <row r="940" spans="5:5" ht="13.45" x14ac:dyDescent="0.25">
      <c r="E940" s="223"/>
    </row>
    <row r="941" spans="5:5" ht="13.45" x14ac:dyDescent="0.25">
      <c r="E941" s="223"/>
    </row>
    <row r="942" spans="5:5" ht="13.45" x14ac:dyDescent="0.25">
      <c r="E942" s="223"/>
    </row>
    <row r="943" spans="5:5" ht="13.45" x14ac:dyDescent="0.25">
      <c r="E943" s="223"/>
    </row>
    <row r="944" spans="5:5" ht="13.45" x14ac:dyDescent="0.25">
      <c r="E944" s="223"/>
    </row>
    <row r="945" spans="5:5" ht="13.45" x14ac:dyDescent="0.25">
      <c r="E945" s="223"/>
    </row>
    <row r="946" spans="5:5" ht="13.45" x14ac:dyDescent="0.25">
      <c r="E946" s="223"/>
    </row>
    <row r="947" spans="5:5" ht="13.45" x14ac:dyDescent="0.25">
      <c r="E947" s="223"/>
    </row>
    <row r="948" spans="5:5" ht="13.45" x14ac:dyDescent="0.25">
      <c r="E948" s="223"/>
    </row>
    <row r="949" spans="5:5" ht="13.45" x14ac:dyDescent="0.25">
      <c r="E949" s="223"/>
    </row>
    <row r="950" spans="5:5" ht="13.45" x14ac:dyDescent="0.25">
      <c r="E950" s="223"/>
    </row>
    <row r="951" spans="5:5" ht="13.45" x14ac:dyDescent="0.25">
      <c r="E951" s="223"/>
    </row>
    <row r="952" spans="5:5" ht="13.45" x14ac:dyDescent="0.25">
      <c r="E952" s="223"/>
    </row>
    <row r="953" spans="5:5" ht="13.45" x14ac:dyDescent="0.25">
      <c r="E953" s="223"/>
    </row>
    <row r="954" spans="5:5" ht="13.45" x14ac:dyDescent="0.25">
      <c r="E954" s="223"/>
    </row>
    <row r="955" spans="5:5" ht="13.45" x14ac:dyDescent="0.25">
      <c r="E955" s="223"/>
    </row>
    <row r="956" spans="5:5" ht="13.45" x14ac:dyDescent="0.25">
      <c r="E956" s="223"/>
    </row>
    <row r="957" spans="5:5" ht="13.45" x14ac:dyDescent="0.25">
      <c r="E957" s="223"/>
    </row>
    <row r="958" spans="5:5" ht="13.45" x14ac:dyDescent="0.25">
      <c r="E958" s="223"/>
    </row>
    <row r="959" spans="5:5" ht="13.45" x14ac:dyDescent="0.25">
      <c r="E959" s="223"/>
    </row>
    <row r="960" spans="5:5" ht="13.45" x14ac:dyDescent="0.25">
      <c r="E960" s="223"/>
    </row>
    <row r="961" spans="5:5" ht="13.45" x14ac:dyDescent="0.25">
      <c r="E961" s="223"/>
    </row>
    <row r="962" spans="5:5" ht="13.45" x14ac:dyDescent="0.25">
      <c r="E962" s="223"/>
    </row>
    <row r="963" spans="5:5" ht="13.45" x14ac:dyDescent="0.25">
      <c r="E963" s="223"/>
    </row>
    <row r="964" spans="5:5" ht="13.45" x14ac:dyDescent="0.25">
      <c r="E964" s="223"/>
    </row>
    <row r="965" spans="5:5" ht="13.45" x14ac:dyDescent="0.25">
      <c r="E965" s="223"/>
    </row>
    <row r="966" spans="5:5" ht="13.45" x14ac:dyDescent="0.25">
      <c r="E966" s="223"/>
    </row>
    <row r="967" spans="5:5" ht="13.45" x14ac:dyDescent="0.25">
      <c r="E967" s="223"/>
    </row>
    <row r="968" spans="5:5" ht="13.45" x14ac:dyDescent="0.25">
      <c r="E968" s="223"/>
    </row>
    <row r="969" spans="5:5" ht="13.45" x14ac:dyDescent="0.25">
      <c r="E969" s="223"/>
    </row>
    <row r="970" spans="5:5" ht="13.45" x14ac:dyDescent="0.25">
      <c r="E970" s="223"/>
    </row>
    <row r="971" spans="5:5" ht="13.45" x14ac:dyDescent="0.25">
      <c r="E971" s="223"/>
    </row>
    <row r="972" spans="5:5" ht="13.45" x14ac:dyDescent="0.25">
      <c r="E972" s="223"/>
    </row>
    <row r="973" spans="5:5" ht="13.45" x14ac:dyDescent="0.25">
      <c r="E973" s="223"/>
    </row>
    <row r="974" spans="5:5" ht="13.45" x14ac:dyDescent="0.25">
      <c r="E974" s="223"/>
    </row>
    <row r="975" spans="5:5" ht="13.45" x14ac:dyDescent="0.25">
      <c r="E975" s="223"/>
    </row>
    <row r="976" spans="5:5" ht="13.45" x14ac:dyDescent="0.25">
      <c r="E976" s="223"/>
    </row>
    <row r="977" spans="5:5" ht="13.45" x14ac:dyDescent="0.25">
      <c r="E977" s="223"/>
    </row>
    <row r="978" spans="5:5" ht="13.45" x14ac:dyDescent="0.25">
      <c r="E978" s="223"/>
    </row>
    <row r="979" spans="5:5" ht="13.45" x14ac:dyDescent="0.25">
      <c r="E979" s="223"/>
    </row>
    <row r="980" spans="5:5" ht="13.45" x14ac:dyDescent="0.25">
      <c r="E980" s="223"/>
    </row>
    <row r="981" spans="5:5" ht="13.45" x14ac:dyDescent="0.25">
      <c r="E981" s="223"/>
    </row>
    <row r="982" spans="5:5" ht="13.45" x14ac:dyDescent="0.25">
      <c r="E982" s="223"/>
    </row>
    <row r="983" spans="5:5" ht="13.45" x14ac:dyDescent="0.25">
      <c r="E983" s="223"/>
    </row>
    <row r="984" spans="5:5" ht="13.45" x14ac:dyDescent="0.25">
      <c r="E984" s="223"/>
    </row>
    <row r="985" spans="5:5" ht="13.45" x14ac:dyDescent="0.25">
      <c r="E985" s="223"/>
    </row>
    <row r="986" spans="5:5" ht="13.45" x14ac:dyDescent="0.25">
      <c r="E986" s="223"/>
    </row>
    <row r="987" spans="5:5" ht="13.45" x14ac:dyDescent="0.25">
      <c r="E987" s="223"/>
    </row>
    <row r="988" spans="5:5" ht="13.45" x14ac:dyDescent="0.25">
      <c r="E988" s="223"/>
    </row>
    <row r="989" spans="5:5" ht="13.45" x14ac:dyDescent="0.25">
      <c r="E989" s="223"/>
    </row>
    <row r="990" spans="5:5" ht="13.45" x14ac:dyDescent="0.25">
      <c r="E990" s="223"/>
    </row>
    <row r="991" spans="5:5" ht="13.45" x14ac:dyDescent="0.25">
      <c r="E991" s="223"/>
    </row>
    <row r="992" spans="5:5" ht="13.45" x14ac:dyDescent="0.25">
      <c r="E992" s="223"/>
    </row>
    <row r="993" spans="5:5" ht="13.45" x14ac:dyDescent="0.25">
      <c r="E993" s="223"/>
    </row>
    <row r="994" spans="5:5" ht="13.45" x14ac:dyDescent="0.25">
      <c r="E994" s="223"/>
    </row>
    <row r="995" spans="5:5" ht="13.45" x14ac:dyDescent="0.25">
      <c r="E995" s="223"/>
    </row>
    <row r="996" spans="5:5" ht="13.45" x14ac:dyDescent="0.25">
      <c r="E996" s="223"/>
    </row>
    <row r="997" spans="5:5" ht="13.45" x14ac:dyDescent="0.25">
      <c r="E997" s="223"/>
    </row>
  </sheetData>
  <autoFilter ref="C3:F20" xr:uid="{00000000-0009-0000-0000-000012000000}"/>
  <mergeCells count="1">
    <mergeCell ref="G34:H34"/>
  </mergeCells>
  <dataValidations count="2">
    <dataValidation type="list" allowBlank="1" showInputMessage="1" showErrorMessage="1" prompt="Clique e insira um valor de a lista de itens" sqref="E4:E18 E34" xr:uid="{00000000-0002-0000-1200-000000000000}">
      <formula1>"AJAJ,AJ-BIBLIOTECONOMIA,TJAA,AJAA,TJAS,AJOJ,AJEC,AJ-INFORMATICA,AJ-DESENVOLVIMENTO,TJ-INFORMÁTICA,AJ-INFRAESTRUTURA,AJ-MEDICINA,AJ-CONTADORIA,AJAE"</formula1>
      <formula2>0</formula2>
    </dataValidation>
    <dataValidation type="list" allowBlank="1" showInputMessage="1" showErrorMessage="1" prompt="Clique e insira um valor de a lista de itens" sqref="F4:F18 F34" xr:uid="{00000000-0002-0000-1200-000001000000}">
      <formula1>"EFETIVO,REQUISITADO,EX. PROVISÓRIO,REMOVIDO,SEM VÍNCULO,VAGO,PROVIDO,A SER PROVIDO"</formula1>
      <formula2>0</formula2>
    </dataValidation>
  </dataValidations>
  <pageMargins left="0.51180555555555596" right="0.51180555555555596" top="0.78749999999999998" bottom="0.78749999999999998" header="0.511811023622047" footer="0.511811023622047"/>
  <pageSetup orientation="landscape"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5:C11"/>
  <sheetViews>
    <sheetView zoomScale="110" zoomScaleNormal="110" workbookViewId="0">
      <selection activeCellId="1" sqref="B9 A1"/>
    </sheetView>
  </sheetViews>
  <sheetFormatPr defaultColWidth="12.6328125" defaultRowHeight="14.25" customHeight="1" x14ac:dyDescent="0.25"/>
  <cols>
    <col min="2" max="2" width="109.08984375" customWidth="1"/>
    <col min="3" max="3" width="5.453125" customWidth="1"/>
  </cols>
  <sheetData>
    <row r="5" spans="2:3" ht="15.05" customHeight="1" x14ac:dyDescent="0.3">
      <c r="B5" s="175" t="s">
        <v>108</v>
      </c>
      <c r="C5" s="176" t="s">
        <v>109</v>
      </c>
    </row>
    <row r="6" spans="2:3" ht="14" x14ac:dyDescent="0.25">
      <c r="B6" s="177" t="s">
        <v>110</v>
      </c>
      <c r="C6" s="178">
        <f>SUM('Mapa da Corregedoria'!B27:M27,'Mapa da Corregedoria'!B29:M29,'Mapa da Corregedoria'!P27,'Mapa da Corregedoria'!P29,'Mapa da Corregedoria'!T27:U27,'Mapa da Corregedoria'!T29:U29,'Mapa da Corregedoria'!Z27,'Mapa da Corregedoria'!Z29,'Mapa da Corregedoria'!AD27,'Mapa da Corregedoria'!AD29,'Mapa da Corregedoria'!AF27,'Mapa da Corregedoria'!AF29,'Mapa da Corregedoria'!AI27,'Mapa da Corregedoria'!AI29,'Mapa da Corregedoria'!AN27,'Mapa da Corregedoria'!AN29,'Mapa da Corregedoria'!AQ27,'Mapa da Corregedoria'!AQ29,'Mapa da Corregedoria'!AT27,'Mapa da Corregedoria'!AT29,'Mapa da Corregedoria'!AW27,'Mapa da Corregedoria'!AW29,'Mapa da Corregedoria'!AZ27,'Mapa da Corregedoria'!AZ29,'Mapa da Corregedoria'!BC27,'Mapa da Corregedoria'!BC29,'Mapa da Corregedoria'!BD27,'Mapa da Corregedoria'!BD29,'Mapa da Corregedoria'!BD29)</f>
        <v>48</v>
      </c>
    </row>
    <row r="7" spans="2:3" ht="14" x14ac:dyDescent="0.25">
      <c r="B7" s="177" t="s">
        <v>111</v>
      </c>
      <c r="C7" s="178">
        <f>SUM('Mapa da Corregedoria'!V27,'Mapa da Corregedoria'!V29)</f>
        <v>4</v>
      </c>
    </row>
    <row r="8" spans="2:3" ht="14" x14ac:dyDescent="0.25">
      <c r="B8" s="177" t="s">
        <v>112</v>
      </c>
      <c r="C8" s="178">
        <f>SUM('Mapa da Corregedoria'!N27:O27,'Mapa da Corregedoria'!N29:O29,'Mapa da Corregedoria'!Q27:S27,'Mapa da Corregedoria'!Q29:S29,'Mapa da Corregedoria'!AA27,'Mapa da Corregedoria'!AA29,'Mapa da Corregedoria'!AE27,'Mapa da Corregedoria'!AE29,'Mapa da Corregedoria'!AJ27:AK27,'Mapa da Corregedoria'!AJ29:AK29)</f>
        <v>28</v>
      </c>
    </row>
    <row r="9" spans="2:3" ht="14" x14ac:dyDescent="0.25">
      <c r="B9" s="177" t="s">
        <v>113</v>
      </c>
      <c r="C9" s="178">
        <v>0</v>
      </c>
    </row>
    <row r="10" spans="2:3" ht="14" x14ac:dyDescent="0.25">
      <c r="B10" s="177" t="s">
        <v>114</v>
      </c>
      <c r="C10" s="178">
        <f>SUM('Mapa da Corregedoria'!W27,'Mapa da Corregedoria'!X27,'Mapa da Corregedoria'!W29,'Mapa da Corregedoria'!X29,'Mapa da Corregedoria'!AB27,'Mapa da Corregedoria'!AB29,'Mapa da Corregedoria'!AG27,'Mapa da Corregedoria'!AG29,'Mapa da Corregedoria'!AL27,'Mapa da Corregedoria'!AL29,'Mapa da Corregedoria'!AO27,'Mapa da Corregedoria'!AO29,'Mapa da Corregedoria'!AR27,'Mapa da Corregedoria'!AR29,'Mapa da Corregedoria'!AU27,'Mapa da Corregedoria'!AU29,'Mapa da Corregedoria'!AX27,'Mapa da Corregedoria'!AX29,'Mapa da Corregedoria'!BA27,'Mapa da Corregedoria'!BA29,'Mapa da Corregedoria'!BE27,'Mapa da Corregedoria'!BE29)</f>
        <v>49</v>
      </c>
    </row>
    <row r="11" spans="2:3" ht="15.05" customHeight="1" x14ac:dyDescent="0.3">
      <c r="B11" s="179" t="s">
        <v>115</v>
      </c>
      <c r="C11" s="180">
        <f>SUM(C6:C10)</f>
        <v>129</v>
      </c>
    </row>
  </sheetData>
  <pageMargins left="0.51180555555555596" right="0.51180555555555596" top="0.78749999999999998" bottom="0.78749999999999998" header="0.511811023622047" footer="0.511811023622047"/>
  <pageSetup paperSize="9" orientation="portrait" horizontalDpi="300" verticalDpi="30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B3:G44"/>
  <sheetViews>
    <sheetView zoomScale="110" zoomScaleNormal="110" workbookViewId="0">
      <selection activeCell="D13" activeCellId="1" sqref="B9 D13"/>
    </sheetView>
  </sheetViews>
  <sheetFormatPr defaultColWidth="12.6328125" defaultRowHeight="14.25" customHeight="1" x14ac:dyDescent="0.25"/>
  <cols>
    <col min="4" max="4" width="37.453125" customWidth="1"/>
    <col min="6" max="6" width="14" customWidth="1"/>
  </cols>
  <sheetData>
    <row r="3" spans="2:7" ht="30.8" customHeight="1" x14ac:dyDescent="0.25">
      <c r="C3" s="212" t="s">
        <v>149</v>
      </c>
      <c r="D3" s="212" t="s">
        <v>150</v>
      </c>
      <c r="E3" s="212" t="s">
        <v>118</v>
      </c>
      <c r="F3" s="212" t="s">
        <v>970</v>
      </c>
    </row>
    <row r="4" spans="2:7" ht="14" x14ac:dyDescent="0.3">
      <c r="B4" s="479" t="s">
        <v>2072</v>
      </c>
      <c r="C4" s="249" t="s">
        <v>2073</v>
      </c>
      <c r="D4" s="468" t="s">
        <v>2074</v>
      </c>
      <c r="E4" s="505" t="s">
        <v>171</v>
      </c>
      <c r="F4" s="506" t="s">
        <v>159</v>
      </c>
    </row>
    <row r="5" spans="2:7" ht="14" x14ac:dyDescent="0.3">
      <c r="B5" s="479" t="s">
        <v>2072</v>
      </c>
      <c r="C5" s="249" t="s">
        <v>2075</v>
      </c>
      <c r="D5" s="468" t="s">
        <v>2076</v>
      </c>
      <c r="E5" s="505" t="s">
        <v>167</v>
      </c>
      <c r="F5" s="506" t="s">
        <v>159</v>
      </c>
    </row>
    <row r="6" spans="2:7" ht="14" x14ac:dyDescent="0.3">
      <c r="B6" s="479" t="s">
        <v>2072</v>
      </c>
      <c r="C6" s="249" t="s">
        <v>299</v>
      </c>
      <c r="D6" s="468" t="s">
        <v>2077</v>
      </c>
      <c r="E6" s="505" t="s">
        <v>178</v>
      </c>
      <c r="F6" s="506" t="s">
        <v>164</v>
      </c>
    </row>
    <row r="7" spans="2:7" ht="14" x14ac:dyDescent="0.3">
      <c r="B7" s="479" t="s">
        <v>2072</v>
      </c>
      <c r="C7" s="249" t="s">
        <v>2078</v>
      </c>
      <c r="D7" s="468" t="s">
        <v>2079</v>
      </c>
      <c r="E7" s="505" t="s">
        <v>171</v>
      </c>
      <c r="F7" s="506" t="s">
        <v>159</v>
      </c>
    </row>
    <row r="8" spans="2:7" ht="14" x14ac:dyDescent="0.3">
      <c r="B8" s="479" t="s">
        <v>2072</v>
      </c>
      <c r="C8" s="249" t="s">
        <v>2080</v>
      </c>
      <c r="D8" s="468" t="s">
        <v>2081</v>
      </c>
      <c r="E8" s="505" t="s">
        <v>171</v>
      </c>
      <c r="F8" s="506" t="s">
        <v>164</v>
      </c>
    </row>
    <row r="9" spans="2:7" ht="14" x14ac:dyDescent="0.3">
      <c r="B9" s="479" t="s">
        <v>2072</v>
      </c>
      <c r="C9" s="249" t="s">
        <v>2082</v>
      </c>
      <c r="D9" s="468" t="s">
        <v>2083</v>
      </c>
      <c r="E9" s="505" t="s">
        <v>171</v>
      </c>
      <c r="F9" s="506" t="s">
        <v>168</v>
      </c>
    </row>
    <row r="10" spans="2:7" ht="14" x14ac:dyDescent="0.3">
      <c r="B10" s="479" t="s">
        <v>2072</v>
      </c>
      <c r="C10" s="249" t="s">
        <v>2084</v>
      </c>
      <c r="D10" s="468" t="s">
        <v>2085</v>
      </c>
      <c r="E10" s="505" t="s">
        <v>178</v>
      </c>
      <c r="F10" s="506" t="s">
        <v>159</v>
      </c>
    </row>
    <row r="11" spans="2:7" ht="14" x14ac:dyDescent="0.3">
      <c r="B11" s="479" t="s">
        <v>2072</v>
      </c>
      <c r="C11" s="249" t="s">
        <v>2086</v>
      </c>
      <c r="D11" s="468" t="s">
        <v>2087</v>
      </c>
      <c r="E11" s="505" t="s">
        <v>178</v>
      </c>
      <c r="F11" s="506" t="s">
        <v>159</v>
      </c>
    </row>
    <row r="12" spans="2:7" ht="14" x14ac:dyDescent="0.3">
      <c r="B12" s="479" t="s">
        <v>2072</v>
      </c>
      <c r="C12" s="249" t="s">
        <v>2088</v>
      </c>
      <c r="D12" s="521" t="s">
        <v>2089</v>
      </c>
      <c r="E12" s="505" t="s">
        <v>171</v>
      </c>
      <c r="F12" s="506" t="s">
        <v>159</v>
      </c>
    </row>
    <row r="13" spans="2:7" ht="14" x14ac:dyDescent="0.3">
      <c r="B13" s="479" t="s">
        <v>2072</v>
      </c>
      <c r="C13" s="249" t="s">
        <v>2090</v>
      </c>
      <c r="D13" s="521" t="s">
        <v>2091</v>
      </c>
      <c r="E13" s="505" t="s">
        <v>171</v>
      </c>
      <c r="F13" s="506" t="s">
        <v>168</v>
      </c>
    </row>
    <row r="14" spans="2:7" ht="14" x14ac:dyDescent="0.3">
      <c r="B14" s="479" t="s">
        <v>2072</v>
      </c>
      <c r="C14" s="249" t="s">
        <v>2092</v>
      </c>
      <c r="D14" s="468" t="s">
        <v>2093</v>
      </c>
      <c r="E14" s="505" t="s">
        <v>171</v>
      </c>
      <c r="F14" s="506" t="s">
        <v>159</v>
      </c>
      <c r="G14" s="519"/>
    </row>
    <row r="15" spans="2:7" ht="14" x14ac:dyDescent="0.3">
      <c r="B15" s="242" t="s">
        <v>2072</v>
      </c>
      <c r="C15" s="285" t="s">
        <v>2094</v>
      </c>
      <c r="D15" s="499" t="s">
        <v>2095</v>
      </c>
      <c r="E15" s="505" t="s">
        <v>213</v>
      </c>
      <c r="F15" s="506" t="s">
        <v>159</v>
      </c>
    </row>
    <row r="16" spans="2:7" ht="14" x14ac:dyDescent="0.3">
      <c r="B16" s="242" t="s">
        <v>2072</v>
      </c>
      <c r="C16" s="248" t="s">
        <v>2096</v>
      </c>
      <c r="D16" s="522" t="s">
        <v>2097</v>
      </c>
      <c r="E16" s="505" t="s">
        <v>178</v>
      </c>
      <c r="F16" s="506" t="s">
        <v>159</v>
      </c>
    </row>
    <row r="17" spans="2:6" ht="14" x14ac:dyDescent="0.3">
      <c r="B17" s="242" t="s">
        <v>2072</v>
      </c>
      <c r="C17" s="248" t="s">
        <v>2098</v>
      </c>
      <c r="D17" s="522" t="s">
        <v>2099</v>
      </c>
      <c r="E17" s="505" t="s">
        <v>171</v>
      </c>
      <c r="F17" s="506" t="s">
        <v>159</v>
      </c>
    </row>
    <row r="18" spans="2:6" ht="14" x14ac:dyDescent="0.3">
      <c r="B18" s="242" t="s">
        <v>2072</v>
      </c>
      <c r="C18" s="248" t="s">
        <v>2100</v>
      </c>
      <c r="D18" s="522" t="s">
        <v>2101</v>
      </c>
      <c r="E18" s="505" t="s">
        <v>171</v>
      </c>
      <c r="F18" s="506" t="s">
        <v>159</v>
      </c>
    </row>
    <row r="19" spans="2:6" ht="14" x14ac:dyDescent="0.3">
      <c r="B19" s="479" t="s">
        <v>1862</v>
      </c>
      <c r="C19" s="249" t="s">
        <v>2102</v>
      </c>
      <c r="D19" s="468" t="s">
        <v>2103</v>
      </c>
      <c r="E19" s="505" t="s">
        <v>178</v>
      </c>
      <c r="F19" s="506" t="s">
        <v>159</v>
      </c>
    </row>
    <row r="20" spans="2:6" ht="14" x14ac:dyDescent="0.3">
      <c r="C20" s="249"/>
      <c r="D20" s="468"/>
      <c r="E20" s="468"/>
      <c r="F20" s="468"/>
    </row>
    <row r="21" spans="2:6" ht="14" x14ac:dyDescent="0.3">
      <c r="C21" s="249"/>
      <c r="D21" s="468"/>
      <c r="E21" s="468"/>
      <c r="F21" s="468"/>
    </row>
    <row r="24" spans="2:6" ht="14" x14ac:dyDescent="0.3">
      <c r="C24" s="16" t="s">
        <v>1000</v>
      </c>
    </row>
    <row r="25" spans="2:6" ht="14" x14ac:dyDescent="0.3">
      <c r="C25" s="16" t="s">
        <v>2104</v>
      </c>
    </row>
    <row r="27" spans="2:6" ht="14" x14ac:dyDescent="0.3">
      <c r="C27" s="16" t="s">
        <v>883</v>
      </c>
    </row>
    <row r="28" spans="2:6" ht="14" x14ac:dyDescent="0.3">
      <c r="C28" s="16" t="s">
        <v>2105</v>
      </c>
    </row>
    <row r="29" spans="2:6" ht="14" x14ac:dyDescent="0.3">
      <c r="C29" s="16" t="s">
        <v>2106</v>
      </c>
    </row>
    <row r="31" spans="2:6" ht="13.45" x14ac:dyDescent="0.25">
      <c r="C31" t="s">
        <v>2107</v>
      </c>
    </row>
    <row r="33" spans="3:3" ht="134.35" x14ac:dyDescent="0.25">
      <c r="C33" s="479" t="s">
        <v>2108</v>
      </c>
    </row>
    <row r="35" spans="3:3" ht="13.45" x14ac:dyDescent="0.25">
      <c r="C35" s="509">
        <v>44958</v>
      </c>
    </row>
    <row r="36" spans="3:3" ht="80.599999999999994" x14ac:dyDescent="0.25">
      <c r="C36" s="479" t="s">
        <v>2109</v>
      </c>
    </row>
    <row r="37" spans="3:3" ht="94.05" x14ac:dyDescent="0.25">
      <c r="C37" s="479" t="s">
        <v>2110</v>
      </c>
    </row>
    <row r="38" spans="3:3" ht="94.05" x14ac:dyDescent="0.25">
      <c r="C38" s="479" t="s">
        <v>2111</v>
      </c>
    </row>
    <row r="39" spans="3:3" ht="13.45" x14ac:dyDescent="0.25">
      <c r="C39" t="s">
        <v>2112</v>
      </c>
    </row>
    <row r="40" spans="3:3" ht="13.45" x14ac:dyDescent="0.25">
      <c r="C40" t="s">
        <v>2113</v>
      </c>
    </row>
    <row r="41" spans="3:3" ht="13.45" x14ac:dyDescent="0.25">
      <c r="C41" t="s">
        <v>2114</v>
      </c>
    </row>
    <row r="42" spans="3:3" ht="13.45" x14ac:dyDescent="0.25">
      <c r="C42" t="s">
        <v>2115</v>
      </c>
    </row>
    <row r="43" spans="3:3" ht="80.599999999999994" x14ac:dyDescent="0.25">
      <c r="C43" s="479" t="s">
        <v>2116</v>
      </c>
    </row>
    <row r="44" spans="3:3" ht="67.2" x14ac:dyDescent="0.25">
      <c r="C44" s="479" t="s">
        <v>2117</v>
      </c>
    </row>
  </sheetData>
  <autoFilter ref="C3:F21" xr:uid="{00000000-0009-0000-0000-000013000000}"/>
  <dataValidations count="2">
    <dataValidation type="list" allowBlank="1" showInputMessage="1" showErrorMessage="1" prompt="Clique e insira um valor de a lista de itens" sqref="E4:E19" xr:uid="{00000000-0002-0000-1300-000000000000}">
      <formula1>"AJAJ,AJ-BIBLIOTECONOMIA,TJAA,AJAA,TJAS,AJOJ,AJEC,AJ-INFORMATICA,AJ-DESENVOLVIMENTO,TJ-INFORMÁTICA,AJ-INFRAESTRUTURA,AJ-MEDICINA,AJ-CONTADORIA,AJAE"</formula1>
      <formula2>0</formula2>
    </dataValidation>
    <dataValidation type="list" allowBlank="1" showInputMessage="1" showErrorMessage="1" prompt="Clique e insira um valor de a lista de itens" sqref="F4:F19" xr:uid="{00000000-0002-0000-1300-000001000000}">
      <formula1>"EFETIVO,REQUISITADO,EX. PROVISÓRIO,REMOVIDO,SEM VÍNCULO,VAGO,PROVIDO,A SER PROVIDO"</formula1>
      <formula2>0</formula2>
    </dataValidation>
  </dataValidations>
  <pageMargins left="0.51180555555555596" right="0.51180555555555596" top="0.78749999999999998" bottom="0.78749999999999998" header="0.511811023622047" footer="0.511811023622047"/>
  <pageSetup orientation="landscape" horizontalDpi="300" verticalDpi="30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B3:H39"/>
  <sheetViews>
    <sheetView zoomScale="110" zoomScaleNormal="110" workbookViewId="0">
      <selection activeCell="D4" activeCellId="1" sqref="B9 D4"/>
    </sheetView>
  </sheetViews>
  <sheetFormatPr defaultColWidth="12.6328125" defaultRowHeight="14.25" customHeight="1" x14ac:dyDescent="0.25"/>
  <cols>
    <col min="4" max="4" width="37.453125" customWidth="1"/>
    <col min="6" max="6" width="14" customWidth="1"/>
  </cols>
  <sheetData>
    <row r="3" spans="2:6" ht="30.8" customHeight="1" x14ac:dyDescent="0.25">
      <c r="C3" s="212" t="s">
        <v>149</v>
      </c>
      <c r="D3" s="212" t="s">
        <v>150</v>
      </c>
      <c r="E3" s="212" t="s">
        <v>118</v>
      </c>
      <c r="F3" s="212" t="s">
        <v>970</v>
      </c>
    </row>
    <row r="4" spans="2:6" ht="14" x14ac:dyDescent="0.3">
      <c r="B4" s="479"/>
      <c r="C4" s="249" t="s">
        <v>2118</v>
      </c>
      <c r="D4" s="468" t="s">
        <v>2119</v>
      </c>
      <c r="E4" s="505" t="s">
        <v>171</v>
      </c>
      <c r="F4" s="506" t="s">
        <v>159</v>
      </c>
    </row>
    <row r="5" spans="2:6" ht="14" x14ac:dyDescent="0.3">
      <c r="B5" s="479"/>
      <c r="C5" s="249" t="s">
        <v>2120</v>
      </c>
      <c r="D5" s="468" t="s">
        <v>2121</v>
      </c>
      <c r="E5" s="505" t="s">
        <v>213</v>
      </c>
      <c r="F5" s="506" t="s">
        <v>159</v>
      </c>
    </row>
    <row r="6" spans="2:6" ht="14" x14ac:dyDescent="0.3">
      <c r="B6" s="479"/>
      <c r="C6" s="249" t="s">
        <v>2122</v>
      </c>
      <c r="D6" s="468" t="s">
        <v>2123</v>
      </c>
      <c r="E6" s="505" t="s">
        <v>167</v>
      </c>
      <c r="F6" s="506" t="s">
        <v>159</v>
      </c>
    </row>
    <row r="7" spans="2:6" ht="14" x14ac:dyDescent="0.3">
      <c r="B7" s="479"/>
      <c r="C7" s="249" t="s">
        <v>2124</v>
      </c>
      <c r="D7" s="468" t="s">
        <v>2125</v>
      </c>
      <c r="E7" s="505" t="s">
        <v>171</v>
      </c>
      <c r="F7" s="506" t="s">
        <v>159</v>
      </c>
    </row>
    <row r="8" spans="2:6" ht="14" x14ac:dyDescent="0.3">
      <c r="B8" s="479"/>
      <c r="C8" s="249" t="s">
        <v>2126</v>
      </c>
      <c r="D8" s="468" t="s">
        <v>2127</v>
      </c>
      <c r="E8" s="505" t="s">
        <v>171</v>
      </c>
      <c r="F8" s="506" t="s">
        <v>159</v>
      </c>
    </row>
    <row r="9" spans="2:6" ht="14" x14ac:dyDescent="0.3">
      <c r="B9" s="479"/>
      <c r="C9" s="249" t="s">
        <v>2128</v>
      </c>
      <c r="D9" s="468" t="s">
        <v>2129</v>
      </c>
      <c r="E9" s="505" t="s">
        <v>171</v>
      </c>
      <c r="F9" s="506" t="s">
        <v>159</v>
      </c>
    </row>
    <row r="10" spans="2:6" ht="14" x14ac:dyDescent="0.3">
      <c r="B10" s="479" t="s">
        <v>1862</v>
      </c>
      <c r="C10" s="249" t="s">
        <v>2130</v>
      </c>
      <c r="D10" s="468" t="s">
        <v>2131</v>
      </c>
      <c r="E10" s="505"/>
      <c r="F10" s="506" t="s">
        <v>2132</v>
      </c>
    </row>
    <row r="11" spans="2:6" ht="14" x14ac:dyDescent="0.3">
      <c r="B11" s="479"/>
      <c r="C11" s="249" t="s">
        <v>2133</v>
      </c>
      <c r="D11" s="468" t="s">
        <v>2134</v>
      </c>
      <c r="E11" s="505" t="s">
        <v>178</v>
      </c>
      <c r="F11" s="506" t="s">
        <v>159</v>
      </c>
    </row>
    <row r="12" spans="2:6" ht="14" x14ac:dyDescent="0.3">
      <c r="B12" s="479"/>
      <c r="C12" s="249" t="s">
        <v>2135</v>
      </c>
      <c r="D12" s="468" t="s">
        <v>2136</v>
      </c>
      <c r="E12" s="505" t="s">
        <v>171</v>
      </c>
      <c r="F12" s="506" t="s">
        <v>168</v>
      </c>
    </row>
    <row r="13" spans="2:6" ht="14" x14ac:dyDescent="0.3">
      <c r="B13" s="479"/>
      <c r="C13" s="249" t="s">
        <v>2137</v>
      </c>
      <c r="D13" s="468" t="s">
        <v>2138</v>
      </c>
      <c r="E13" s="505" t="s">
        <v>167</v>
      </c>
      <c r="F13" s="506" t="s">
        <v>159</v>
      </c>
    </row>
    <row r="14" spans="2:6" ht="14" x14ac:dyDescent="0.3">
      <c r="B14" s="479"/>
      <c r="C14" s="249" t="s">
        <v>2139</v>
      </c>
      <c r="D14" s="468" t="s">
        <v>2140</v>
      </c>
      <c r="E14" s="505" t="s">
        <v>167</v>
      </c>
      <c r="F14" s="506" t="s">
        <v>159</v>
      </c>
    </row>
    <row r="15" spans="2:6" ht="14" x14ac:dyDescent="0.3">
      <c r="B15" s="479"/>
      <c r="C15" s="249" t="s">
        <v>2141</v>
      </c>
      <c r="D15" s="468" t="s">
        <v>2142</v>
      </c>
      <c r="E15" s="505" t="s">
        <v>171</v>
      </c>
      <c r="F15" s="506" t="s">
        <v>159</v>
      </c>
    </row>
    <row r="16" spans="2:6" ht="14" x14ac:dyDescent="0.3">
      <c r="B16" s="479"/>
      <c r="C16" s="249" t="s">
        <v>2143</v>
      </c>
      <c r="D16" s="468" t="s">
        <v>2144</v>
      </c>
      <c r="E16" s="505" t="s">
        <v>178</v>
      </c>
      <c r="F16" s="506" t="s">
        <v>159</v>
      </c>
    </row>
    <row r="17" spans="2:6" ht="14" x14ac:dyDescent="0.3">
      <c r="B17" s="479"/>
      <c r="C17" s="249" t="s">
        <v>2145</v>
      </c>
      <c r="D17" s="468" t="s">
        <v>2146</v>
      </c>
      <c r="E17" s="505" t="s">
        <v>171</v>
      </c>
      <c r="F17" s="506" t="s">
        <v>159</v>
      </c>
    </row>
    <row r="18" spans="2:6" ht="14" x14ac:dyDescent="0.3">
      <c r="C18" s="249" t="s">
        <v>2147</v>
      </c>
      <c r="D18" s="468" t="s">
        <v>2148</v>
      </c>
      <c r="E18" s="505"/>
      <c r="F18" s="506" t="s">
        <v>164</v>
      </c>
    </row>
    <row r="22" spans="2:6" ht="14" x14ac:dyDescent="0.3">
      <c r="D22" s="16" t="s">
        <v>2149</v>
      </c>
    </row>
    <row r="23" spans="2:6" ht="14" x14ac:dyDescent="0.3">
      <c r="D23" s="16" t="s">
        <v>2150</v>
      </c>
    </row>
    <row r="25" spans="2:6" ht="14" x14ac:dyDescent="0.3">
      <c r="D25" s="515">
        <v>44440</v>
      </c>
    </row>
    <row r="26" spans="2:6" ht="14" x14ac:dyDescent="0.3">
      <c r="D26" s="16" t="s">
        <v>2151</v>
      </c>
    </row>
    <row r="28" spans="2:6" ht="14" x14ac:dyDescent="0.3">
      <c r="D28" s="515">
        <v>44682</v>
      </c>
    </row>
    <row r="29" spans="2:6" ht="26.9" x14ac:dyDescent="0.25">
      <c r="D29" s="479" t="s">
        <v>2152</v>
      </c>
    </row>
    <row r="31" spans="2:6" ht="13.45" x14ac:dyDescent="0.25">
      <c r="D31" s="523">
        <v>45261</v>
      </c>
    </row>
    <row r="32" spans="2:6" ht="13.45" x14ac:dyDescent="0.25">
      <c r="D32" t="s">
        <v>2153</v>
      </c>
    </row>
    <row r="34" spans="4:8" ht="13.45" x14ac:dyDescent="0.25">
      <c r="D34" t="s">
        <v>2154</v>
      </c>
    </row>
    <row r="35" spans="4:8" ht="14" x14ac:dyDescent="0.3">
      <c r="D35" s="249" t="s">
        <v>2155</v>
      </c>
      <c r="E35" s="468" t="s">
        <v>2156</v>
      </c>
      <c r="F35" s="505" t="s">
        <v>171</v>
      </c>
      <c r="G35" s="506" t="s">
        <v>159</v>
      </c>
      <c r="H35" t="s">
        <v>1948</v>
      </c>
    </row>
    <row r="38" spans="4:8" ht="14" x14ac:dyDescent="0.3">
      <c r="D38" s="515">
        <v>45413</v>
      </c>
      <c r="E38" s="626" t="s">
        <v>2157</v>
      </c>
      <c r="F38" s="626"/>
    </row>
    <row r="39" spans="4:8" ht="26.9" x14ac:dyDescent="0.25">
      <c r="D39" s="479" t="s">
        <v>2152</v>
      </c>
      <c r="E39" s="626"/>
      <c r="F39" s="626"/>
    </row>
  </sheetData>
  <autoFilter ref="C3:F18" xr:uid="{00000000-0009-0000-0000-000014000000}"/>
  <mergeCells count="1">
    <mergeCell ref="E38:F39"/>
  </mergeCells>
  <dataValidations count="2">
    <dataValidation type="list" allowBlank="1" showInputMessage="1" showErrorMessage="1" prompt="Clique e insira um valor de a lista de itens" sqref="E4:E18 F35" xr:uid="{00000000-0002-0000-1400-000000000000}">
      <formula1>"AJAJ,AJ-BIBLIOTECONOMIA,TJAA,AJAA,TJAS,AJOJ,AJEC,AJ-INFORMATICA,AJ-DESENVOLVIMENTO,TJ-INFORMÁTICA,AJ-INFRAESTRUTURA,AJ-MEDICINA,AJ-CONTADORIA,AJAE"</formula1>
      <formula2>0</formula2>
    </dataValidation>
    <dataValidation type="list" allowBlank="1" showInputMessage="1" showErrorMessage="1" prompt="Clique e insira um valor de a lista de itens" sqref="F4:F18 G35" xr:uid="{00000000-0002-0000-1400-000001000000}">
      <formula1>"EFETIVO,REQUISITADO,EX. PROVISÓRIO,REMOVIDO,SEM VÍNCULO,VAGO,PROVIDO,A SER PROVIDO"</formula1>
      <formula2>0</formula2>
    </dataValidation>
  </dataValidations>
  <pageMargins left="0.51180555555555596" right="0.51180555555555596" top="0.78749999999999998" bottom="0.78749999999999998" header="0.511811023622047" footer="0.511811023622047"/>
  <pageSetup orientation="landscape" horizontalDpi="300" verticalDpi="30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B3:F28"/>
  <sheetViews>
    <sheetView topLeftCell="B1" zoomScale="110" zoomScaleNormal="110" workbookViewId="0">
      <selection activeCell="D19" activeCellId="1" sqref="B9 D19"/>
    </sheetView>
  </sheetViews>
  <sheetFormatPr defaultColWidth="12.6328125" defaultRowHeight="14.25" customHeight="1" x14ac:dyDescent="0.25"/>
  <cols>
    <col min="4" max="4" width="32.453125" customWidth="1"/>
  </cols>
  <sheetData>
    <row r="3" spans="2:6" ht="30.8" customHeight="1" x14ac:dyDescent="0.25">
      <c r="C3" s="212" t="s">
        <v>149</v>
      </c>
      <c r="D3" s="212" t="s">
        <v>150</v>
      </c>
      <c r="E3" s="212" t="s">
        <v>118</v>
      </c>
      <c r="F3" s="212" t="s">
        <v>970</v>
      </c>
    </row>
    <row r="4" spans="2:6" ht="14" x14ac:dyDescent="0.3">
      <c r="C4" s="249" t="s">
        <v>2158</v>
      </c>
      <c r="D4" s="468" t="s">
        <v>2159</v>
      </c>
      <c r="E4" s="505" t="s">
        <v>171</v>
      </c>
      <c r="F4" s="506" t="s">
        <v>159</v>
      </c>
    </row>
    <row r="5" spans="2:6" ht="14" x14ac:dyDescent="0.3">
      <c r="C5" s="249" t="s">
        <v>2160</v>
      </c>
      <c r="D5" s="468" t="s">
        <v>2161</v>
      </c>
      <c r="E5" s="505" t="s">
        <v>171</v>
      </c>
      <c r="F5" s="506" t="s">
        <v>159</v>
      </c>
    </row>
    <row r="6" spans="2:6" ht="14" x14ac:dyDescent="0.3">
      <c r="C6" s="249" t="s">
        <v>2162</v>
      </c>
      <c r="D6" s="468" t="s">
        <v>2163</v>
      </c>
      <c r="E6" s="505" t="s">
        <v>178</v>
      </c>
      <c r="F6" s="506" t="s">
        <v>159</v>
      </c>
    </row>
    <row r="7" spans="2:6" ht="14" x14ac:dyDescent="0.3">
      <c r="C7" s="249" t="s">
        <v>2164</v>
      </c>
      <c r="D7" s="468" t="s">
        <v>2165</v>
      </c>
      <c r="E7" s="505" t="s">
        <v>167</v>
      </c>
      <c r="F7" s="506" t="s">
        <v>159</v>
      </c>
    </row>
    <row r="8" spans="2:6" ht="14" x14ac:dyDescent="0.3">
      <c r="C8" s="249" t="s">
        <v>2166</v>
      </c>
      <c r="D8" s="468" t="s">
        <v>2167</v>
      </c>
      <c r="E8" s="505" t="s">
        <v>167</v>
      </c>
      <c r="F8" s="506" t="s">
        <v>159</v>
      </c>
    </row>
    <row r="9" spans="2:6" ht="14" x14ac:dyDescent="0.3">
      <c r="C9" s="249" t="s">
        <v>2168</v>
      </c>
      <c r="D9" s="468" t="s">
        <v>2169</v>
      </c>
      <c r="E9" s="505" t="s">
        <v>171</v>
      </c>
      <c r="F9" s="506" t="s">
        <v>159</v>
      </c>
    </row>
    <row r="10" spans="2:6" ht="14" x14ac:dyDescent="0.3">
      <c r="C10" s="249" t="s">
        <v>2170</v>
      </c>
      <c r="D10" s="468" t="s">
        <v>2171</v>
      </c>
      <c r="E10" s="505" t="s">
        <v>171</v>
      </c>
      <c r="F10" s="506" t="s">
        <v>159</v>
      </c>
    </row>
    <row r="11" spans="2:6" ht="14" x14ac:dyDescent="0.3">
      <c r="C11" s="249" t="s">
        <v>2172</v>
      </c>
      <c r="D11" s="468" t="s">
        <v>2173</v>
      </c>
      <c r="E11" s="505" t="s">
        <v>171</v>
      </c>
      <c r="F11" s="506" t="s">
        <v>159</v>
      </c>
    </row>
    <row r="12" spans="2:6" ht="14" x14ac:dyDescent="0.3">
      <c r="B12" s="479" t="s">
        <v>1862</v>
      </c>
      <c r="C12" s="249" t="s">
        <v>2174</v>
      </c>
      <c r="D12" s="468" t="s">
        <v>2175</v>
      </c>
      <c r="E12" s="505" t="s">
        <v>178</v>
      </c>
      <c r="F12" s="506" t="s">
        <v>159</v>
      </c>
    </row>
    <row r="13" spans="2:6" ht="14" x14ac:dyDescent="0.3">
      <c r="C13" s="249" t="s">
        <v>2176</v>
      </c>
      <c r="D13" s="468" t="s">
        <v>2177</v>
      </c>
      <c r="E13" s="505" t="s">
        <v>171</v>
      </c>
      <c r="F13" s="506" t="s">
        <v>159</v>
      </c>
    </row>
    <row r="14" spans="2:6" ht="14" x14ac:dyDescent="0.3">
      <c r="C14" s="249" t="s">
        <v>2178</v>
      </c>
      <c r="D14" s="468" t="s">
        <v>2179</v>
      </c>
      <c r="E14" s="505" t="s">
        <v>178</v>
      </c>
      <c r="F14" s="506" t="s">
        <v>168</v>
      </c>
    </row>
    <row r="15" spans="2:6" ht="14" x14ac:dyDescent="0.3">
      <c r="C15" s="249" t="s">
        <v>2180</v>
      </c>
      <c r="D15" s="468" t="s">
        <v>2181</v>
      </c>
      <c r="E15" s="505" t="s">
        <v>171</v>
      </c>
      <c r="F15" s="506" t="s">
        <v>159</v>
      </c>
    </row>
    <row r="16" spans="2:6" ht="14" x14ac:dyDescent="0.3">
      <c r="C16" s="249" t="s">
        <v>2182</v>
      </c>
      <c r="D16" s="468" t="s">
        <v>2183</v>
      </c>
      <c r="E16" s="505" t="s">
        <v>171</v>
      </c>
      <c r="F16" s="506" t="s">
        <v>159</v>
      </c>
    </row>
    <row r="17" spans="3:6" ht="14" x14ac:dyDescent="0.3">
      <c r="C17" s="249" t="s">
        <v>2184</v>
      </c>
      <c r="D17" s="468" t="s">
        <v>2185</v>
      </c>
      <c r="E17" s="505" t="s">
        <v>171</v>
      </c>
      <c r="F17" s="506" t="s">
        <v>159</v>
      </c>
    </row>
    <row r="18" spans="3:6" ht="14" x14ac:dyDescent="0.3">
      <c r="C18" s="249" t="s">
        <v>2186</v>
      </c>
      <c r="D18" s="468" t="s">
        <v>2187</v>
      </c>
      <c r="E18" s="505" t="s">
        <v>171</v>
      </c>
      <c r="F18" s="506" t="s">
        <v>159</v>
      </c>
    </row>
    <row r="19" spans="3:6" ht="14" x14ac:dyDescent="0.3">
      <c r="C19" s="249" t="s">
        <v>2188</v>
      </c>
      <c r="D19" s="468" t="s">
        <v>2189</v>
      </c>
      <c r="E19" s="505" t="s">
        <v>178</v>
      </c>
      <c r="F19" s="506" t="s">
        <v>164</v>
      </c>
    </row>
    <row r="20" spans="3:6" ht="14" x14ac:dyDescent="0.3">
      <c r="C20" s="249"/>
      <c r="D20" s="468"/>
      <c r="E20" s="468"/>
      <c r="F20" s="468"/>
    </row>
    <row r="21" spans="3:6" ht="14" x14ac:dyDescent="0.3">
      <c r="C21" s="249"/>
      <c r="D21" s="468"/>
      <c r="E21" s="468"/>
      <c r="F21" s="468"/>
    </row>
    <row r="22" spans="3:6" ht="14" x14ac:dyDescent="0.3">
      <c r="C22" s="249"/>
      <c r="D22" s="468"/>
      <c r="E22" s="468"/>
      <c r="F22" s="468"/>
    </row>
    <row r="27" spans="3:6" ht="13.45" x14ac:dyDescent="0.25">
      <c r="C27" s="508">
        <v>44682</v>
      </c>
    </row>
    <row r="28" spans="3:6" ht="94.05" x14ac:dyDescent="0.25">
      <c r="C28" s="479" t="s">
        <v>2190</v>
      </c>
    </row>
  </sheetData>
  <autoFilter ref="C3:F22" xr:uid="{00000000-0009-0000-0000-000015000000}"/>
  <dataValidations count="2">
    <dataValidation type="list" allowBlank="1" showInputMessage="1" showErrorMessage="1" prompt="Clique e insira um valor de a lista de itens" sqref="E4:E19" xr:uid="{00000000-0002-0000-1500-000000000000}">
      <formula1>"AJAJ,AJ-BIBLIOTECONOMIA,TJAA,AJAA,TJAS,AJOJ,AJEC,AJ-INFORMATICA,AJ-DESENVOLVIMENTO,TJ-INFORMÁTICA,AJ-INFRAESTRUTURA,AJ-MEDICINA,AJ-CONTADORIA,AJAE"</formula1>
      <formula2>0</formula2>
    </dataValidation>
    <dataValidation type="list" allowBlank="1" showInputMessage="1" showErrorMessage="1" prompt="Clique e insira um valor de a lista de itens" sqref="F4:F19" xr:uid="{00000000-0002-0000-1500-000001000000}">
      <formula1>"EFETIVO,REQUISITADO,EX. PROVISÓRIO,REMOVIDO,SEM VÍNCULO,VAGO,PROVIDO,A SER PROVIDO"</formula1>
      <formula2>0</formula2>
    </dataValidation>
  </dataValidations>
  <pageMargins left="0.51180555555555596" right="0.51180555555555596" top="0.78749999999999998" bottom="0.78749999999999998" header="0.511811023622047" footer="0.511811023622047"/>
  <pageSetup orientation="landscape" horizontalDpi="300" verticalDpi="30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B3:J49"/>
  <sheetViews>
    <sheetView zoomScale="110" zoomScaleNormal="110" workbookViewId="0">
      <selection activeCell="D16" activeCellId="1" sqref="B9 D16"/>
    </sheetView>
  </sheetViews>
  <sheetFormatPr defaultColWidth="12.6328125" defaultRowHeight="14.25" customHeight="1" x14ac:dyDescent="0.25"/>
  <cols>
    <col min="4" max="4" width="37.7265625" customWidth="1"/>
    <col min="6" max="6" width="13.08984375" customWidth="1"/>
  </cols>
  <sheetData>
    <row r="3" spans="2:7" ht="15.05" customHeight="1" x14ac:dyDescent="0.25">
      <c r="C3" s="212" t="s">
        <v>149</v>
      </c>
      <c r="D3" s="212" t="s">
        <v>150</v>
      </c>
      <c r="E3" s="212" t="s">
        <v>118</v>
      </c>
      <c r="F3" s="212" t="s">
        <v>970</v>
      </c>
    </row>
    <row r="4" spans="2:7" ht="14" x14ac:dyDescent="0.3">
      <c r="C4" s="249" t="s">
        <v>2191</v>
      </c>
      <c r="D4" s="468" t="s">
        <v>2192</v>
      </c>
      <c r="E4" s="505" t="s">
        <v>171</v>
      </c>
      <c r="F4" s="506" t="s">
        <v>159</v>
      </c>
      <c r="G4" s="479"/>
    </row>
    <row r="5" spans="2:7" ht="14" x14ac:dyDescent="0.3">
      <c r="C5" s="249" t="s">
        <v>2193</v>
      </c>
      <c r="D5" s="468" t="s">
        <v>2194</v>
      </c>
      <c r="E5" s="505" t="s">
        <v>171</v>
      </c>
      <c r="F5" s="506" t="s">
        <v>159</v>
      </c>
      <c r="G5" s="479"/>
    </row>
    <row r="6" spans="2:7" ht="14" x14ac:dyDescent="0.3">
      <c r="C6" s="249" t="s">
        <v>2195</v>
      </c>
      <c r="D6" s="468" t="s">
        <v>2196</v>
      </c>
      <c r="E6" s="505" t="s">
        <v>171</v>
      </c>
      <c r="F6" s="506" t="s">
        <v>159</v>
      </c>
      <c r="G6" s="479"/>
    </row>
    <row r="7" spans="2:7" ht="14" x14ac:dyDescent="0.3">
      <c r="C7" s="249" t="s">
        <v>2197</v>
      </c>
      <c r="D7" s="468" t="s">
        <v>2198</v>
      </c>
      <c r="E7" s="505"/>
      <c r="F7" s="506" t="s">
        <v>164</v>
      </c>
      <c r="G7" s="479"/>
    </row>
    <row r="8" spans="2:7" ht="14" x14ac:dyDescent="0.3">
      <c r="C8" s="249" t="s">
        <v>2199</v>
      </c>
      <c r="D8" s="468" t="s">
        <v>2200</v>
      </c>
      <c r="E8" s="505" t="s">
        <v>171</v>
      </c>
      <c r="F8" s="506" t="s">
        <v>159</v>
      </c>
      <c r="G8" s="479"/>
    </row>
    <row r="9" spans="2:7" ht="14" x14ac:dyDescent="0.3">
      <c r="C9" s="249" t="s">
        <v>2201</v>
      </c>
      <c r="D9" s="468" t="s">
        <v>2202</v>
      </c>
      <c r="E9" s="505" t="s">
        <v>171</v>
      </c>
      <c r="F9" s="506" t="s">
        <v>159</v>
      </c>
      <c r="G9" s="479"/>
    </row>
    <row r="10" spans="2:7" ht="14" x14ac:dyDescent="0.3">
      <c r="C10" s="249" t="s">
        <v>2203</v>
      </c>
      <c r="D10" s="468" t="s">
        <v>2204</v>
      </c>
      <c r="E10" s="505" t="s">
        <v>171</v>
      </c>
      <c r="F10" s="506" t="s">
        <v>159</v>
      </c>
      <c r="G10" s="479"/>
    </row>
    <row r="11" spans="2:7" ht="14" x14ac:dyDescent="0.3">
      <c r="C11" s="249" t="s">
        <v>2205</v>
      </c>
      <c r="D11" s="468" t="s">
        <v>2206</v>
      </c>
      <c r="E11" s="505" t="s">
        <v>167</v>
      </c>
      <c r="F11" s="506" t="s">
        <v>159</v>
      </c>
      <c r="G11" s="479"/>
    </row>
    <row r="12" spans="2:7" ht="14" x14ac:dyDescent="0.3">
      <c r="C12" s="249" t="s">
        <v>2207</v>
      </c>
      <c r="D12" s="468" t="s">
        <v>2208</v>
      </c>
      <c r="E12" s="505" t="s">
        <v>178</v>
      </c>
      <c r="F12" s="506" t="s">
        <v>159</v>
      </c>
      <c r="G12" s="479"/>
    </row>
    <row r="13" spans="2:7" ht="14" x14ac:dyDescent="0.3">
      <c r="C13" s="249" t="s">
        <v>2209</v>
      </c>
      <c r="D13" s="468" t="s">
        <v>2210</v>
      </c>
      <c r="E13" s="505" t="s">
        <v>171</v>
      </c>
      <c r="F13" s="506" t="s">
        <v>159</v>
      </c>
      <c r="G13" s="479"/>
    </row>
    <row r="14" spans="2:7" ht="14" x14ac:dyDescent="0.3">
      <c r="B14" s="242"/>
      <c r="C14" s="285" t="s">
        <v>2211</v>
      </c>
      <c r="D14" s="499" t="s">
        <v>1081</v>
      </c>
      <c r="E14" s="505" t="s">
        <v>171</v>
      </c>
      <c r="F14" s="506" t="s">
        <v>159</v>
      </c>
    </row>
    <row r="15" spans="2:7" ht="14" x14ac:dyDescent="0.3">
      <c r="B15" s="242"/>
      <c r="C15" s="248" t="s">
        <v>2212</v>
      </c>
      <c r="D15" s="522" t="s">
        <v>2213</v>
      </c>
      <c r="E15" s="505" t="s">
        <v>171</v>
      </c>
      <c r="F15" s="506" t="s">
        <v>159</v>
      </c>
    </row>
    <row r="16" spans="2:7" ht="14" x14ac:dyDescent="0.3">
      <c r="B16" s="242"/>
      <c r="C16" s="248" t="s">
        <v>2214</v>
      </c>
      <c r="D16" s="522" t="s">
        <v>2215</v>
      </c>
      <c r="E16" s="505" t="s">
        <v>171</v>
      </c>
      <c r="F16" s="506" t="s">
        <v>159</v>
      </c>
    </row>
    <row r="17" spans="2:7" ht="14" x14ac:dyDescent="0.3">
      <c r="B17" s="242"/>
      <c r="C17" s="248" t="s">
        <v>2216</v>
      </c>
      <c r="D17" s="522" t="s">
        <v>2217</v>
      </c>
      <c r="E17" s="505" t="s">
        <v>178</v>
      </c>
      <c r="F17" s="506" t="s">
        <v>159</v>
      </c>
    </row>
    <row r="18" spans="2:7" ht="14" x14ac:dyDescent="0.3">
      <c r="C18" s="249" t="s">
        <v>2218</v>
      </c>
      <c r="D18" s="468" t="s">
        <v>2219</v>
      </c>
      <c r="E18" s="505" t="s">
        <v>171</v>
      </c>
      <c r="F18" s="506" t="s">
        <v>246</v>
      </c>
      <c r="G18" s="479"/>
    </row>
    <row r="19" spans="2:7" ht="14" x14ac:dyDescent="0.3">
      <c r="B19" s="479" t="s">
        <v>1862</v>
      </c>
      <c r="C19" s="249" t="s">
        <v>2220</v>
      </c>
      <c r="D19" s="468" t="s">
        <v>2221</v>
      </c>
      <c r="E19" s="505" t="s">
        <v>178</v>
      </c>
      <c r="F19" s="506" t="s">
        <v>159</v>
      </c>
      <c r="G19" s="479"/>
    </row>
    <row r="23" spans="2:7" ht="14" x14ac:dyDescent="0.3">
      <c r="C23" s="16" t="s">
        <v>1000</v>
      </c>
    </row>
    <row r="24" spans="2:7" ht="14" x14ac:dyDescent="0.3">
      <c r="C24" s="16" t="s">
        <v>2222</v>
      </c>
    </row>
    <row r="25" spans="2:7" ht="14" x14ac:dyDescent="0.3">
      <c r="C25" s="16" t="s">
        <v>2223</v>
      </c>
    </row>
    <row r="27" spans="2:7" ht="14" x14ac:dyDescent="0.3">
      <c r="C27" s="16" t="s">
        <v>2224</v>
      </c>
    </row>
    <row r="28" spans="2:7" ht="14" x14ac:dyDescent="0.3">
      <c r="C28" s="16" t="s">
        <v>2225</v>
      </c>
    </row>
    <row r="30" spans="2:7" ht="14" x14ac:dyDescent="0.3">
      <c r="C30" s="16" t="s">
        <v>870</v>
      </c>
    </row>
    <row r="31" spans="2:7" ht="307.35000000000002" x14ac:dyDescent="0.3">
      <c r="C31" s="478" t="s">
        <v>2226</v>
      </c>
    </row>
    <row r="33" spans="3:3" ht="14" x14ac:dyDescent="0.3">
      <c r="C33" s="16" t="s">
        <v>906</v>
      </c>
    </row>
    <row r="34" spans="3:3" ht="161.19999999999999" x14ac:dyDescent="0.25">
      <c r="C34" s="479" t="s">
        <v>2227</v>
      </c>
    </row>
    <row r="36" spans="3:3" ht="13.45" x14ac:dyDescent="0.25">
      <c r="C36" s="509">
        <v>44958</v>
      </c>
    </row>
    <row r="37" spans="3:3" ht="80.599999999999994" x14ac:dyDescent="0.25">
      <c r="C37" s="479" t="s">
        <v>2228</v>
      </c>
    </row>
    <row r="38" spans="3:3" ht="80.599999999999994" x14ac:dyDescent="0.25">
      <c r="C38" s="479" t="s">
        <v>2229</v>
      </c>
    </row>
    <row r="39" spans="3:3" ht="80.599999999999994" x14ac:dyDescent="0.25">
      <c r="C39" s="479" t="s">
        <v>2230</v>
      </c>
    </row>
    <row r="40" spans="3:3" ht="80.599999999999994" x14ac:dyDescent="0.25">
      <c r="C40" s="479" t="s">
        <v>2231</v>
      </c>
    </row>
    <row r="41" spans="3:3" ht="14" x14ac:dyDescent="0.3">
      <c r="C41" s="524" t="s">
        <v>2232</v>
      </c>
    </row>
    <row r="42" spans="3:3" ht="14" x14ac:dyDescent="0.3">
      <c r="C42" s="524" t="s">
        <v>2233</v>
      </c>
    </row>
    <row r="43" spans="3:3" ht="14" x14ac:dyDescent="0.3">
      <c r="C43" s="524" t="s">
        <v>2234</v>
      </c>
    </row>
    <row r="44" spans="3:3" ht="14" x14ac:dyDescent="0.3">
      <c r="C44" s="524" t="s">
        <v>2235</v>
      </c>
    </row>
    <row r="45" spans="3:3" ht="14" x14ac:dyDescent="0.3">
      <c r="C45" s="524" t="s">
        <v>2236</v>
      </c>
    </row>
    <row r="46" spans="3:3" ht="80.599999999999994" x14ac:dyDescent="0.25">
      <c r="C46" s="479" t="s">
        <v>922</v>
      </c>
    </row>
    <row r="48" spans="3:3" ht="13.45" x14ac:dyDescent="0.25">
      <c r="C48" s="510">
        <v>45627</v>
      </c>
    </row>
    <row r="49" spans="3:10" ht="14" x14ac:dyDescent="0.3">
      <c r="C49" s="248" t="s">
        <v>2237</v>
      </c>
      <c r="D49" s="522" t="s">
        <v>1083</v>
      </c>
      <c r="E49" s="505" t="s">
        <v>178</v>
      </c>
      <c r="F49" s="506" t="s">
        <v>159</v>
      </c>
      <c r="G49" s="623" t="s">
        <v>2238</v>
      </c>
      <c r="H49" s="623"/>
      <c r="I49" s="623"/>
      <c r="J49" s="623"/>
    </row>
  </sheetData>
  <autoFilter ref="C3:F19" xr:uid="{00000000-0009-0000-0000-000016000000}"/>
  <mergeCells count="1">
    <mergeCell ref="G49:J49"/>
  </mergeCells>
  <dataValidations count="2">
    <dataValidation type="list" allowBlank="1" showInputMessage="1" showErrorMessage="1" prompt="Clique e insira um valor de a lista de itens" sqref="E4:E19 E49" xr:uid="{00000000-0002-0000-1600-000000000000}">
      <formula1>"AJAJ,AJ-BIBLIOTECONOMIA,TJAA,AJAA,TJAS,AJOJ,AJEC,AJ-INFORMATICA,AJ-DESENVOLVIMENTO,TJ-INFORMÁTICA,AJ-INFRAESTRUTURA,AJ-MEDICINA,AJ-CONTADORIA,AJAE"</formula1>
      <formula2>0</formula2>
    </dataValidation>
    <dataValidation type="list" allowBlank="1" showInputMessage="1" showErrorMessage="1" prompt="Clique e insira um valor de a lista de itens" sqref="F4:F19 F49" xr:uid="{00000000-0002-0000-1600-000001000000}">
      <formula1>"EFETIVO,REQUISITADO,EX. PROVISÓRIO,REMOVIDO,SEM VÍNCULO,VAGO,PROVIDO,A SER PROVIDO"</formula1>
      <formula2>0</formula2>
    </dataValidation>
  </dataValidations>
  <pageMargins left="0.51180555555555596" right="0.51180555555555596" top="0.78749999999999998" bottom="0.78749999999999998" header="0.511811023622047" footer="0.511811023622047"/>
  <pageSetup orientation="landscape" horizontalDpi="300" verticalDpi="30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B1:G996"/>
  <sheetViews>
    <sheetView topLeftCell="B1" zoomScale="110" zoomScaleNormal="110" workbookViewId="0">
      <selection activeCell="E18" activeCellId="1" sqref="B9 E18"/>
    </sheetView>
  </sheetViews>
  <sheetFormatPr defaultColWidth="12.6328125" defaultRowHeight="14.25" customHeight="1" x14ac:dyDescent="0.25"/>
  <cols>
    <col min="4" max="4" width="35" customWidth="1"/>
  </cols>
  <sheetData>
    <row r="1" spans="2:7" ht="13.45" x14ac:dyDescent="0.25">
      <c r="E1" s="223"/>
    </row>
    <row r="2" spans="2:7" ht="13.45" x14ac:dyDescent="0.25">
      <c r="E2" s="223"/>
    </row>
    <row r="3" spans="2:7" ht="14" x14ac:dyDescent="0.25">
      <c r="C3" s="212" t="s">
        <v>149</v>
      </c>
      <c r="D3" s="212" t="s">
        <v>150</v>
      </c>
      <c r="E3" s="212" t="s">
        <v>118</v>
      </c>
      <c r="F3" s="212" t="s">
        <v>1651</v>
      </c>
      <c r="G3" s="212" t="s">
        <v>970</v>
      </c>
    </row>
    <row r="4" spans="2:7" ht="14" x14ac:dyDescent="0.3">
      <c r="B4" s="479"/>
      <c r="C4" s="249" t="s">
        <v>2239</v>
      </c>
      <c r="D4" s="468" t="s">
        <v>2240</v>
      </c>
      <c r="E4" s="469" t="s">
        <v>178</v>
      </c>
      <c r="F4" s="469" t="s">
        <v>26</v>
      </c>
      <c r="G4" s="469" t="s">
        <v>159</v>
      </c>
    </row>
    <row r="5" spans="2:7" ht="14" x14ac:dyDescent="0.3">
      <c r="B5" s="479"/>
      <c r="C5" s="249" t="s">
        <v>2241</v>
      </c>
      <c r="D5" s="468" t="s">
        <v>2242</v>
      </c>
      <c r="E5" s="469" t="s">
        <v>167</v>
      </c>
      <c r="F5" s="469" t="s">
        <v>26</v>
      </c>
      <c r="G5" s="469" t="s">
        <v>159</v>
      </c>
    </row>
    <row r="6" spans="2:7" ht="14" x14ac:dyDescent="0.3">
      <c r="B6" s="479"/>
      <c r="C6" s="249" t="s">
        <v>2243</v>
      </c>
      <c r="D6" s="468" t="s">
        <v>2244</v>
      </c>
      <c r="E6" s="469" t="s">
        <v>171</v>
      </c>
      <c r="F6" s="469" t="s">
        <v>26</v>
      </c>
      <c r="G6" s="469" t="s">
        <v>159</v>
      </c>
    </row>
    <row r="7" spans="2:7" ht="14" x14ac:dyDescent="0.3">
      <c r="B7" s="479"/>
      <c r="C7" s="249" t="s">
        <v>2245</v>
      </c>
      <c r="D7" s="468" t="s">
        <v>2246</v>
      </c>
      <c r="E7" s="469" t="s">
        <v>171</v>
      </c>
      <c r="F7" s="469" t="s">
        <v>26</v>
      </c>
      <c r="G7" s="469" t="s">
        <v>159</v>
      </c>
    </row>
    <row r="8" spans="2:7" ht="14" x14ac:dyDescent="0.3">
      <c r="B8" s="479"/>
      <c r="C8" s="249" t="s">
        <v>2247</v>
      </c>
      <c r="D8" s="468" t="s">
        <v>2248</v>
      </c>
      <c r="E8" s="469" t="s">
        <v>171</v>
      </c>
      <c r="F8" s="469" t="s">
        <v>26</v>
      </c>
      <c r="G8" s="469" t="s">
        <v>159</v>
      </c>
    </row>
    <row r="9" spans="2:7" ht="14" x14ac:dyDescent="0.3">
      <c r="B9" s="479"/>
      <c r="C9" s="249" t="s">
        <v>2249</v>
      </c>
      <c r="D9" s="468" t="s">
        <v>2250</v>
      </c>
      <c r="E9" s="469" t="s">
        <v>178</v>
      </c>
      <c r="F9" s="469" t="s">
        <v>26</v>
      </c>
      <c r="G9" s="469" t="s">
        <v>159</v>
      </c>
    </row>
    <row r="10" spans="2:7" ht="14" x14ac:dyDescent="0.3">
      <c r="B10" s="479"/>
      <c r="C10" s="249" t="s">
        <v>2251</v>
      </c>
      <c r="D10" s="468" t="s">
        <v>2252</v>
      </c>
      <c r="E10" s="469" t="s">
        <v>178</v>
      </c>
      <c r="F10" s="469" t="s">
        <v>26</v>
      </c>
      <c r="G10" s="469" t="s">
        <v>159</v>
      </c>
    </row>
    <row r="11" spans="2:7" ht="14" x14ac:dyDescent="0.3">
      <c r="B11" s="479"/>
      <c r="C11" s="249" t="s">
        <v>2253</v>
      </c>
      <c r="D11" s="468" t="s">
        <v>2254</v>
      </c>
      <c r="E11" s="469" t="s">
        <v>171</v>
      </c>
      <c r="F11" s="469" t="s">
        <v>26</v>
      </c>
      <c r="G11" s="469" t="s">
        <v>168</v>
      </c>
    </row>
    <row r="12" spans="2:7" ht="14" x14ac:dyDescent="0.3">
      <c r="B12" s="479"/>
      <c r="C12" s="249" t="s">
        <v>2255</v>
      </c>
      <c r="D12" s="468" t="s">
        <v>2256</v>
      </c>
      <c r="E12" s="469" t="s">
        <v>171</v>
      </c>
      <c r="F12" s="469" t="s">
        <v>26</v>
      </c>
      <c r="G12" s="469" t="s">
        <v>159</v>
      </c>
    </row>
    <row r="13" spans="2:7" ht="14" x14ac:dyDescent="0.3">
      <c r="B13" s="479" t="s">
        <v>1862</v>
      </c>
      <c r="C13" s="249" t="s">
        <v>2257</v>
      </c>
      <c r="D13" s="468" t="s">
        <v>2258</v>
      </c>
      <c r="E13" s="469"/>
      <c r="F13" s="469" t="s">
        <v>26</v>
      </c>
      <c r="G13" s="469" t="s">
        <v>2132</v>
      </c>
    </row>
    <row r="14" spans="2:7" ht="14" x14ac:dyDescent="0.3">
      <c r="B14" s="479"/>
      <c r="C14" s="249" t="s">
        <v>2259</v>
      </c>
      <c r="D14" s="468" t="s">
        <v>2260</v>
      </c>
      <c r="E14" s="469" t="s">
        <v>171</v>
      </c>
      <c r="F14" s="469" t="s">
        <v>26</v>
      </c>
      <c r="G14" s="469" t="s">
        <v>159</v>
      </c>
    </row>
    <row r="15" spans="2:7" ht="14" x14ac:dyDescent="0.3">
      <c r="B15" s="479"/>
      <c r="C15" s="249" t="s">
        <v>2261</v>
      </c>
      <c r="D15" s="468" t="s">
        <v>2262</v>
      </c>
      <c r="E15" s="469" t="s">
        <v>171</v>
      </c>
      <c r="F15" s="469" t="s">
        <v>26</v>
      </c>
      <c r="G15" s="469" t="s">
        <v>159</v>
      </c>
    </row>
    <row r="16" spans="2:7" ht="14" x14ac:dyDescent="0.3">
      <c r="B16" s="479"/>
      <c r="C16" s="249" t="s">
        <v>2263</v>
      </c>
      <c r="D16" s="468" t="s">
        <v>2264</v>
      </c>
      <c r="E16" s="469" t="s">
        <v>171</v>
      </c>
      <c r="F16" s="469" t="s">
        <v>26</v>
      </c>
      <c r="G16" s="469" t="s">
        <v>159</v>
      </c>
    </row>
    <row r="17" spans="2:7" ht="14" x14ac:dyDescent="0.3">
      <c r="B17" s="479"/>
      <c r="C17" s="249" t="s">
        <v>2265</v>
      </c>
      <c r="D17" s="468" t="s">
        <v>2266</v>
      </c>
      <c r="E17" s="469" t="s">
        <v>167</v>
      </c>
      <c r="F17" s="469" t="s">
        <v>26</v>
      </c>
      <c r="G17" s="469" t="s">
        <v>159</v>
      </c>
    </row>
    <row r="18" spans="2:7" ht="14" x14ac:dyDescent="0.3">
      <c r="C18" s="249"/>
      <c r="D18" s="468"/>
      <c r="E18" s="469"/>
      <c r="F18" s="468"/>
      <c r="G18" s="468"/>
    </row>
    <row r="19" spans="2:7" ht="14" x14ac:dyDescent="0.3">
      <c r="C19" s="249"/>
      <c r="D19" s="468"/>
      <c r="E19" s="469"/>
      <c r="F19" s="468"/>
      <c r="G19" s="468"/>
    </row>
    <row r="20" spans="2:7" ht="13.45" x14ac:dyDescent="0.25">
      <c r="E20" s="223"/>
    </row>
    <row r="21" spans="2:7" ht="13.45" x14ac:dyDescent="0.25">
      <c r="E21" s="223"/>
    </row>
    <row r="22" spans="2:7" ht="13.45" x14ac:dyDescent="0.25">
      <c r="E22" s="223"/>
    </row>
    <row r="23" spans="2:7" ht="15.05" customHeight="1" x14ac:dyDescent="0.25">
      <c r="C23" s="508">
        <v>44348</v>
      </c>
      <c r="E23" s="223"/>
    </row>
    <row r="24" spans="2:7" ht="15.05" customHeight="1" x14ac:dyDescent="0.25">
      <c r="C24" s="479" t="s">
        <v>2267</v>
      </c>
      <c r="E24" s="223"/>
    </row>
    <row r="25" spans="2:7" ht="13.45" x14ac:dyDescent="0.25">
      <c r="E25" s="223"/>
    </row>
    <row r="26" spans="2:7" ht="15.05" customHeight="1" x14ac:dyDescent="0.25">
      <c r="C26" s="508">
        <v>44348</v>
      </c>
      <c r="E26" s="223"/>
    </row>
    <row r="27" spans="2:7" ht="14" x14ac:dyDescent="0.3">
      <c r="C27" s="16" t="s">
        <v>2268</v>
      </c>
      <c r="E27" s="223"/>
    </row>
    <row r="28" spans="2:7" ht="13.45" x14ac:dyDescent="0.25">
      <c r="E28" s="223"/>
    </row>
    <row r="29" spans="2:7" ht="15.05" customHeight="1" x14ac:dyDescent="0.25">
      <c r="C29" s="508">
        <v>44409</v>
      </c>
      <c r="E29" s="223"/>
    </row>
    <row r="30" spans="2:7" ht="15.05" customHeight="1" x14ac:dyDescent="0.25">
      <c r="C30" s="525" t="s">
        <v>2269</v>
      </c>
      <c r="E30" s="223"/>
    </row>
    <row r="31" spans="2:7" ht="13.45" x14ac:dyDescent="0.25">
      <c r="E31" s="223"/>
    </row>
    <row r="32" spans="2:7" ht="13.45" x14ac:dyDescent="0.25">
      <c r="C32" s="508">
        <v>44713</v>
      </c>
      <c r="E32" s="223"/>
    </row>
    <row r="33" spans="3:5" ht="134.35" x14ac:dyDescent="0.25">
      <c r="C33" s="479" t="s">
        <v>2270</v>
      </c>
      <c r="E33" s="223"/>
    </row>
    <row r="34" spans="3:5" ht="40.299999999999997" x14ac:dyDescent="0.25">
      <c r="C34" s="479" t="s">
        <v>2271</v>
      </c>
      <c r="E34" s="223"/>
    </row>
    <row r="35" spans="3:5" ht="13.45" x14ac:dyDescent="0.25">
      <c r="C35" s="526"/>
      <c r="E35" s="223"/>
    </row>
    <row r="36" spans="3:5" ht="13.45" x14ac:dyDescent="0.25">
      <c r="E36" s="223"/>
    </row>
    <row r="37" spans="3:5" ht="13.45" x14ac:dyDescent="0.25">
      <c r="E37" s="223"/>
    </row>
    <row r="38" spans="3:5" ht="13.45" x14ac:dyDescent="0.25">
      <c r="E38" s="223"/>
    </row>
    <row r="39" spans="3:5" ht="13.45" x14ac:dyDescent="0.25">
      <c r="E39" s="223"/>
    </row>
    <row r="40" spans="3:5" ht="13.45" x14ac:dyDescent="0.25">
      <c r="E40" s="223"/>
    </row>
    <row r="41" spans="3:5" ht="13.45" x14ac:dyDescent="0.25">
      <c r="E41" s="223"/>
    </row>
    <row r="42" spans="3:5" ht="13.45" x14ac:dyDescent="0.25">
      <c r="E42" s="223"/>
    </row>
    <row r="43" spans="3:5" ht="13.45" x14ac:dyDescent="0.25">
      <c r="E43" s="223"/>
    </row>
    <row r="44" spans="3:5" ht="13.45" x14ac:dyDescent="0.25">
      <c r="E44" s="223"/>
    </row>
    <row r="45" spans="3:5" ht="13.45" x14ac:dyDescent="0.25">
      <c r="E45" s="223"/>
    </row>
    <row r="46" spans="3:5" ht="13.45" x14ac:dyDescent="0.25">
      <c r="E46" s="223"/>
    </row>
    <row r="47" spans="3:5" ht="13.45" x14ac:dyDescent="0.25">
      <c r="E47" s="223"/>
    </row>
    <row r="48" spans="3:5" ht="13.45" x14ac:dyDescent="0.25">
      <c r="E48" s="223"/>
    </row>
    <row r="49" spans="5:5" ht="13.45" x14ac:dyDescent="0.25">
      <c r="E49" s="223"/>
    </row>
    <row r="50" spans="5:5" ht="13.45" x14ac:dyDescent="0.25">
      <c r="E50" s="223"/>
    </row>
    <row r="51" spans="5:5" ht="13.45" x14ac:dyDescent="0.25">
      <c r="E51" s="223"/>
    </row>
    <row r="52" spans="5:5" ht="13.45" x14ac:dyDescent="0.25">
      <c r="E52" s="223"/>
    </row>
    <row r="53" spans="5:5" ht="13.45" x14ac:dyDescent="0.25">
      <c r="E53" s="223"/>
    </row>
    <row r="54" spans="5:5" ht="13.45" x14ac:dyDescent="0.25">
      <c r="E54" s="223"/>
    </row>
    <row r="55" spans="5:5" ht="13.45" x14ac:dyDescent="0.25">
      <c r="E55" s="223"/>
    </row>
    <row r="56" spans="5:5" ht="13.45" x14ac:dyDescent="0.25">
      <c r="E56" s="223"/>
    </row>
    <row r="57" spans="5:5" ht="13.45" x14ac:dyDescent="0.25">
      <c r="E57" s="223"/>
    </row>
    <row r="58" spans="5:5" ht="13.45" x14ac:dyDescent="0.25">
      <c r="E58" s="223"/>
    </row>
    <row r="59" spans="5:5" ht="13.45" x14ac:dyDescent="0.25">
      <c r="E59" s="223"/>
    </row>
    <row r="60" spans="5:5" ht="13.45" x14ac:dyDescent="0.25">
      <c r="E60" s="223"/>
    </row>
    <row r="61" spans="5:5" ht="13.45" x14ac:dyDescent="0.25">
      <c r="E61" s="223"/>
    </row>
    <row r="62" spans="5:5" ht="13.45" x14ac:dyDescent="0.25">
      <c r="E62" s="223"/>
    </row>
    <row r="63" spans="5:5" ht="13.45" x14ac:dyDescent="0.25">
      <c r="E63" s="223"/>
    </row>
    <row r="64" spans="5:5" ht="13.45" x14ac:dyDescent="0.25">
      <c r="E64" s="223"/>
    </row>
    <row r="65" spans="5:5" ht="13.45" x14ac:dyDescent="0.25">
      <c r="E65" s="223"/>
    </row>
    <row r="66" spans="5:5" ht="13.45" x14ac:dyDescent="0.25">
      <c r="E66" s="223"/>
    </row>
    <row r="67" spans="5:5" ht="13.45" x14ac:dyDescent="0.25">
      <c r="E67" s="223"/>
    </row>
    <row r="68" spans="5:5" ht="13.45" x14ac:dyDescent="0.25">
      <c r="E68" s="223"/>
    </row>
    <row r="69" spans="5:5" ht="13.45" x14ac:dyDescent="0.25">
      <c r="E69" s="223"/>
    </row>
    <row r="70" spans="5:5" ht="13.45" x14ac:dyDescent="0.25">
      <c r="E70" s="223"/>
    </row>
    <row r="71" spans="5:5" ht="13.45" x14ac:dyDescent="0.25">
      <c r="E71" s="223"/>
    </row>
    <row r="72" spans="5:5" ht="13.45" x14ac:dyDescent="0.25">
      <c r="E72" s="223"/>
    </row>
    <row r="73" spans="5:5" ht="13.45" x14ac:dyDescent="0.25">
      <c r="E73" s="223"/>
    </row>
    <row r="74" spans="5:5" ht="13.45" x14ac:dyDescent="0.25">
      <c r="E74" s="223"/>
    </row>
    <row r="75" spans="5:5" ht="13.45" x14ac:dyDescent="0.25">
      <c r="E75" s="223"/>
    </row>
    <row r="76" spans="5:5" ht="13.45" x14ac:dyDescent="0.25">
      <c r="E76" s="223"/>
    </row>
    <row r="77" spans="5:5" ht="13.45" x14ac:dyDescent="0.25">
      <c r="E77" s="223"/>
    </row>
    <row r="78" spans="5:5" ht="13.45" x14ac:dyDescent="0.25">
      <c r="E78" s="223"/>
    </row>
    <row r="79" spans="5:5" ht="13.45" x14ac:dyDescent="0.25">
      <c r="E79" s="223"/>
    </row>
    <row r="80" spans="5:5" ht="13.45" x14ac:dyDescent="0.25">
      <c r="E80" s="223"/>
    </row>
    <row r="81" spans="5:5" ht="13.45" x14ac:dyDescent="0.25">
      <c r="E81" s="223"/>
    </row>
    <row r="82" spans="5:5" ht="13.45" x14ac:dyDescent="0.25">
      <c r="E82" s="223"/>
    </row>
    <row r="83" spans="5:5" ht="13.45" x14ac:dyDescent="0.25">
      <c r="E83" s="223"/>
    </row>
    <row r="84" spans="5:5" ht="13.45" x14ac:dyDescent="0.25">
      <c r="E84" s="223"/>
    </row>
    <row r="85" spans="5:5" ht="13.45" x14ac:dyDescent="0.25">
      <c r="E85" s="223"/>
    </row>
    <row r="86" spans="5:5" ht="13.45" x14ac:dyDescent="0.25">
      <c r="E86" s="223"/>
    </row>
    <row r="87" spans="5:5" ht="13.45" x14ac:dyDescent="0.25">
      <c r="E87" s="223"/>
    </row>
    <row r="88" spans="5:5" ht="13.45" x14ac:dyDescent="0.25">
      <c r="E88" s="223"/>
    </row>
    <row r="89" spans="5:5" ht="13.45" x14ac:dyDescent="0.25">
      <c r="E89" s="223"/>
    </row>
    <row r="90" spans="5:5" ht="13.45" x14ac:dyDescent="0.25">
      <c r="E90" s="223"/>
    </row>
    <row r="91" spans="5:5" ht="13.45" x14ac:dyDescent="0.25">
      <c r="E91" s="223"/>
    </row>
    <row r="92" spans="5:5" ht="13.45" x14ac:dyDescent="0.25">
      <c r="E92" s="223"/>
    </row>
    <row r="93" spans="5:5" ht="13.45" x14ac:dyDescent="0.25">
      <c r="E93" s="223"/>
    </row>
    <row r="94" spans="5:5" ht="13.45" x14ac:dyDescent="0.25">
      <c r="E94" s="223"/>
    </row>
    <row r="95" spans="5:5" ht="13.45" x14ac:dyDescent="0.25">
      <c r="E95" s="223"/>
    </row>
    <row r="96" spans="5:5" ht="13.45" x14ac:dyDescent="0.25">
      <c r="E96" s="223"/>
    </row>
    <row r="97" spans="5:5" ht="13.45" x14ac:dyDescent="0.25">
      <c r="E97" s="223"/>
    </row>
    <row r="98" spans="5:5" ht="13.45" x14ac:dyDescent="0.25">
      <c r="E98" s="223"/>
    </row>
    <row r="99" spans="5:5" ht="13.45" x14ac:dyDescent="0.25">
      <c r="E99" s="223"/>
    </row>
    <row r="100" spans="5:5" ht="13.45" x14ac:dyDescent="0.25">
      <c r="E100" s="223"/>
    </row>
    <row r="101" spans="5:5" ht="13.45" x14ac:dyDescent="0.25">
      <c r="E101" s="223"/>
    </row>
    <row r="102" spans="5:5" ht="13.45" x14ac:dyDescent="0.25">
      <c r="E102" s="223"/>
    </row>
    <row r="103" spans="5:5" ht="13.45" x14ac:dyDescent="0.25">
      <c r="E103" s="223"/>
    </row>
    <row r="104" spans="5:5" ht="13.45" x14ac:dyDescent="0.25">
      <c r="E104" s="223"/>
    </row>
    <row r="105" spans="5:5" ht="13.45" x14ac:dyDescent="0.25">
      <c r="E105" s="223"/>
    </row>
    <row r="106" spans="5:5" ht="13.45" x14ac:dyDescent="0.25">
      <c r="E106" s="223"/>
    </row>
    <row r="107" spans="5:5" ht="13.45" x14ac:dyDescent="0.25">
      <c r="E107" s="223"/>
    </row>
    <row r="108" spans="5:5" ht="13.45" x14ac:dyDescent="0.25">
      <c r="E108" s="223"/>
    </row>
    <row r="109" spans="5:5" ht="13.45" x14ac:dyDescent="0.25">
      <c r="E109" s="223"/>
    </row>
    <row r="110" spans="5:5" ht="13.45" x14ac:dyDescent="0.25">
      <c r="E110" s="223"/>
    </row>
    <row r="111" spans="5:5" ht="13.45" x14ac:dyDescent="0.25">
      <c r="E111" s="223"/>
    </row>
    <row r="112" spans="5:5" ht="13.45" x14ac:dyDescent="0.25">
      <c r="E112" s="223"/>
    </row>
    <row r="113" spans="5:5" ht="13.45" x14ac:dyDescent="0.25">
      <c r="E113" s="223"/>
    </row>
    <row r="114" spans="5:5" ht="13.45" x14ac:dyDescent="0.25">
      <c r="E114" s="223"/>
    </row>
    <row r="115" spans="5:5" ht="13.45" x14ac:dyDescent="0.25">
      <c r="E115" s="223"/>
    </row>
    <row r="116" spans="5:5" ht="13.45" x14ac:dyDescent="0.25">
      <c r="E116" s="223"/>
    </row>
    <row r="117" spans="5:5" ht="13.45" x14ac:dyDescent="0.25">
      <c r="E117" s="223"/>
    </row>
    <row r="118" spans="5:5" ht="13.45" x14ac:dyDescent="0.25">
      <c r="E118" s="223"/>
    </row>
    <row r="119" spans="5:5" ht="13.45" x14ac:dyDescent="0.25">
      <c r="E119" s="223"/>
    </row>
    <row r="120" spans="5:5" ht="13.45" x14ac:dyDescent="0.25">
      <c r="E120" s="223"/>
    </row>
    <row r="121" spans="5:5" ht="13.45" x14ac:dyDescent="0.25">
      <c r="E121" s="223"/>
    </row>
    <row r="122" spans="5:5" ht="13.45" x14ac:dyDescent="0.25">
      <c r="E122" s="223"/>
    </row>
    <row r="123" spans="5:5" ht="13.45" x14ac:dyDescent="0.25">
      <c r="E123" s="223"/>
    </row>
    <row r="124" spans="5:5" ht="13.45" x14ac:dyDescent="0.25">
      <c r="E124" s="223"/>
    </row>
    <row r="125" spans="5:5" ht="13.45" x14ac:dyDescent="0.25">
      <c r="E125" s="223"/>
    </row>
    <row r="126" spans="5:5" ht="13.45" x14ac:dyDescent="0.25">
      <c r="E126" s="223"/>
    </row>
    <row r="127" spans="5:5" ht="13.45" x14ac:dyDescent="0.25">
      <c r="E127" s="223"/>
    </row>
    <row r="128" spans="5:5" ht="13.45" x14ac:dyDescent="0.25">
      <c r="E128" s="223"/>
    </row>
    <row r="129" spans="5:5" ht="13.45" x14ac:dyDescent="0.25">
      <c r="E129" s="223"/>
    </row>
    <row r="130" spans="5:5" ht="13.45" x14ac:dyDescent="0.25">
      <c r="E130" s="223"/>
    </row>
    <row r="131" spans="5:5" ht="13.45" x14ac:dyDescent="0.25">
      <c r="E131" s="223"/>
    </row>
    <row r="132" spans="5:5" ht="13.45" x14ac:dyDescent="0.25">
      <c r="E132" s="223"/>
    </row>
    <row r="133" spans="5:5" ht="13.45" x14ac:dyDescent="0.25">
      <c r="E133" s="223"/>
    </row>
    <row r="134" spans="5:5" ht="13.45" x14ac:dyDescent="0.25">
      <c r="E134" s="223"/>
    </row>
    <row r="135" spans="5:5" ht="13.45" x14ac:dyDescent="0.25">
      <c r="E135" s="223"/>
    </row>
    <row r="136" spans="5:5" ht="13.45" x14ac:dyDescent="0.25">
      <c r="E136" s="223"/>
    </row>
    <row r="137" spans="5:5" ht="13.45" x14ac:dyDescent="0.25">
      <c r="E137" s="223"/>
    </row>
    <row r="138" spans="5:5" ht="13.45" x14ac:dyDescent="0.25">
      <c r="E138" s="223"/>
    </row>
    <row r="139" spans="5:5" ht="13.45" x14ac:dyDescent="0.25">
      <c r="E139" s="223"/>
    </row>
    <row r="140" spans="5:5" ht="13.45" x14ac:dyDescent="0.25">
      <c r="E140" s="223"/>
    </row>
    <row r="141" spans="5:5" ht="13.45" x14ac:dyDescent="0.25">
      <c r="E141" s="223"/>
    </row>
    <row r="142" spans="5:5" ht="13.45" x14ac:dyDescent="0.25">
      <c r="E142" s="223"/>
    </row>
    <row r="143" spans="5:5" ht="13.45" x14ac:dyDescent="0.25">
      <c r="E143" s="223"/>
    </row>
    <row r="144" spans="5:5" ht="13.45" x14ac:dyDescent="0.25">
      <c r="E144" s="223"/>
    </row>
    <row r="145" spans="5:5" ht="13.45" x14ac:dyDescent="0.25">
      <c r="E145" s="223"/>
    </row>
    <row r="146" spans="5:5" ht="13.45" x14ac:dyDescent="0.25">
      <c r="E146" s="223"/>
    </row>
    <row r="147" spans="5:5" ht="13.45" x14ac:dyDescent="0.25">
      <c r="E147" s="223"/>
    </row>
    <row r="148" spans="5:5" ht="13.45" x14ac:dyDescent="0.25">
      <c r="E148" s="223"/>
    </row>
    <row r="149" spans="5:5" ht="13.45" x14ac:dyDescent="0.25">
      <c r="E149" s="223"/>
    </row>
    <row r="150" spans="5:5" ht="13.45" x14ac:dyDescent="0.25">
      <c r="E150" s="223"/>
    </row>
    <row r="151" spans="5:5" ht="13.45" x14ac:dyDescent="0.25">
      <c r="E151" s="223"/>
    </row>
    <row r="152" spans="5:5" ht="13.45" x14ac:dyDescent="0.25">
      <c r="E152" s="223"/>
    </row>
    <row r="153" spans="5:5" ht="13.45" x14ac:dyDescent="0.25">
      <c r="E153" s="223"/>
    </row>
    <row r="154" spans="5:5" ht="13.45" x14ac:dyDescent="0.25">
      <c r="E154" s="223"/>
    </row>
    <row r="155" spans="5:5" ht="13.45" x14ac:dyDescent="0.25">
      <c r="E155" s="223"/>
    </row>
    <row r="156" spans="5:5" ht="13.45" x14ac:dyDescent="0.25">
      <c r="E156" s="223"/>
    </row>
    <row r="157" spans="5:5" ht="13.45" x14ac:dyDescent="0.25">
      <c r="E157" s="223"/>
    </row>
    <row r="158" spans="5:5" ht="13.45" x14ac:dyDescent="0.25">
      <c r="E158" s="223"/>
    </row>
    <row r="159" spans="5:5" ht="13.45" x14ac:dyDescent="0.25">
      <c r="E159" s="223"/>
    </row>
    <row r="160" spans="5:5" ht="13.45" x14ac:dyDescent="0.25">
      <c r="E160" s="223"/>
    </row>
    <row r="161" spans="5:5" ht="13.45" x14ac:dyDescent="0.25">
      <c r="E161" s="223"/>
    </row>
    <row r="162" spans="5:5" ht="13.45" x14ac:dyDescent="0.25">
      <c r="E162" s="223"/>
    </row>
    <row r="163" spans="5:5" ht="13.45" x14ac:dyDescent="0.25">
      <c r="E163" s="223"/>
    </row>
    <row r="164" spans="5:5" ht="13.45" x14ac:dyDescent="0.25">
      <c r="E164" s="223"/>
    </row>
    <row r="165" spans="5:5" ht="13.45" x14ac:dyDescent="0.25">
      <c r="E165" s="223"/>
    </row>
    <row r="166" spans="5:5" ht="13.45" x14ac:dyDescent="0.25">
      <c r="E166" s="223"/>
    </row>
    <row r="167" spans="5:5" ht="13.45" x14ac:dyDescent="0.25">
      <c r="E167" s="223"/>
    </row>
    <row r="168" spans="5:5" ht="13.45" x14ac:dyDescent="0.25">
      <c r="E168" s="223"/>
    </row>
    <row r="169" spans="5:5" ht="13.45" x14ac:dyDescent="0.25">
      <c r="E169" s="223"/>
    </row>
    <row r="170" spans="5:5" ht="13.45" x14ac:dyDescent="0.25">
      <c r="E170" s="223"/>
    </row>
    <row r="171" spans="5:5" ht="13.45" x14ac:dyDescent="0.25">
      <c r="E171" s="223"/>
    </row>
    <row r="172" spans="5:5" ht="13.45" x14ac:dyDescent="0.25">
      <c r="E172" s="223"/>
    </row>
    <row r="173" spans="5:5" ht="13.45" x14ac:dyDescent="0.25">
      <c r="E173" s="223"/>
    </row>
    <row r="174" spans="5:5" ht="13.45" x14ac:dyDescent="0.25">
      <c r="E174" s="223"/>
    </row>
    <row r="175" spans="5:5" ht="13.45" x14ac:dyDescent="0.25">
      <c r="E175" s="223"/>
    </row>
    <row r="176" spans="5:5" ht="13.45" x14ac:dyDescent="0.25">
      <c r="E176" s="223"/>
    </row>
    <row r="177" spans="5:5" ht="13.45" x14ac:dyDescent="0.25">
      <c r="E177" s="223"/>
    </row>
    <row r="178" spans="5:5" ht="13.45" x14ac:dyDescent="0.25">
      <c r="E178" s="223"/>
    </row>
    <row r="179" spans="5:5" ht="13.45" x14ac:dyDescent="0.25">
      <c r="E179" s="223"/>
    </row>
    <row r="180" spans="5:5" ht="13.45" x14ac:dyDescent="0.25">
      <c r="E180" s="223"/>
    </row>
    <row r="181" spans="5:5" ht="13.45" x14ac:dyDescent="0.25">
      <c r="E181" s="223"/>
    </row>
    <row r="182" spans="5:5" ht="13.45" x14ac:dyDescent="0.25">
      <c r="E182" s="223"/>
    </row>
    <row r="183" spans="5:5" ht="13.45" x14ac:dyDescent="0.25">
      <c r="E183" s="223"/>
    </row>
    <row r="184" spans="5:5" ht="13.45" x14ac:dyDescent="0.25">
      <c r="E184" s="223"/>
    </row>
    <row r="185" spans="5:5" ht="13.45" x14ac:dyDescent="0.25">
      <c r="E185" s="223"/>
    </row>
    <row r="186" spans="5:5" ht="13.45" x14ac:dyDescent="0.25">
      <c r="E186" s="223"/>
    </row>
    <row r="187" spans="5:5" ht="13.45" x14ac:dyDescent="0.25">
      <c r="E187" s="223"/>
    </row>
    <row r="188" spans="5:5" ht="13.45" x14ac:dyDescent="0.25">
      <c r="E188" s="223"/>
    </row>
    <row r="189" spans="5:5" ht="13.45" x14ac:dyDescent="0.25">
      <c r="E189" s="223"/>
    </row>
    <row r="190" spans="5:5" ht="13.45" x14ac:dyDescent="0.25">
      <c r="E190" s="223"/>
    </row>
    <row r="191" spans="5:5" ht="13.45" x14ac:dyDescent="0.25">
      <c r="E191" s="223"/>
    </row>
    <row r="192" spans="5:5" ht="13.45" x14ac:dyDescent="0.25">
      <c r="E192" s="223"/>
    </row>
    <row r="193" spans="5:5" ht="13.45" x14ac:dyDescent="0.25">
      <c r="E193" s="223"/>
    </row>
    <row r="194" spans="5:5" ht="13.45" x14ac:dyDescent="0.25">
      <c r="E194" s="223"/>
    </row>
    <row r="195" spans="5:5" ht="13.45" x14ac:dyDescent="0.25">
      <c r="E195" s="223"/>
    </row>
    <row r="196" spans="5:5" ht="13.45" x14ac:dyDescent="0.25">
      <c r="E196" s="223"/>
    </row>
    <row r="197" spans="5:5" ht="13.45" x14ac:dyDescent="0.25">
      <c r="E197" s="223"/>
    </row>
    <row r="198" spans="5:5" ht="13.45" x14ac:dyDescent="0.25">
      <c r="E198" s="223"/>
    </row>
    <row r="199" spans="5:5" ht="13.45" x14ac:dyDescent="0.25">
      <c r="E199" s="223"/>
    </row>
    <row r="200" spans="5:5" ht="13.45" x14ac:dyDescent="0.25">
      <c r="E200" s="223"/>
    </row>
    <row r="201" spans="5:5" ht="13.45" x14ac:dyDescent="0.25">
      <c r="E201" s="223"/>
    </row>
    <row r="202" spans="5:5" ht="13.45" x14ac:dyDescent="0.25">
      <c r="E202" s="223"/>
    </row>
    <row r="203" spans="5:5" ht="13.45" x14ac:dyDescent="0.25">
      <c r="E203" s="223"/>
    </row>
    <row r="204" spans="5:5" ht="13.45" x14ac:dyDescent="0.25">
      <c r="E204" s="223"/>
    </row>
    <row r="205" spans="5:5" ht="13.45" x14ac:dyDescent="0.25">
      <c r="E205" s="223"/>
    </row>
    <row r="206" spans="5:5" ht="13.45" x14ac:dyDescent="0.25">
      <c r="E206" s="223"/>
    </row>
    <row r="207" spans="5:5" ht="13.45" x14ac:dyDescent="0.25">
      <c r="E207" s="223"/>
    </row>
    <row r="208" spans="5:5" ht="13.45" x14ac:dyDescent="0.25">
      <c r="E208" s="223"/>
    </row>
    <row r="209" spans="5:5" ht="13.45" x14ac:dyDescent="0.25">
      <c r="E209" s="223"/>
    </row>
    <row r="210" spans="5:5" ht="13.45" x14ac:dyDescent="0.25">
      <c r="E210" s="223"/>
    </row>
    <row r="211" spans="5:5" ht="13.45" x14ac:dyDescent="0.25">
      <c r="E211" s="223"/>
    </row>
    <row r="212" spans="5:5" ht="13.45" x14ac:dyDescent="0.25">
      <c r="E212" s="223"/>
    </row>
    <row r="213" spans="5:5" ht="13.45" x14ac:dyDescent="0.25">
      <c r="E213" s="223"/>
    </row>
    <row r="214" spans="5:5" ht="13.45" x14ac:dyDescent="0.25">
      <c r="E214" s="223"/>
    </row>
    <row r="215" spans="5:5" ht="13.45" x14ac:dyDescent="0.25">
      <c r="E215" s="223"/>
    </row>
    <row r="216" spans="5:5" ht="13.45" x14ac:dyDescent="0.25">
      <c r="E216" s="223"/>
    </row>
    <row r="217" spans="5:5" ht="13.45" x14ac:dyDescent="0.25">
      <c r="E217" s="223"/>
    </row>
    <row r="218" spans="5:5" ht="13.45" x14ac:dyDescent="0.25">
      <c r="E218" s="223"/>
    </row>
    <row r="219" spans="5:5" ht="13.45" x14ac:dyDescent="0.25">
      <c r="E219" s="223"/>
    </row>
    <row r="220" spans="5:5" ht="13.45" x14ac:dyDescent="0.25">
      <c r="E220" s="223"/>
    </row>
    <row r="221" spans="5:5" ht="13.45" x14ac:dyDescent="0.25">
      <c r="E221" s="223"/>
    </row>
    <row r="222" spans="5:5" ht="13.45" x14ac:dyDescent="0.25">
      <c r="E222" s="223"/>
    </row>
    <row r="223" spans="5:5" ht="13.45" x14ac:dyDescent="0.25">
      <c r="E223" s="223"/>
    </row>
    <row r="224" spans="5:5" ht="13.45" x14ac:dyDescent="0.25">
      <c r="E224" s="223"/>
    </row>
    <row r="225" spans="5:5" ht="13.45" x14ac:dyDescent="0.25">
      <c r="E225" s="223"/>
    </row>
    <row r="226" spans="5:5" ht="13.45" x14ac:dyDescent="0.25">
      <c r="E226" s="223"/>
    </row>
    <row r="227" spans="5:5" ht="13.45" x14ac:dyDescent="0.25">
      <c r="E227" s="223"/>
    </row>
    <row r="228" spans="5:5" ht="13.45" x14ac:dyDescent="0.25">
      <c r="E228" s="223"/>
    </row>
    <row r="229" spans="5:5" ht="13.45" x14ac:dyDescent="0.25">
      <c r="E229" s="223"/>
    </row>
    <row r="230" spans="5:5" ht="13.45" x14ac:dyDescent="0.25">
      <c r="E230" s="223"/>
    </row>
    <row r="231" spans="5:5" ht="13.45" x14ac:dyDescent="0.25">
      <c r="E231" s="223"/>
    </row>
    <row r="232" spans="5:5" ht="13.45" x14ac:dyDescent="0.25">
      <c r="E232" s="223"/>
    </row>
    <row r="233" spans="5:5" ht="13.45" x14ac:dyDescent="0.25">
      <c r="E233" s="223"/>
    </row>
    <row r="234" spans="5:5" ht="13.45" x14ac:dyDescent="0.25">
      <c r="E234" s="223"/>
    </row>
    <row r="235" spans="5:5" ht="13.45" x14ac:dyDescent="0.25">
      <c r="E235" s="223"/>
    </row>
    <row r="236" spans="5:5" ht="13.45" x14ac:dyDescent="0.25">
      <c r="E236" s="223"/>
    </row>
    <row r="237" spans="5:5" ht="13.45" x14ac:dyDescent="0.25">
      <c r="E237" s="223"/>
    </row>
    <row r="238" spans="5:5" ht="13.45" x14ac:dyDescent="0.25">
      <c r="E238" s="223"/>
    </row>
    <row r="239" spans="5:5" ht="13.45" x14ac:dyDescent="0.25">
      <c r="E239" s="223"/>
    </row>
    <row r="240" spans="5:5" ht="13.45" x14ac:dyDescent="0.25">
      <c r="E240" s="223"/>
    </row>
    <row r="241" spans="5:5" ht="13.45" x14ac:dyDescent="0.25">
      <c r="E241" s="223"/>
    </row>
    <row r="242" spans="5:5" ht="13.45" x14ac:dyDescent="0.25">
      <c r="E242" s="223"/>
    </row>
    <row r="243" spans="5:5" ht="13.45" x14ac:dyDescent="0.25">
      <c r="E243" s="223"/>
    </row>
    <row r="244" spans="5:5" ht="13.45" x14ac:dyDescent="0.25">
      <c r="E244" s="223"/>
    </row>
    <row r="245" spans="5:5" ht="13.45" x14ac:dyDescent="0.25">
      <c r="E245" s="223"/>
    </row>
    <row r="246" spans="5:5" ht="13.45" x14ac:dyDescent="0.25">
      <c r="E246" s="223"/>
    </row>
    <row r="247" spans="5:5" ht="13.45" x14ac:dyDescent="0.25">
      <c r="E247" s="223"/>
    </row>
    <row r="248" spans="5:5" ht="13.45" x14ac:dyDescent="0.25">
      <c r="E248" s="223"/>
    </row>
    <row r="249" spans="5:5" ht="13.45" x14ac:dyDescent="0.25">
      <c r="E249" s="223"/>
    </row>
    <row r="250" spans="5:5" ht="13.45" x14ac:dyDescent="0.25">
      <c r="E250" s="223"/>
    </row>
    <row r="251" spans="5:5" ht="13.45" x14ac:dyDescent="0.25">
      <c r="E251" s="223"/>
    </row>
    <row r="252" spans="5:5" ht="13.45" x14ac:dyDescent="0.25">
      <c r="E252" s="223"/>
    </row>
    <row r="253" spans="5:5" ht="13.45" x14ac:dyDescent="0.25">
      <c r="E253" s="223"/>
    </row>
    <row r="254" spans="5:5" ht="13.45" x14ac:dyDescent="0.25">
      <c r="E254" s="223"/>
    </row>
    <row r="255" spans="5:5" ht="13.45" x14ac:dyDescent="0.25">
      <c r="E255" s="223"/>
    </row>
    <row r="256" spans="5:5" ht="13.45" x14ac:dyDescent="0.25">
      <c r="E256" s="223"/>
    </row>
    <row r="257" spans="5:5" ht="13.45" x14ac:dyDescent="0.25">
      <c r="E257" s="223"/>
    </row>
    <row r="258" spans="5:5" ht="13.45" x14ac:dyDescent="0.25">
      <c r="E258" s="223"/>
    </row>
    <row r="259" spans="5:5" ht="13.45" x14ac:dyDescent="0.25">
      <c r="E259" s="223"/>
    </row>
    <row r="260" spans="5:5" ht="13.45" x14ac:dyDescent="0.25">
      <c r="E260" s="223"/>
    </row>
    <row r="261" spans="5:5" ht="13.45" x14ac:dyDescent="0.25">
      <c r="E261" s="223"/>
    </row>
    <row r="262" spans="5:5" ht="13.45" x14ac:dyDescent="0.25">
      <c r="E262" s="223"/>
    </row>
    <row r="263" spans="5:5" ht="13.45" x14ac:dyDescent="0.25">
      <c r="E263" s="223"/>
    </row>
    <row r="264" spans="5:5" ht="13.45" x14ac:dyDescent="0.25">
      <c r="E264" s="223"/>
    </row>
    <row r="265" spans="5:5" ht="13.45" x14ac:dyDescent="0.25">
      <c r="E265" s="223"/>
    </row>
    <row r="266" spans="5:5" ht="13.45" x14ac:dyDescent="0.25">
      <c r="E266" s="223"/>
    </row>
    <row r="267" spans="5:5" ht="13.45" x14ac:dyDescent="0.25">
      <c r="E267" s="223"/>
    </row>
    <row r="268" spans="5:5" ht="13.45" x14ac:dyDescent="0.25">
      <c r="E268" s="223"/>
    </row>
    <row r="269" spans="5:5" ht="13.45" x14ac:dyDescent="0.25">
      <c r="E269" s="223"/>
    </row>
    <row r="270" spans="5:5" ht="13.45" x14ac:dyDescent="0.25">
      <c r="E270" s="223"/>
    </row>
    <row r="271" spans="5:5" ht="13.45" x14ac:dyDescent="0.25">
      <c r="E271" s="223"/>
    </row>
    <row r="272" spans="5:5" ht="13.45" x14ac:dyDescent="0.25">
      <c r="E272" s="223"/>
    </row>
    <row r="273" spans="5:5" ht="13.45" x14ac:dyDescent="0.25">
      <c r="E273" s="223"/>
    </row>
    <row r="274" spans="5:5" ht="13.45" x14ac:dyDescent="0.25">
      <c r="E274" s="223"/>
    </row>
    <row r="275" spans="5:5" ht="13.45" x14ac:dyDescent="0.25">
      <c r="E275" s="223"/>
    </row>
    <row r="276" spans="5:5" ht="13.45" x14ac:dyDescent="0.25">
      <c r="E276" s="223"/>
    </row>
    <row r="277" spans="5:5" ht="13.45" x14ac:dyDescent="0.25">
      <c r="E277" s="223"/>
    </row>
    <row r="278" spans="5:5" ht="13.45" x14ac:dyDescent="0.25">
      <c r="E278" s="223"/>
    </row>
    <row r="279" spans="5:5" ht="13.45" x14ac:dyDescent="0.25">
      <c r="E279" s="223"/>
    </row>
    <row r="280" spans="5:5" ht="13.45" x14ac:dyDescent="0.25">
      <c r="E280" s="223"/>
    </row>
    <row r="281" spans="5:5" ht="13.45" x14ac:dyDescent="0.25">
      <c r="E281" s="223"/>
    </row>
    <row r="282" spans="5:5" ht="13.45" x14ac:dyDescent="0.25">
      <c r="E282" s="223"/>
    </row>
    <row r="283" spans="5:5" ht="13.45" x14ac:dyDescent="0.25">
      <c r="E283" s="223"/>
    </row>
    <row r="284" spans="5:5" ht="13.45" x14ac:dyDescent="0.25">
      <c r="E284" s="223"/>
    </row>
    <row r="285" spans="5:5" ht="13.45" x14ac:dyDescent="0.25">
      <c r="E285" s="223"/>
    </row>
    <row r="286" spans="5:5" ht="13.45" x14ac:dyDescent="0.25">
      <c r="E286" s="223"/>
    </row>
    <row r="287" spans="5:5" ht="13.45" x14ac:dyDescent="0.25">
      <c r="E287" s="223"/>
    </row>
    <row r="288" spans="5:5" ht="13.45" x14ac:dyDescent="0.25">
      <c r="E288" s="223"/>
    </row>
    <row r="289" spans="5:5" ht="13.45" x14ac:dyDescent="0.25">
      <c r="E289" s="223"/>
    </row>
    <row r="290" spans="5:5" ht="13.45" x14ac:dyDescent="0.25">
      <c r="E290" s="223"/>
    </row>
    <row r="291" spans="5:5" ht="13.45" x14ac:dyDescent="0.25">
      <c r="E291" s="223"/>
    </row>
    <row r="292" spans="5:5" ht="13.45" x14ac:dyDescent="0.25">
      <c r="E292" s="223"/>
    </row>
    <row r="293" spans="5:5" ht="13.45" x14ac:dyDescent="0.25">
      <c r="E293" s="223"/>
    </row>
    <row r="294" spans="5:5" ht="13.45" x14ac:dyDescent="0.25">
      <c r="E294" s="223"/>
    </row>
    <row r="295" spans="5:5" ht="13.45" x14ac:dyDescent="0.25">
      <c r="E295" s="223"/>
    </row>
    <row r="296" spans="5:5" ht="13.45" x14ac:dyDescent="0.25">
      <c r="E296" s="223"/>
    </row>
    <row r="297" spans="5:5" ht="13.45" x14ac:dyDescent="0.25">
      <c r="E297" s="223"/>
    </row>
    <row r="298" spans="5:5" ht="13.45" x14ac:dyDescent="0.25">
      <c r="E298" s="223"/>
    </row>
    <row r="299" spans="5:5" ht="13.45" x14ac:dyDescent="0.25">
      <c r="E299" s="223"/>
    </row>
    <row r="300" spans="5:5" ht="13.45" x14ac:dyDescent="0.25">
      <c r="E300" s="223"/>
    </row>
    <row r="301" spans="5:5" ht="13.45" x14ac:dyDescent="0.25">
      <c r="E301" s="223"/>
    </row>
    <row r="302" spans="5:5" ht="13.45" x14ac:dyDescent="0.25">
      <c r="E302" s="223"/>
    </row>
    <row r="303" spans="5:5" ht="13.45" x14ac:dyDescent="0.25">
      <c r="E303" s="223"/>
    </row>
    <row r="304" spans="5:5" ht="13.45" x14ac:dyDescent="0.25">
      <c r="E304" s="223"/>
    </row>
    <row r="305" spans="5:5" ht="13.45" x14ac:dyDescent="0.25">
      <c r="E305" s="223"/>
    </row>
    <row r="306" spans="5:5" ht="13.45" x14ac:dyDescent="0.25">
      <c r="E306" s="223"/>
    </row>
    <row r="307" spans="5:5" ht="13.45" x14ac:dyDescent="0.25">
      <c r="E307" s="223"/>
    </row>
    <row r="308" spans="5:5" ht="13.45" x14ac:dyDescent="0.25">
      <c r="E308" s="223"/>
    </row>
    <row r="309" spans="5:5" ht="13.45" x14ac:dyDescent="0.25">
      <c r="E309" s="223"/>
    </row>
    <row r="310" spans="5:5" ht="13.45" x14ac:dyDescent="0.25">
      <c r="E310" s="223"/>
    </row>
    <row r="311" spans="5:5" ht="13.45" x14ac:dyDescent="0.25">
      <c r="E311" s="223"/>
    </row>
    <row r="312" spans="5:5" ht="13.45" x14ac:dyDescent="0.25">
      <c r="E312" s="223"/>
    </row>
    <row r="313" spans="5:5" ht="13.45" x14ac:dyDescent="0.25">
      <c r="E313" s="223"/>
    </row>
    <row r="314" spans="5:5" ht="13.45" x14ac:dyDescent="0.25">
      <c r="E314" s="223"/>
    </row>
    <row r="315" spans="5:5" ht="13.45" x14ac:dyDescent="0.25">
      <c r="E315" s="223"/>
    </row>
    <row r="316" spans="5:5" ht="13.45" x14ac:dyDescent="0.25">
      <c r="E316" s="223"/>
    </row>
    <row r="317" spans="5:5" ht="13.45" x14ac:dyDescent="0.25">
      <c r="E317" s="223"/>
    </row>
    <row r="318" spans="5:5" ht="13.45" x14ac:dyDescent="0.25">
      <c r="E318" s="223"/>
    </row>
    <row r="319" spans="5:5" ht="13.45" x14ac:dyDescent="0.25">
      <c r="E319" s="223"/>
    </row>
    <row r="320" spans="5:5" ht="13.45" x14ac:dyDescent="0.25">
      <c r="E320" s="223"/>
    </row>
    <row r="321" spans="5:5" ht="13.45" x14ac:dyDescent="0.25">
      <c r="E321" s="223"/>
    </row>
    <row r="322" spans="5:5" ht="13.45" x14ac:dyDescent="0.25">
      <c r="E322" s="223"/>
    </row>
    <row r="323" spans="5:5" ht="13.45" x14ac:dyDescent="0.25">
      <c r="E323" s="223"/>
    </row>
    <row r="324" spans="5:5" ht="13.45" x14ac:dyDescent="0.25">
      <c r="E324" s="223"/>
    </row>
    <row r="325" spans="5:5" ht="13.45" x14ac:dyDescent="0.25">
      <c r="E325" s="223"/>
    </row>
    <row r="326" spans="5:5" ht="13.45" x14ac:dyDescent="0.25">
      <c r="E326" s="223"/>
    </row>
    <row r="327" spans="5:5" ht="13.45" x14ac:dyDescent="0.25">
      <c r="E327" s="223"/>
    </row>
    <row r="328" spans="5:5" ht="13.45" x14ac:dyDescent="0.25">
      <c r="E328" s="223"/>
    </row>
    <row r="329" spans="5:5" ht="13.45" x14ac:dyDescent="0.25">
      <c r="E329" s="223"/>
    </row>
    <row r="330" spans="5:5" ht="13.45" x14ac:dyDescent="0.25">
      <c r="E330" s="223"/>
    </row>
    <row r="331" spans="5:5" ht="13.45" x14ac:dyDescent="0.25">
      <c r="E331" s="223"/>
    </row>
    <row r="332" spans="5:5" ht="13.45" x14ac:dyDescent="0.25">
      <c r="E332" s="223"/>
    </row>
    <row r="333" spans="5:5" ht="13.45" x14ac:dyDescent="0.25">
      <c r="E333" s="223"/>
    </row>
    <row r="334" spans="5:5" ht="13.45" x14ac:dyDescent="0.25">
      <c r="E334" s="223"/>
    </row>
    <row r="335" spans="5:5" ht="13.45" x14ac:dyDescent="0.25">
      <c r="E335" s="223"/>
    </row>
    <row r="336" spans="5:5" ht="13.45" x14ac:dyDescent="0.25">
      <c r="E336" s="223"/>
    </row>
    <row r="337" spans="5:5" ht="13.45" x14ac:dyDescent="0.25">
      <c r="E337" s="223"/>
    </row>
    <row r="338" spans="5:5" ht="13.45" x14ac:dyDescent="0.25">
      <c r="E338" s="223"/>
    </row>
    <row r="339" spans="5:5" ht="13.45" x14ac:dyDescent="0.25">
      <c r="E339" s="223"/>
    </row>
    <row r="340" spans="5:5" ht="13.45" x14ac:dyDescent="0.25">
      <c r="E340" s="223"/>
    </row>
    <row r="341" spans="5:5" ht="13.45" x14ac:dyDescent="0.25">
      <c r="E341" s="223"/>
    </row>
    <row r="342" spans="5:5" ht="13.45" x14ac:dyDescent="0.25">
      <c r="E342" s="223"/>
    </row>
    <row r="343" spans="5:5" ht="13.45" x14ac:dyDescent="0.25">
      <c r="E343" s="223"/>
    </row>
    <row r="344" spans="5:5" ht="13.45" x14ac:dyDescent="0.25">
      <c r="E344" s="223"/>
    </row>
    <row r="345" spans="5:5" ht="13.45" x14ac:dyDescent="0.25">
      <c r="E345" s="223"/>
    </row>
    <row r="346" spans="5:5" ht="13.45" x14ac:dyDescent="0.25">
      <c r="E346" s="223"/>
    </row>
    <row r="347" spans="5:5" ht="13.45" x14ac:dyDescent="0.25">
      <c r="E347" s="223"/>
    </row>
    <row r="348" spans="5:5" ht="13.45" x14ac:dyDescent="0.25">
      <c r="E348" s="223"/>
    </row>
    <row r="349" spans="5:5" ht="13.45" x14ac:dyDescent="0.25">
      <c r="E349" s="223"/>
    </row>
    <row r="350" spans="5:5" ht="13.45" x14ac:dyDescent="0.25">
      <c r="E350" s="223"/>
    </row>
    <row r="351" spans="5:5" ht="13.45" x14ac:dyDescent="0.25">
      <c r="E351" s="223"/>
    </row>
    <row r="352" spans="5:5" ht="13.45" x14ac:dyDescent="0.25">
      <c r="E352" s="223"/>
    </row>
    <row r="353" spans="5:5" ht="13.45" x14ac:dyDescent="0.25">
      <c r="E353" s="223"/>
    </row>
    <row r="354" spans="5:5" ht="13.45" x14ac:dyDescent="0.25">
      <c r="E354" s="223"/>
    </row>
    <row r="355" spans="5:5" ht="13.45" x14ac:dyDescent="0.25">
      <c r="E355" s="223"/>
    </row>
    <row r="356" spans="5:5" ht="13.45" x14ac:dyDescent="0.25">
      <c r="E356" s="223"/>
    </row>
    <row r="357" spans="5:5" ht="13.45" x14ac:dyDescent="0.25">
      <c r="E357" s="223"/>
    </row>
    <row r="358" spans="5:5" ht="13.45" x14ac:dyDescent="0.25">
      <c r="E358" s="223"/>
    </row>
    <row r="359" spans="5:5" ht="13.45" x14ac:dyDescent="0.25">
      <c r="E359" s="223"/>
    </row>
    <row r="360" spans="5:5" ht="13.45" x14ac:dyDescent="0.25">
      <c r="E360" s="223"/>
    </row>
    <row r="361" spans="5:5" ht="13.45" x14ac:dyDescent="0.25">
      <c r="E361" s="223"/>
    </row>
    <row r="362" spans="5:5" ht="13.45" x14ac:dyDescent="0.25">
      <c r="E362" s="223"/>
    </row>
    <row r="363" spans="5:5" ht="13.45" x14ac:dyDescent="0.25">
      <c r="E363" s="223"/>
    </row>
    <row r="364" spans="5:5" ht="13.45" x14ac:dyDescent="0.25">
      <c r="E364" s="223"/>
    </row>
    <row r="365" spans="5:5" ht="13.45" x14ac:dyDescent="0.25">
      <c r="E365" s="223"/>
    </row>
    <row r="366" spans="5:5" ht="13.45" x14ac:dyDescent="0.25">
      <c r="E366" s="223"/>
    </row>
    <row r="367" spans="5:5" ht="13.45" x14ac:dyDescent="0.25">
      <c r="E367" s="223"/>
    </row>
    <row r="368" spans="5:5" ht="13.45" x14ac:dyDescent="0.25">
      <c r="E368" s="223"/>
    </row>
    <row r="369" spans="5:5" ht="13.45" x14ac:dyDescent="0.25">
      <c r="E369" s="223"/>
    </row>
    <row r="370" spans="5:5" ht="13.45" x14ac:dyDescent="0.25">
      <c r="E370" s="223"/>
    </row>
    <row r="371" spans="5:5" ht="13.45" x14ac:dyDescent="0.25">
      <c r="E371" s="223"/>
    </row>
    <row r="372" spans="5:5" ht="13.45" x14ac:dyDescent="0.25">
      <c r="E372" s="223"/>
    </row>
    <row r="373" spans="5:5" ht="13.45" x14ac:dyDescent="0.25">
      <c r="E373" s="223"/>
    </row>
    <row r="374" spans="5:5" ht="13.45" x14ac:dyDescent="0.25">
      <c r="E374" s="223"/>
    </row>
    <row r="375" spans="5:5" ht="13.45" x14ac:dyDescent="0.25">
      <c r="E375" s="223"/>
    </row>
    <row r="376" spans="5:5" ht="13.45" x14ac:dyDescent="0.25">
      <c r="E376" s="223"/>
    </row>
    <row r="377" spans="5:5" ht="13.45" x14ac:dyDescent="0.25">
      <c r="E377" s="223"/>
    </row>
    <row r="378" spans="5:5" ht="13.45" x14ac:dyDescent="0.25">
      <c r="E378" s="223"/>
    </row>
    <row r="379" spans="5:5" ht="13.45" x14ac:dyDescent="0.25">
      <c r="E379" s="223"/>
    </row>
    <row r="380" spans="5:5" ht="13.45" x14ac:dyDescent="0.25">
      <c r="E380" s="223"/>
    </row>
    <row r="381" spans="5:5" ht="13.45" x14ac:dyDescent="0.25">
      <c r="E381" s="223"/>
    </row>
    <row r="382" spans="5:5" ht="13.45" x14ac:dyDescent="0.25">
      <c r="E382" s="223"/>
    </row>
    <row r="383" spans="5:5" ht="13.45" x14ac:dyDescent="0.25">
      <c r="E383" s="223"/>
    </row>
    <row r="384" spans="5:5" ht="13.45" x14ac:dyDescent="0.25">
      <c r="E384" s="223"/>
    </row>
    <row r="385" spans="5:5" ht="13.45" x14ac:dyDescent="0.25">
      <c r="E385" s="223"/>
    </row>
    <row r="386" spans="5:5" ht="13.45" x14ac:dyDescent="0.25">
      <c r="E386" s="223"/>
    </row>
    <row r="387" spans="5:5" ht="13.45" x14ac:dyDescent="0.25">
      <c r="E387" s="223"/>
    </row>
    <row r="388" spans="5:5" ht="13.45" x14ac:dyDescent="0.25">
      <c r="E388" s="223"/>
    </row>
    <row r="389" spans="5:5" ht="13.45" x14ac:dyDescent="0.25">
      <c r="E389" s="223"/>
    </row>
    <row r="390" spans="5:5" ht="13.45" x14ac:dyDescent="0.25">
      <c r="E390" s="223"/>
    </row>
    <row r="391" spans="5:5" ht="13.45" x14ac:dyDescent="0.25">
      <c r="E391" s="223"/>
    </row>
    <row r="392" spans="5:5" ht="13.45" x14ac:dyDescent="0.25">
      <c r="E392" s="223"/>
    </row>
    <row r="393" spans="5:5" ht="13.45" x14ac:dyDescent="0.25">
      <c r="E393" s="223"/>
    </row>
    <row r="394" spans="5:5" ht="13.45" x14ac:dyDescent="0.25">
      <c r="E394" s="223"/>
    </row>
    <row r="395" spans="5:5" ht="13.45" x14ac:dyDescent="0.25">
      <c r="E395" s="223"/>
    </row>
    <row r="396" spans="5:5" ht="13.45" x14ac:dyDescent="0.25">
      <c r="E396" s="223"/>
    </row>
    <row r="397" spans="5:5" ht="13.45" x14ac:dyDescent="0.25">
      <c r="E397" s="223"/>
    </row>
    <row r="398" spans="5:5" ht="13.45" x14ac:dyDescent="0.25">
      <c r="E398" s="223"/>
    </row>
    <row r="399" spans="5:5" ht="13.45" x14ac:dyDescent="0.25">
      <c r="E399" s="223"/>
    </row>
    <row r="400" spans="5:5" ht="13.45" x14ac:dyDescent="0.25">
      <c r="E400" s="223"/>
    </row>
    <row r="401" spans="5:5" ht="13.45" x14ac:dyDescent="0.25">
      <c r="E401" s="223"/>
    </row>
    <row r="402" spans="5:5" ht="13.45" x14ac:dyDescent="0.25">
      <c r="E402" s="223"/>
    </row>
    <row r="403" spans="5:5" ht="13.45" x14ac:dyDescent="0.25">
      <c r="E403" s="223"/>
    </row>
    <row r="404" spans="5:5" ht="13.45" x14ac:dyDescent="0.25">
      <c r="E404" s="223"/>
    </row>
    <row r="405" spans="5:5" ht="13.45" x14ac:dyDescent="0.25">
      <c r="E405" s="223"/>
    </row>
    <row r="406" spans="5:5" ht="13.45" x14ac:dyDescent="0.25">
      <c r="E406" s="223"/>
    </row>
    <row r="407" spans="5:5" ht="13.45" x14ac:dyDescent="0.25">
      <c r="E407" s="223"/>
    </row>
    <row r="408" spans="5:5" ht="13.45" x14ac:dyDescent="0.25">
      <c r="E408" s="223"/>
    </row>
    <row r="409" spans="5:5" ht="13.45" x14ac:dyDescent="0.25">
      <c r="E409" s="223"/>
    </row>
    <row r="410" spans="5:5" ht="13.45" x14ac:dyDescent="0.25">
      <c r="E410" s="223"/>
    </row>
    <row r="411" spans="5:5" ht="13.45" x14ac:dyDescent="0.25">
      <c r="E411" s="223"/>
    </row>
    <row r="412" spans="5:5" ht="13.45" x14ac:dyDescent="0.25">
      <c r="E412" s="223"/>
    </row>
    <row r="413" spans="5:5" ht="13.45" x14ac:dyDescent="0.25">
      <c r="E413" s="223"/>
    </row>
    <row r="414" spans="5:5" ht="13.45" x14ac:dyDescent="0.25">
      <c r="E414" s="223"/>
    </row>
    <row r="415" spans="5:5" ht="13.45" x14ac:dyDescent="0.25">
      <c r="E415" s="223"/>
    </row>
    <row r="416" spans="5:5" ht="13.45" x14ac:dyDescent="0.25">
      <c r="E416" s="223"/>
    </row>
    <row r="417" spans="5:5" ht="13.45" x14ac:dyDescent="0.25">
      <c r="E417" s="223"/>
    </row>
    <row r="418" spans="5:5" ht="13.45" x14ac:dyDescent="0.25">
      <c r="E418" s="223"/>
    </row>
    <row r="419" spans="5:5" ht="13.45" x14ac:dyDescent="0.25">
      <c r="E419" s="223"/>
    </row>
    <row r="420" spans="5:5" ht="13.45" x14ac:dyDescent="0.25">
      <c r="E420" s="223"/>
    </row>
    <row r="421" spans="5:5" ht="13.45" x14ac:dyDescent="0.25">
      <c r="E421" s="223"/>
    </row>
    <row r="422" spans="5:5" ht="13.45" x14ac:dyDescent="0.25">
      <c r="E422" s="223"/>
    </row>
    <row r="423" spans="5:5" ht="13.45" x14ac:dyDescent="0.25">
      <c r="E423" s="223"/>
    </row>
    <row r="424" spans="5:5" ht="13.45" x14ac:dyDescent="0.25">
      <c r="E424" s="223"/>
    </row>
    <row r="425" spans="5:5" ht="13.45" x14ac:dyDescent="0.25">
      <c r="E425" s="223"/>
    </row>
    <row r="426" spans="5:5" ht="13.45" x14ac:dyDescent="0.25">
      <c r="E426" s="223"/>
    </row>
    <row r="427" spans="5:5" ht="13.45" x14ac:dyDescent="0.25">
      <c r="E427" s="223"/>
    </row>
    <row r="428" spans="5:5" ht="13.45" x14ac:dyDescent="0.25">
      <c r="E428" s="223"/>
    </row>
    <row r="429" spans="5:5" ht="13.45" x14ac:dyDescent="0.25">
      <c r="E429" s="223"/>
    </row>
    <row r="430" spans="5:5" ht="13.45" x14ac:dyDescent="0.25">
      <c r="E430" s="223"/>
    </row>
    <row r="431" spans="5:5" ht="13.45" x14ac:dyDescent="0.25">
      <c r="E431" s="223"/>
    </row>
    <row r="432" spans="5:5" ht="13.45" x14ac:dyDescent="0.25">
      <c r="E432" s="223"/>
    </row>
    <row r="433" spans="5:5" ht="13.45" x14ac:dyDescent="0.25">
      <c r="E433" s="223"/>
    </row>
    <row r="434" spans="5:5" ht="13.45" x14ac:dyDescent="0.25">
      <c r="E434" s="223"/>
    </row>
    <row r="435" spans="5:5" ht="13.45" x14ac:dyDescent="0.25">
      <c r="E435" s="223"/>
    </row>
    <row r="436" spans="5:5" ht="13.45" x14ac:dyDescent="0.25">
      <c r="E436" s="223"/>
    </row>
    <row r="437" spans="5:5" ht="13.45" x14ac:dyDescent="0.25">
      <c r="E437" s="223"/>
    </row>
    <row r="438" spans="5:5" ht="13.45" x14ac:dyDescent="0.25">
      <c r="E438" s="223"/>
    </row>
    <row r="439" spans="5:5" ht="13.45" x14ac:dyDescent="0.25">
      <c r="E439" s="223"/>
    </row>
    <row r="440" spans="5:5" ht="13.45" x14ac:dyDescent="0.25">
      <c r="E440" s="223"/>
    </row>
    <row r="441" spans="5:5" ht="13.45" x14ac:dyDescent="0.25">
      <c r="E441" s="223"/>
    </row>
    <row r="442" spans="5:5" ht="13.45" x14ac:dyDescent="0.25">
      <c r="E442" s="223"/>
    </row>
    <row r="443" spans="5:5" ht="13.45" x14ac:dyDescent="0.25">
      <c r="E443" s="223"/>
    </row>
    <row r="444" spans="5:5" ht="13.45" x14ac:dyDescent="0.25">
      <c r="E444" s="223"/>
    </row>
    <row r="445" spans="5:5" ht="13.45" x14ac:dyDescent="0.25">
      <c r="E445" s="223"/>
    </row>
    <row r="446" spans="5:5" ht="13.45" x14ac:dyDescent="0.25">
      <c r="E446" s="223"/>
    </row>
    <row r="447" spans="5:5" ht="13.45" x14ac:dyDescent="0.25">
      <c r="E447" s="223"/>
    </row>
    <row r="448" spans="5:5" ht="13.45" x14ac:dyDescent="0.25">
      <c r="E448" s="223"/>
    </row>
    <row r="449" spans="5:5" ht="13.45" x14ac:dyDescent="0.25">
      <c r="E449" s="223"/>
    </row>
    <row r="450" spans="5:5" ht="13.45" x14ac:dyDescent="0.25">
      <c r="E450" s="223"/>
    </row>
    <row r="451" spans="5:5" ht="13.45" x14ac:dyDescent="0.25">
      <c r="E451" s="223"/>
    </row>
    <row r="452" spans="5:5" ht="13.45" x14ac:dyDescent="0.25">
      <c r="E452" s="223"/>
    </row>
    <row r="453" spans="5:5" ht="13.45" x14ac:dyDescent="0.25">
      <c r="E453" s="223"/>
    </row>
    <row r="454" spans="5:5" ht="13.45" x14ac:dyDescent="0.25">
      <c r="E454" s="223"/>
    </row>
    <row r="455" spans="5:5" ht="13.45" x14ac:dyDescent="0.25">
      <c r="E455" s="223"/>
    </row>
    <row r="456" spans="5:5" ht="13.45" x14ac:dyDescent="0.25">
      <c r="E456" s="223"/>
    </row>
    <row r="457" spans="5:5" ht="13.45" x14ac:dyDescent="0.25">
      <c r="E457" s="223"/>
    </row>
    <row r="458" spans="5:5" ht="13.45" x14ac:dyDescent="0.25">
      <c r="E458" s="223"/>
    </row>
    <row r="459" spans="5:5" ht="13.45" x14ac:dyDescent="0.25">
      <c r="E459" s="223"/>
    </row>
    <row r="460" spans="5:5" ht="13.45" x14ac:dyDescent="0.25">
      <c r="E460" s="223"/>
    </row>
    <row r="461" spans="5:5" ht="13.45" x14ac:dyDescent="0.25">
      <c r="E461" s="223"/>
    </row>
    <row r="462" spans="5:5" ht="13.45" x14ac:dyDescent="0.25">
      <c r="E462" s="223"/>
    </row>
    <row r="463" spans="5:5" ht="13.45" x14ac:dyDescent="0.25">
      <c r="E463" s="223"/>
    </row>
    <row r="464" spans="5:5" ht="13.45" x14ac:dyDescent="0.25">
      <c r="E464" s="223"/>
    </row>
    <row r="465" spans="5:5" ht="13.45" x14ac:dyDescent="0.25">
      <c r="E465" s="223"/>
    </row>
    <row r="466" spans="5:5" ht="13.45" x14ac:dyDescent="0.25">
      <c r="E466" s="223"/>
    </row>
    <row r="467" spans="5:5" ht="13.45" x14ac:dyDescent="0.25">
      <c r="E467" s="223"/>
    </row>
    <row r="468" spans="5:5" ht="13.45" x14ac:dyDescent="0.25">
      <c r="E468" s="223"/>
    </row>
    <row r="469" spans="5:5" ht="13.45" x14ac:dyDescent="0.25">
      <c r="E469" s="223"/>
    </row>
    <row r="470" spans="5:5" ht="13.45" x14ac:dyDescent="0.25">
      <c r="E470" s="223"/>
    </row>
    <row r="471" spans="5:5" ht="13.45" x14ac:dyDescent="0.25">
      <c r="E471" s="223"/>
    </row>
    <row r="472" spans="5:5" ht="13.45" x14ac:dyDescent="0.25">
      <c r="E472" s="223"/>
    </row>
    <row r="473" spans="5:5" ht="13.45" x14ac:dyDescent="0.25">
      <c r="E473" s="223"/>
    </row>
    <row r="474" spans="5:5" ht="13.45" x14ac:dyDescent="0.25">
      <c r="E474" s="223"/>
    </row>
    <row r="475" spans="5:5" ht="13.45" x14ac:dyDescent="0.25">
      <c r="E475" s="223"/>
    </row>
    <row r="476" spans="5:5" ht="13.45" x14ac:dyDescent="0.25">
      <c r="E476" s="223"/>
    </row>
    <row r="477" spans="5:5" ht="13.45" x14ac:dyDescent="0.25">
      <c r="E477" s="223"/>
    </row>
    <row r="478" spans="5:5" ht="13.45" x14ac:dyDescent="0.25">
      <c r="E478" s="223"/>
    </row>
    <row r="479" spans="5:5" ht="13.45" x14ac:dyDescent="0.25">
      <c r="E479" s="223"/>
    </row>
    <row r="480" spans="5:5" ht="13.45" x14ac:dyDescent="0.25">
      <c r="E480" s="223"/>
    </row>
    <row r="481" spans="5:5" ht="13.45" x14ac:dyDescent="0.25">
      <c r="E481" s="223"/>
    </row>
    <row r="482" spans="5:5" ht="13.45" x14ac:dyDescent="0.25">
      <c r="E482" s="223"/>
    </row>
    <row r="483" spans="5:5" ht="13.45" x14ac:dyDescent="0.25">
      <c r="E483" s="223"/>
    </row>
    <row r="484" spans="5:5" ht="13.45" x14ac:dyDescent="0.25">
      <c r="E484" s="223"/>
    </row>
    <row r="485" spans="5:5" ht="13.45" x14ac:dyDescent="0.25">
      <c r="E485" s="223"/>
    </row>
    <row r="486" spans="5:5" ht="13.45" x14ac:dyDescent="0.25">
      <c r="E486" s="223"/>
    </row>
    <row r="487" spans="5:5" ht="13.45" x14ac:dyDescent="0.25">
      <c r="E487" s="223"/>
    </row>
    <row r="488" spans="5:5" ht="13.45" x14ac:dyDescent="0.25">
      <c r="E488" s="223"/>
    </row>
    <row r="489" spans="5:5" ht="13.45" x14ac:dyDescent="0.25">
      <c r="E489" s="223"/>
    </row>
    <row r="490" spans="5:5" ht="13.45" x14ac:dyDescent="0.25">
      <c r="E490" s="223"/>
    </row>
    <row r="491" spans="5:5" ht="13.45" x14ac:dyDescent="0.25">
      <c r="E491" s="223"/>
    </row>
    <row r="492" spans="5:5" ht="13.45" x14ac:dyDescent="0.25">
      <c r="E492" s="223"/>
    </row>
    <row r="493" spans="5:5" ht="13.45" x14ac:dyDescent="0.25">
      <c r="E493" s="223"/>
    </row>
    <row r="494" spans="5:5" ht="13.45" x14ac:dyDescent="0.25">
      <c r="E494" s="223"/>
    </row>
    <row r="495" spans="5:5" ht="13.45" x14ac:dyDescent="0.25">
      <c r="E495" s="223"/>
    </row>
    <row r="496" spans="5:5" ht="13.45" x14ac:dyDescent="0.25">
      <c r="E496" s="223"/>
    </row>
    <row r="497" spans="5:5" ht="13.45" x14ac:dyDescent="0.25">
      <c r="E497" s="223"/>
    </row>
    <row r="498" spans="5:5" ht="13.45" x14ac:dyDescent="0.25">
      <c r="E498" s="223"/>
    </row>
    <row r="499" spans="5:5" ht="13.45" x14ac:dyDescent="0.25">
      <c r="E499" s="223"/>
    </row>
    <row r="500" spans="5:5" ht="13.45" x14ac:dyDescent="0.25">
      <c r="E500" s="223"/>
    </row>
    <row r="501" spans="5:5" ht="13.45" x14ac:dyDescent="0.25">
      <c r="E501" s="223"/>
    </row>
    <row r="502" spans="5:5" ht="13.45" x14ac:dyDescent="0.25">
      <c r="E502" s="223"/>
    </row>
    <row r="503" spans="5:5" ht="13.45" x14ac:dyDescent="0.25">
      <c r="E503" s="223"/>
    </row>
    <row r="504" spans="5:5" ht="13.45" x14ac:dyDescent="0.25">
      <c r="E504" s="223"/>
    </row>
    <row r="505" spans="5:5" ht="13.45" x14ac:dyDescent="0.25">
      <c r="E505" s="223"/>
    </row>
    <row r="506" spans="5:5" ht="13.45" x14ac:dyDescent="0.25">
      <c r="E506" s="223"/>
    </row>
    <row r="507" spans="5:5" ht="13.45" x14ac:dyDescent="0.25">
      <c r="E507" s="223"/>
    </row>
    <row r="508" spans="5:5" ht="13.45" x14ac:dyDescent="0.25">
      <c r="E508" s="223"/>
    </row>
    <row r="509" spans="5:5" ht="13.45" x14ac:dyDescent="0.25">
      <c r="E509" s="223"/>
    </row>
    <row r="510" spans="5:5" ht="13.45" x14ac:dyDescent="0.25">
      <c r="E510" s="223"/>
    </row>
    <row r="511" spans="5:5" ht="13.45" x14ac:dyDescent="0.25">
      <c r="E511" s="223"/>
    </row>
    <row r="512" spans="5:5" ht="13.45" x14ac:dyDescent="0.25">
      <c r="E512" s="223"/>
    </row>
    <row r="513" spans="5:5" ht="13.45" x14ac:dyDescent="0.25">
      <c r="E513" s="223"/>
    </row>
    <row r="514" spans="5:5" ht="13.45" x14ac:dyDescent="0.25">
      <c r="E514" s="223"/>
    </row>
    <row r="515" spans="5:5" ht="13.45" x14ac:dyDescent="0.25">
      <c r="E515" s="223"/>
    </row>
    <row r="516" spans="5:5" ht="13.45" x14ac:dyDescent="0.25">
      <c r="E516" s="223"/>
    </row>
    <row r="517" spans="5:5" ht="13.45" x14ac:dyDescent="0.25">
      <c r="E517" s="223"/>
    </row>
    <row r="518" spans="5:5" ht="13.45" x14ac:dyDescent="0.25">
      <c r="E518" s="223"/>
    </row>
    <row r="519" spans="5:5" ht="13.45" x14ac:dyDescent="0.25">
      <c r="E519" s="223"/>
    </row>
    <row r="520" spans="5:5" ht="13.45" x14ac:dyDescent="0.25">
      <c r="E520" s="223"/>
    </row>
    <row r="521" spans="5:5" ht="13.45" x14ac:dyDescent="0.25">
      <c r="E521" s="223"/>
    </row>
    <row r="522" spans="5:5" ht="13.45" x14ac:dyDescent="0.25">
      <c r="E522" s="223"/>
    </row>
    <row r="523" spans="5:5" ht="13.45" x14ac:dyDescent="0.25">
      <c r="E523" s="223"/>
    </row>
    <row r="524" spans="5:5" ht="13.45" x14ac:dyDescent="0.25">
      <c r="E524" s="223"/>
    </row>
    <row r="525" spans="5:5" ht="13.45" x14ac:dyDescent="0.25">
      <c r="E525" s="223"/>
    </row>
    <row r="526" spans="5:5" ht="13.45" x14ac:dyDescent="0.25">
      <c r="E526" s="223"/>
    </row>
    <row r="527" spans="5:5" ht="13.45" x14ac:dyDescent="0.25">
      <c r="E527" s="223"/>
    </row>
    <row r="528" spans="5:5" ht="13.45" x14ac:dyDescent="0.25">
      <c r="E528" s="223"/>
    </row>
    <row r="529" spans="5:5" ht="13.45" x14ac:dyDescent="0.25">
      <c r="E529" s="223"/>
    </row>
    <row r="530" spans="5:5" ht="13.45" x14ac:dyDescent="0.25">
      <c r="E530" s="223"/>
    </row>
    <row r="531" spans="5:5" ht="13.45" x14ac:dyDescent="0.25">
      <c r="E531" s="223"/>
    </row>
    <row r="532" spans="5:5" ht="13.45" x14ac:dyDescent="0.25">
      <c r="E532" s="223"/>
    </row>
    <row r="533" spans="5:5" ht="13.45" x14ac:dyDescent="0.25">
      <c r="E533" s="223"/>
    </row>
    <row r="534" spans="5:5" ht="13.45" x14ac:dyDescent="0.25">
      <c r="E534" s="223"/>
    </row>
    <row r="535" spans="5:5" ht="13.45" x14ac:dyDescent="0.25">
      <c r="E535" s="223"/>
    </row>
    <row r="536" spans="5:5" ht="13.45" x14ac:dyDescent="0.25">
      <c r="E536" s="223"/>
    </row>
    <row r="537" spans="5:5" ht="13.45" x14ac:dyDescent="0.25">
      <c r="E537" s="223"/>
    </row>
    <row r="538" spans="5:5" ht="13.45" x14ac:dyDescent="0.25">
      <c r="E538" s="223"/>
    </row>
    <row r="539" spans="5:5" ht="13.45" x14ac:dyDescent="0.25">
      <c r="E539" s="223"/>
    </row>
    <row r="540" spans="5:5" ht="13.45" x14ac:dyDescent="0.25">
      <c r="E540" s="223"/>
    </row>
    <row r="541" spans="5:5" ht="13.45" x14ac:dyDescent="0.25">
      <c r="E541" s="223"/>
    </row>
    <row r="542" spans="5:5" ht="13.45" x14ac:dyDescent="0.25">
      <c r="E542" s="223"/>
    </row>
    <row r="543" spans="5:5" ht="13.45" x14ac:dyDescent="0.25">
      <c r="E543" s="223"/>
    </row>
    <row r="544" spans="5:5" ht="13.45" x14ac:dyDescent="0.25">
      <c r="E544" s="223"/>
    </row>
    <row r="545" spans="5:5" ht="13.45" x14ac:dyDescent="0.25">
      <c r="E545" s="223"/>
    </row>
    <row r="546" spans="5:5" ht="13.45" x14ac:dyDescent="0.25">
      <c r="E546" s="223"/>
    </row>
    <row r="547" spans="5:5" ht="13.45" x14ac:dyDescent="0.25">
      <c r="E547" s="223"/>
    </row>
    <row r="548" spans="5:5" ht="13.45" x14ac:dyDescent="0.25">
      <c r="E548" s="223"/>
    </row>
    <row r="549" spans="5:5" ht="13.45" x14ac:dyDescent="0.25">
      <c r="E549" s="223"/>
    </row>
    <row r="550" spans="5:5" ht="13.45" x14ac:dyDescent="0.25">
      <c r="E550" s="223"/>
    </row>
    <row r="551" spans="5:5" ht="13.45" x14ac:dyDescent="0.25">
      <c r="E551" s="223"/>
    </row>
    <row r="552" spans="5:5" ht="13.45" x14ac:dyDescent="0.25">
      <c r="E552" s="223"/>
    </row>
    <row r="553" spans="5:5" ht="13.45" x14ac:dyDescent="0.25">
      <c r="E553" s="223"/>
    </row>
    <row r="554" spans="5:5" ht="13.45" x14ac:dyDescent="0.25">
      <c r="E554" s="223"/>
    </row>
    <row r="555" spans="5:5" ht="13.45" x14ac:dyDescent="0.25">
      <c r="E555" s="223"/>
    </row>
    <row r="556" spans="5:5" ht="13.45" x14ac:dyDescent="0.25">
      <c r="E556" s="223"/>
    </row>
    <row r="557" spans="5:5" ht="13.45" x14ac:dyDescent="0.25">
      <c r="E557" s="223"/>
    </row>
    <row r="558" spans="5:5" ht="13.45" x14ac:dyDescent="0.25">
      <c r="E558" s="223"/>
    </row>
    <row r="559" spans="5:5" ht="13.45" x14ac:dyDescent="0.25">
      <c r="E559" s="223"/>
    </row>
    <row r="560" spans="5:5" ht="13.45" x14ac:dyDescent="0.25">
      <c r="E560" s="223"/>
    </row>
    <row r="561" spans="5:5" ht="13.45" x14ac:dyDescent="0.25">
      <c r="E561" s="223"/>
    </row>
    <row r="562" spans="5:5" ht="13.45" x14ac:dyDescent="0.25">
      <c r="E562" s="223"/>
    </row>
    <row r="563" spans="5:5" ht="13.45" x14ac:dyDescent="0.25">
      <c r="E563" s="223"/>
    </row>
    <row r="564" spans="5:5" ht="13.45" x14ac:dyDescent="0.25">
      <c r="E564" s="223"/>
    </row>
    <row r="565" spans="5:5" ht="13.45" x14ac:dyDescent="0.25">
      <c r="E565" s="223"/>
    </row>
    <row r="566" spans="5:5" ht="13.45" x14ac:dyDescent="0.25">
      <c r="E566" s="223"/>
    </row>
    <row r="567" spans="5:5" ht="13.45" x14ac:dyDescent="0.25">
      <c r="E567" s="223"/>
    </row>
    <row r="568" spans="5:5" ht="13.45" x14ac:dyDescent="0.25">
      <c r="E568" s="223"/>
    </row>
    <row r="569" spans="5:5" ht="13.45" x14ac:dyDescent="0.25">
      <c r="E569" s="223"/>
    </row>
    <row r="570" spans="5:5" ht="13.45" x14ac:dyDescent="0.25">
      <c r="E570" s="223"/>
    </row>
    <row r="571" spans="5:5" ht="13.45" x14ac:dyDescent="0.25">
      <c r="E571" s="223"/>
    </row>
    <row r="572" spans="5:5" ht="13.45" x14ac:dyDescent="0.25">
      <c r="E572" s="223"/>
    </row>
    <row r="573" spans="5:5" ht="13.45" x14ac:dyDescent="0.25">
      <c r="E573" s="223"/>
    </row>
    <row r="574" spans="5:5" ht="13.45" x14ac:dyDescent="0.25">
      <c r="E574" s="223"/>
    </row>
    <row r="575" spans="5:5" ht="13.45" x14ac:dyDescent="0.25">
      <c r="E575" s="223"/>
    </row>
    <row r="576" spans="5:5" ht="13.45" x14ac:dyDescent="0.25">
      <c r="E576" s="223"/>
    </row>
    <row r="577" spans="5:5" ht="13.45" x14ac:dyDescent="0.25">
      <c r="E577" s="223"/>
    </row>
    <row r="578" spans="5:5" ht="13.45" x14ac:dyDescent="0.25">
      <c r="E578" s="223"/>
    </row>
    <row r="579" spans="5:5" ht="13.45" x14ac:dyDescent="0.25">
      <c r="E579" s="223"/>
    </row>
    <row r="580" spans="5:5" ht="13.45" x14ac:dyDescent="0.25">
      <c r="E580" s="223"/>
    </row>
    <row r="581" spans="5:5" ht="13.45" x14ac:dyDescent="0.25">
      <c r="E581" s="223"/>
    </row>
    <row r="582" spans="5:5" ht="13.45" x14ac:dyDescent="0.25">
      <c r="E582" s="223"/>
    </row>
    <row r="583" spans="5:5" ht="13.45" x14ac:dyDescent="0.25">
      <c r="E583" s="223"/>
    </row>
    <row r="584" spans="5:5" ht="13.45" x14ac:dyDescent="0.25">
      <c r="E584" s="223"/>
    </row>
    <row r="585" spans="5:5" ht="13.45" x14ac:dyDescent="0.25">
      <c r="E585" s="223"/>
    </row>
    <row r="586" spans="5:5" ht="13.45" x14ac:dyDescent="0.25">
      <c r="E586" s="223"/>
    </row>
    <row r="587" spans="5:5" ht="13.45" x14ac:dyDescent="0.25">
      <c r="E587" s="223"/>
    </row>
    <row r="588" spans="5:5" ht="13.45" x14ac:dyDescent="0.25">
      <c r="E588" s="223"/>
    </row>
    <row r="589" spans="5:5" ht="13.45" x14ac:dyDescent="0.25">
      <c r="E589" s="223"/>
    </row>
    <row r="590" spans="5:5" ht="13.45" x14ac:dyDescent="0.25">
      <c r="E590" s="223"/>
    </row>
    <row r="591" spans="5:5" ht="13.45" x14ac:dyDescent="0.25">
      <c r="E591" s="223"/>
    </row>
    <row r="592" spans="5:5" ht="13.45" x14ac:dyDescent="0.25">
      <c r="E592" s="223"/>
    </row>
    <row r="593" spans="5:5" ht="13.45" x14ac:dyDescent="0.25">
      <c r="E593" s="223"/>
    </row>
    <row r="594" spans="5:5" ht="13.45" x14ac:dyDescent="0.25">
      <c r="E594" s="223"/>
    </row>
    <row r="595" spans="5:5" ht="13.45" x14ac:dyDescent="0.25">
      <c r="E595" s="223"/>
    </row>
    <row r="596" spans="5:5" ht="13.45" x14ac:dyDescent="0.25">
      <c r="E596" s="223"/>
    </row>
    <row r="597" spans="5:5" ht="13.45" x14ac:dyDescent="0.25">
      <c r="E597" s="223"/>
    </row>
    <row r="598" spans="5:5" ht="13.45" x14ac:dyDescent="0.25">
      <c r="E598" s="223"/>
    </row>
    <row r="599" spans="5:5" ht="13.45" x14ac:dyDescent="0.25">
      <c r="E599" s="223"/>
    </row>
    <row r="600" spans="5:5" ht="13.45" x14ac:dyDescent="0.25">
      <c r="E600" s="223"/>
    </row>
    <row r="601" spans="5:5" ht="13.45" x14ac:dyDescent="0.25">
      <c r="E601" s="223"/>
    </row>
    <row r="602" spans="5:5" ht="13.45" x14ac:dyDescent="0.25">
      <c r="E602" s="223"/>
    </row>
    <row r="603" spans="5:5" ht="13.45" x14ac:dyDescent="0.25">
      <c r="E603" s="223"/>
    </row>
    <row r="604" spans="5:5" ht="13.45" x14ac:dyDescent="0.25">
      <c r="E604" s="223"/>
    </row>
    <row r="605" spans="5:5" ht="13.45" x14ac:dyDescent="0.25">
      <c r="E605" s="223"/>
    </row>
    <row r="606" spans="5:5" ht="13.45" x14ac:dyDescent="0.25">
      <c r="E606" s="223"/>
    </row>
    <row r="607" spans="5:5" ht="13.45" x14ac:dyDescent="0.25">
      <c r="E607" s="223"/>
    </row>
    <row r="608" spans="5:5" ht="13.45" x14ac:dyDescent="0.25">
      <c r="E608" s="223"/>
    </row>
    <row r="609" spans="5:5" ht="13.45" x14ac:dyDescent="0.25">
      <c r="E609" s="223"/>
    </row>
    <row r="610" spans="5:5" ht="13.45" x14ac:dyDescent="0.25">
      <c r="E610" s="223"/>
    </row>
    <row r="611" spans="5:5" ht="13.45" x14ac:dyDescent="0.25">
      <c r="E611" s="223"/>
    </row>
    <row r="612" spans="5:5" ht="13.45" x14ac:dyDescent="0.25">
      <c r="E612" s="223"/>
    </row>
    <row r="613" spans="5:5" ht="13.45" x14ac:dyDescent="0.25">
      <c r="E613" s="223"/>
    </row>
    <row r="614" spans="5:5" ht="13.45" x14ac:dyDescent="0.25">
      <c r="E614" s="223"/>
    </row>
    <row r="615" spans="5:5" ht="13.45" x14ac:dyDescent="0.25">
      <c r="E615" s="223"/>
    </row>
    <row r="616" spans="5:5" ht="13.45" x14ac:dyDescent="0.25">
      <c r="E616" s="223"/>
    </row>
    <row r="617" spans="5:5" ht="13.45" x14ac:dyDescent="0.25">
      <c r="E617" s="223"/>
    </row>
    <row r="618" spans="5:5" ht="13.45" x14ac:dyDescent="0.25">
      <c r="E618" s="223"/>
    </row>
    <row r="619" spans="5:5" ht="13.45" x14ac:dyDescent="0.25">
      <c r="E619" s="223"/>
    </row>
    <row r="620" spans="5:5" ht="13.45" x14ac:dyDescent="0.25">
      <c r="E620" s="223"/>
    </row>
    <row r="621" spans="5:5" ht="13.45" x14ac:dyDescent="0.25">
      <c r="E621" s="223"/>
    </row>
    <row r="622" spans="5:5" ht="13.45" x14ac:dyDescent="0.25">
      <c r="E622" s="223"/>
    </row>
    <row r="623" spans="5:5" ht="13.45" x14ac:dyDescent="0.25">
      <c r="E623" s="223"/>
    </row>
    <row r="624" spans="5:5" ht="13.45" x14ac:dyDescent="0.25">
      <c r="E624" s="223"/>
    </row>
    <row r="625" spans="5:5" ht="13.45" x14ac:dyDescent="0.25">
      <c r="E625" s="223"/>
    </row>
    <row r="626" spans="5:5" ht="13.45" x14ac:dyDescent="0.25">
      <c r="E626" s="223"/>
    </row>
    <row r="627" spans="5:5" ht="13.45" x14ac:dyDescent="0.25">
      <c r="E627" s="223"/>
    </row>
    <row r="628" spans="5:5" ht="13.45" x14ac:dyDescent="0.25">
      <c r="E628" s="223"/>
    </row>
    <row r="629" spans="5:5" ht="13.45" x14ac:dyDescent="0.25">
      <c r="E629" s="223"/>
    </row>
    <row r="630" spans="5:5" ht="13.45" x14ac:dyDescent="0.25">
      <c r="E630" s="223"/>
    </row>
    <row r="631" spans="5:5" ht="13.45" x14ac:dyDescent="0.25">
      <c r="E631" s="223"/>
    </row>
    <row r="632" spans="5:5" ht="13.45" x14ac:dyDescent="0.25">
      <c r="E632" s="223"/>
    </row>
    <row r="633" spans="5:5" ht="13.45" x14ac:dyDescent="0.25">
      <c r="E633" s="223"/>
    </row>
    <row r="634" spans="5:5" ht="13.45" x14ac:dyDescent="0.25">
      <c r="E634" s="223"/>
    </row>
    <row r="635" spans="5:5" ht="13.45" x14ac:dyDescent="0.25">
      <c r="E635" s="223"/>
    </row>
    <row r="636" spans="5:5" ht="13.45" x14ac:dyDescent="0.25">
      <c r="E636" s="223"/>
    </row>
    <row r="637" spans="5:5" ht="13.45" x14ac:dyDescent="0.25">
      <c r="E637" s="223"/>
    </row>
    <row r="638" spans="5:5" ht="13.45" x14ac:dyDescent="0.25">
      <c r="E638" s="223"/>
    </row>
    <row r="639" spans="5:5" ht="13.45" x14ac:dyDescent="0.25">
      <c r="E639" s="223"/>
    </row>
    <row r="640" spans="5:5" ht="13.45" x14ac:dyDescent="0.25">
      <c r="E640" s="223"/>
    </row>
    <row r="641" spans="5:5" ht="13.45" x14ac:dyDescent="0.25">
      <c r="E641" s="223"/>
    </row>
    <row r="642" spans="5:5" ht="13.45" x14ac:dyDescent="0.25">
      <c r="E642" s="223"/>
    </row>
    <row r="643" spans="5:5" ht="13.45" x14ac:dyDescent="0.25">
      <c r="E643" s="223"/>
    </row>
    <row r="644" spans="5:5" ht="13.45" x14ac:dyDescent="0.25">
      <c r="E644" s="223"/>
    </row>
    <row r="645" spans="5:5" ht="13.45" x14ac:dyDescent="0.25">
      <c r="E645" s="223"/>
    </row>
    <row r="646" spans="5:5" ht="13.45" x14ac:dyDescent="0.25">
      <c r="E646" s="223"/>
    </row>
    <row r="647" spans="5:5" ht="13.45" x14ac:dyDescent="0.25">
      <c r="E647" s="223"/>
    </row>
    <row r="648" spans="5:5" ht="13.45" x14ac:dyDescent="0.25">
      <c r="E648" s="223"/>
    </row>
    <row r="649" spans="5:5" ht="13.45" x14ac:dyDescent="0.25">
      <c r="E649" s="223"/>
    </row>
    <row r="650" spans="5:5" ht="13.45" x14ac:dyDescent="0.25">
      <c r="E650" s="223"/>
    </row>
    <row r="651" spans="5:5" ht="13.45" x14ac:dyDescent="0.25">
      <c r="E651" s="223"/>
    </row>
    <row r="652" spans="5:5" ht="13.45" x14ac:dyDescent="0.25">
      <c r="E652" s="223"/>
    </row>
    <row r="653" spans="5:5" ht="13.45" x14ac:dyDescent="0.25">
      <c r="E653" s="223"/>
    </row>
    <row r="654" spans="5:5" ht="13.45" x14ac:dyDescent="0.25">
      <c r="E654" s="223"/>
    </row>
    <row r="655" spans="5:5" ht="13.45" x14ac:dyDescent="0.25">
      <c r="E655" s="223"/>
    </row>
    <row r="656" spans="5:5" ht="13.45" x14ac:dyDescent="0.25">
      <c r="E656" s="223"/>
    </row>
    <row r="657" spans="5:5" ht="13.45" x14ac:dyDescent="0.25">
      <c r="E657" s="223"/>
    </row>
    <row r="658" spans="5:5" ht="13.45" x14ac:dyDescent="0.25">
      <c r="E658" s="223"/>
    </row>
    <row r="659" spans="5:5" ht="13.45" x14ac:dyDescent="0.25">
      <c r="E659" s="223"/>
    </row>
    <row r="660" spans="5:5" ht="13.45" x14ac:dyDescent="0.25">
      <c r="E660" s="223"/>
    </row>
    <row r="661" spans="5:5" ht="13.45" x14ac:dyDescent="0.25">
      <c r="E661" s="223"/>
    </row>
    <row r="662" spans="5:5" ht="13.45" x14ac:dyDescent="0.25">
      <c r="E662" s="223"/>
    </row>
    <row r="663" spans="5:5" ht="13.45" x14ac:dyDescent="0.25">
      <c r="E663" s="223"/>
    </row>
    <row r="664" spans="5:5" ht="13.45" x14ac:dyDescent="0.25">
      <c r="E664" s="223"/>
    </row>
    <row r="665" spans="5:5" ht="13.45" x14ac:dyDescent="0.25">
      <c r="E665" s="223"/>
    </row>
    <row r="666" spans="5:5" ht="13.45" x14ac:dyDescent="0.25">
      <c r="E666" s="223"/>
    </row>
    <row r="667" spans="5:5" ht="13.45" x14ac:dyDescent="0.25">
      <c r="E667" s="223"/>
    </row>
    <row r="668" spans="5:5" ht="13.45" x14ac:dyDescent="0.25">
      <c r="E668" s="223"/>
    </row>
    <row r="669" spans="5:5" ht="13.45" x14ac:dyDescent="0.25">
      <c r="E669" s="223"/>
    </row>
    <row r="670" spans="5:5" ht="13.45" x14ac:dyDescent="0.25">
      <c r="E670" s="223"/>
    </row>
    <row r="671" spans="5:5" ht="13.45" x14ac:dyDescent="0.25">
      <c r="E671" s="223"/>
    </row>
    <row r="672" spans="5:5" ht="13.45" x14ac:dyDescent="0.25">
      <c r="E672" s="223"/>
    </row>
    <row r="673" spans="5:5" ht="13.45" x14ac:dyDescent="0.25">
      <c r="E673" s="223"/>
    </row>
    <row r="674" spans="5:5" ht="13.45" x14ac:dyDescent="0.25">
      <c r="E674" s="223"/>
    </row>
    <row r="675" spans="5:5" ht="13.45" x14ac:dyDescent="0.25">
      <c r="E675" s="223"/>
    </row>
    <row r="676" spans="5:5" ht="13.45" x14ac:dyDescent="0.25">
      <c r="E676" s="223"/>
    </row>
    <row r="677" spans="5:5" ht="13.45" x14ac:dyDescent="0.25">
      <c r="E677" s="223"/>
    </row>
    <row r="678" spans="5:5" ht="13.45" x14ac:dyDescent="0.25">
      <c r="E678" s="223"/>
    </row>
    <row r="679" spans="5:5" ht="13.45" x14ac:dyDescent="0.25">
      <c r="E679" s="223"/>
    </row>
    <row r="680" spans="5:5" ht="13.45" x14ac:dyDescent="0.25">
      <c r="E680" s="223"/>
    </row>
    <row r="681" spans="5:5" ht="13.45" x14ac:dyDescent="0.25">
      <c r="E681" s="223"/>
    </row>
    <row r="682" spans="5:5" ht="13.45" x14ac:dyDescent="0.25">
      <c r="E682" s="223"/>
    </row>
    <row r="683" spans="5:5" ht="13.45" x14ac:dyDescent="0.25">
      <c r="E683" s="223"/>
    </row>
    <row r="684" spans="5:5" ht="13.45" x14ac:dyDescent="0.25">
      <c r="E684" s="223"/>
    </row>
    <row r="685" spans="5:5" ht="13.45" x14ac:dyDescent="0.25">
      <c r="E685" s="223"/>
    </row>
    <row r="686" spans="5:5" ht="13.45" x14ac:dyDescent="0.25">
      <c r="E686" s="223"/>
    </row>
    <row r="687" spans="5:5" ht="13.45" x14ac:dyDescent="0.25">
      <c r="E687" s="223"/>
    </row>
    <row r="688" spans="5:5" ht="13.45" x14ac:dyDescent="0.25">
      <c r="E688" s="223"/>
    </row>
    <row r="689" spans="5:5" ht="13.45" x14ac:dyDescent="0.25">
      <c r="E689" s="223"/>
    </row>
    <row r="690" spans="5:5" ht="13.45" x14ac:dyDescent="0.25">
      <c r="E690" s="223"/>
    </row>
    <row r="691" spans="5:5" ht="13.45" x14ac:dyDescent="0.25">
      <c r="E691" s="223"/>
    </row>
    <row r="692" spans="5:5" ht="13.45" x14ac:dyDescent="0.25">
      <c r="E692" s="223"/>
    </row>
    <row r="693" spans="5:5" ht="13.45" x14ac:dyDescent="0.25">
      <c r="E693" s="223"/>
    </row>
    <row r="694" spans="5:5" ht="13.45" x14ac:dyDescent="0.25">
      <c r="E694" s="223"/>
    </row>
    <row r="695" spans="5:5" ht="13.45" x14ac:dyDescent="0.25">
      <c r="E695" s="223"/>
    </row>
    <row r="696" spans="5:5" ht="13.45" x14ac:dyDescent="0.25">
      <c r="E696" s="223"/>
    </row>
    <row r="697" spans="5:5" ht="13.45" x14ac:dyDescent="0.25">
      <c r="E697" s="223"/>
    </row>
    <row r="698" spans="5:5" ht="13.45" x14ac:dyDescent="0.25">
      <c r="E698" s="223"/>
    </row>
    <row r="699" spans="5:5" ht="13.45" x14ac:dyDescent="0.25">
      <c r="E699" s="223"/>
    </row>
    <row r="700" spans="5:5" ht="13.45" x14ac:dyDescent="0.25">
      <c r="E700" s="223"/>
    </row>
    <row r="701" spans="5:5" ht="13.45" x14ac:dyDescent="0.25">
      <c r="E701" s="223"/>
    </row>
    <row r="702" spans="5:5" ht="13.45" x14ac:dyDescent="0.25">
      <c r="E702" s="223"/>
    </row>
    <row r="703" spans="5:5" ht="13.45" x14ac:dyDescent="0.25">
      <c r="E703" s="223"/>
    </row>
    <row r="704" spans="5:5" ht="13.45" x14ac:dyDescent="0.25">
      <c r="E704" s="223"/>
    </row>
    <row r="705" spans="5:5" ht="13.45" x14ac:dyDescent="0.25">
      <c r="E705" s="223"/>
    </row>
    <row r="706" spans="5:5" ht="13.45" x14ac:dyDescent="0.25">
      <c r="E706" s="223"/>
    </row>
    <row r="707" spans="5:5" ht="13.45" x14ac:dyDescent="0.25">
      <c r="E707" s="223"/>
    </row>
    <row r="708" spans="5:5" ht="13.45" x14ac:dyDescent="0.25">
      <c r="E708" s="223"/>
    </row>
    <row r="709" spans="5:5" ht="13.45" x14ac:dyDescent="0.25">
      <c r="E709" s="223"/>
    </row>
    <row r="710" spans="5:5" ht="13.45" x14ac:dyDescent="0.25">
      <c r="E710" s="223"/>
    </row>
    <row r="711" spans="5:5" ht="13.45" x14ac:dyDescent="0.25">
      <c r="E711" s="223"/>
    </row>
    <row r="712" spans="5:5" ht="13.45" x14ac:dyDescent="0.25">
      <c r="E712" s="223"/>
    </row>
    <row r="713" spans="5:5" ht="13.45" x14ac:dyDescent="0.25">
      <c r="E713" s="223"/>
    </row>
    <row r="714" spans="5:5" ht="13.45" x14ac:dyDescent="0.25">
      <c r="E714" s="223"/>
    </row>
    <row r="715" spans="5:5" ht="13.45" x14ac:dyDescent="0.25">
      <c r="E715" s="223"/>
    </row>
    <row r="716" spans="5:5" ht="13.45" x14ac:dyDescent="0.25">
      <c r="E716" s="223"/>
    </row>
    <row r="717" spans="5:5" ht="13.45" x14ac:dyDescent="0.25">
      <c r="E717" s="223"/>
    </row>
    <row r="718" spans="5:5" ht="13.45" x14ac:dyDescent="0.25">
      <c r="E718" s="223"/>
    </row>
    <row r="719" spans="5:5" ht="13.45" x14ac:dyDescent="0.25">
      <c r="E719" s="223"/>
    </row>
    <row r="720" spans="5:5" ht="13.45" x14ac:dyDescent="0.25">
      <c r="E720" s="223"/>
    </row>
    <row r="721" spans="5:5" ht="13.45" x14ac:dyDescent="0.25">
      <c r="E721" s="223"/>
    </row>
    <row r="722" spans="5:5" ht="13.45" x14ac:dyDescent="0.25">
      <c r="E722" s="223"/>
    </row>
    <row r="723" spans="5:5" ht="13.45" x14ac:dyDescent="0.25">
      <c r="E723" s="223"/>
    </row>
    <row r="724" spans="5:5" ht="13.45" x14ac:dyDescent="0.25">
      <c r="E724" s="223"/>
    </row>
    <row r="725" spans="5:5" ht="13.45" x14ac:dyDescent="0.25">
      <c r="E725" s="223"/>
    </row>
    <row r="726" spans="5:5" ht="13.45" x14ac:dyDescent="0.25">
      <c r="E726" s="223"/>
    </row>
    <row r="727" spans="5:5" ht="13.45" x14ac:dyDescent="0.25">
      <c r="E727" s="223"/>
    </row>
    <row r="728" spans="5:5" ht="13.45" x14ac:dyDescent="0.25">
      <c r="E728" s="223"/>
    </row>
    <row r="729" spans="5:5" ht="13.45" x14ac:dyDescent="0.25">
      <c r="E729" s="223"/>
    </row>
    <row r="730" spans="5:5" ht="13.45" x14ac:dyDescent="0.25">
      <c r="E730" s="223"/>
    </row>
    <row r="731" spans="5:5" ht="13.45" x14ac:dyDescent="0.25">
      <c r="E731" s="223"/>
    </row>
    <row r="732" spans="5:5" ht="13.45" x14ac:dyDescent="0.25">
      <c r="E732" s="223"/>
    </row>
    <row r="733" spans="5:5" ht="13.45" x14ac:dyDescent="0.25">
      <c r="E733" s="223"/>
    </row>
    <row r="734" spans="5:5" ht="13.45" x14ac:dyDescent="0.25">
      <c r="E734" s="223"/>
    </row>
    <row r="735" spans="5:5" ht="13.45" x14ac:dyDescent="0.25">
      <c r="E735" s="223"/>
    </row>
    <row r="736" spans="5:5" ht="13.45" x14ac:dyDescent="0.25">
      <c r="E736" s="223"/>
    </row>
    <row r="737" spans="5:5" ht="13.45" x14ac:dyDescent="0.25">
      <c r="E737" s="223"/>
    </row>
    <row r="738" spans="5:5" ht="13.45" x14ac:dyDescent="0.25">
      <c r="E738" s="223"/>
    </row>
    <row r="739" spans="5:5" ht="13.45" x14ac:dyDescent="0.25">
      <c r="E739" s="223"/>
    </row>
    <row r="740" spans="5:5" ht="13.45" x14ac:dyDescent="0.25">
      <c r="E740" s="223"/>
    </row>
    <row r="741" spans="5:5" ht="13.45" x14ac:dyDescent="0.25">
      <c r="E741" s="223"/>
    </row>
    <row r="742" spans="5:5" ht="13.45" x14ac:dyDescent="0.25">
      <c r="E742" s="223"/>
    </row>
    <row r="743" spans="5:5" ht="13.45" x14ac:dyDescent="0.25">
      <c r="E743" s="223"/>
    </row>
    <row r="744" spans="5:5" ht="13.45" x14ac:dyDescent="0.25">
      <c r="E744" s="223"/>
    </row>
    <row r="745" spans="5:5" ht="13.45" x14ac:dyDescent="0.25">
      <c r="E745" s="223"/>
    </row>
    <row r="746" spans="5:5" ht="13.45" x14ac:dyDescent="0.25">
      <c r="E746" s="223"/>
    </row>
    <row r="747" spans="5:5" ht="13.45" x14ac:dyDescent="0.25">
      <c r="E747" s="223"/>
    </row>
    <row r="748" spans="5:5" ht="13.45" x14ac:dyDescent="0.25">
      <c r="E748" s="223"/>
    </row>
    <row r="749" spans="5:5" ht="13.45" x14ac:dyDescent="0.25">
      <c r="E749" s="223"/>
    </row>
    <row r="750" spans="5:5" ht="13.45" x14ac:dyDescent="0.25">
      <c r="E750" s="223"/>
    </row>
    <row r="751" spans="5:5" ht="13.45" x14ac:dyDescent="0.25">
      <c r="E751" s="223"/>
    </row>
    <row r="752" spans="5:5" ht="13.45" x14ac:dyDescent="0.25">
      <c r="E752" s="223"/>
    </row>
    <row r="753" spans="5:5" ht="13.45" x14ac:dyDescent="0.25">
      <c r="E753" s="223"/>
    </row>
    <row r="754" spans="5:5" ht="13.45" x14ac:dyDescent="0.25">
      <c r="E754" s="223"/>
    </row>
    <row r="755" spans="5:5" ht="13.45" x14ac:dyDescent="0.25">
      <c r="E755" s="223"/>
    </row>
    <row r="756" spans="5:5" ht="13.45" x14ac:dyDescent="0.25">
      <c r="E756" s="223"/>
    </row>
    <row r="757" spans="5:5" ht="13.45" x14ac:dyDescent="0.25">
      <c r="E757" s="223"/>
    </row>
    <row r="758" spans="5:5" ht="13.45" x14ac:dyDescent="0.25">
      <c r="E758" s="223"/>
    </row>
    <row r="759" spans="5:5" ht="13.45" x14ac:dyDescent="0.25">
      <c r="E759" s="223"/>
    </row>
    <row r="760" spans="5:5" ht="13.45" x14ac:dyDescent="0.25">
      <c r="E760" s="223"/>
    </row>
    <row r="761" spans="5:5" ht="13.45" x14ac:dyDescent="0.25">
      <c r="E761" s="223"/>
    </row>
    <row r="762" spans="5:5" ht="13.45" x14ac:dyDescent="0.25">
      <c r="E762" s="223"/>
    </row>
    <row r="763" spans="5:5" ht="13.45" x14ac:dyDescent="0.25">
      <c r="E763" s="223"/>
    </row>
    <row r="764" spans="5:5" ht="13.45" x14ac:dyDescent="0.25">
      <c r="E764" s="223"/>
    </row>
    <row r="765" spans="5:5" ht="13.45" x14ac:dyDescent="0.25">
      <c r="E765" s="223"/>
    </row>
    <row r="766" spans="5:5" ht="13.45" x14ac:dyDescent="0.25">
      <c r="E766" s="223"/>
    </row>
    <row r="767" spans="5:5" ht="13.45" x14ac:dyDescent="0.25">
      <c r="E767" s="223"/>
    </row>
    <row r="768" spans="5:5" ht="13.45" x14ac:dyDescent="0.25">
      <c r="E768" s="223"/>
    </row>
    <row r="769" spans="5:5" ht="13.45" x14ac:dyDescent="0.25">
      <c r="E769" s="223"/>
    </row>
    <row r="770" spans="5:5" ht="13.45" x14ac:dyDescent="0.25">
      <c r="E770" s="223"/>
    </row>
    <row r="771" spans="5:5" ht="13.45" x14ac:dyDescent="0.25">
      <c r="E771" s="223"/>
    </row>
    <row r="772" spans="5:5" ht="13.45" x14ac:dyDescent="0.25">
      <c r="E772" s="223"/>
    </row>
    <row r="773" spans="5:5" ht="13.45" x14ac:dyDescent="0.25">
      <c r="E773" s="223"/>
    </row>
    <row r="774" spans="5:5" ht="13.45" x14ac:dyDescent="0.25">
      <c r="E774" s="223"/>
    </row>
    <row r="775" spans="5:5" ht="13.45" x14ac:dyDescent="0.25">
      <c r="E775" s="223"/>
    </row>
    <row r="776" spans="5:5" ht="13.45" x14ac:dyDescent="0.25">
      <c r="E776" s="223"/>
    </row>
    <row r="777" spans="5:5" ht="13.45" x14ac:dyDescent="0.25">
      <c r="E777" s="223"/>
    </row>
    <row r="778" spans="5:5" ht="13.45" x14ac:dyDescent="0.25">
      <c r="E778" s="223"/>
    </row>
    <row r="779" spans="5:5" ht="13.45" x14ac:dyDescent="0.25">
      <c r="E779" s="223"/>
    </row>
    <row r="780" spans="5:5" ht="13.45" x14ac:dyDescent="0.25">
      <c r="E780" s="223"/>
    </row>
    <row r="781" spans="5:5" ht="13.45" x14ac:dyDescent="0.25">
      <c r="E781" s="223"/>
    </row>
    <row r="782" spans="5:5" ht="13.45" x14ac:dyDescent="0.25">
      <c r="E782" s="223"/>
    </row>
    <row r="783" spans="5:5" ht="13.45" x14ac:dyDescent="0.25">
      <c r="E783" s="223"/>
    </row>
    <row r="784" spans="5:5" ht="13.45" x14ac:dyDescent="0.25">
      <c r="E784" s="223"/>
    </row>
    <row r="785" spans="5:5" ht="13.45" x14ac:dyDescent="0.25">
      <c r="E785" s="223"/>
    </row>
    <row r="786" spans="5:5" ht="13.45" x14ac:dyDescent="0.25">
      <c r="E786" s="223"/>
    </row>
    <row r="787" spans="5:5" ht="13.45" x14ac:dyDescent="0.25">
      <c r="E787" s="223"/>
    </row>
    <row r="788" spans="5:5" ht="13.45" x14ac:dyDescent="0.25">
      <c r="E788" s="223"/>
    </row>
    <row r="789" spans="5:5" ht="13.45" x14ac:dyDescent="0.25">
      <c r="E789" s="223"/>
    </row>
    <row r="790" spans="5:5" ht="13.45" x14ac:dyDescent="0.25">
      <c r="E790" s="223"/>
    </row>
    <row r="791" spans="5:5" ht="13.45" x14ac:dyDescent="0.25">
      <c r="E791" s="223"/>
    </row>
    <row r="792" spans="5:5" ht="13.45" x14ac:dyDescent="0.25">
      <c r="E792" s="223"/>
    </row>
    <row r="793" spans="5:5" ht="13.45" x14ac:dyDescent="0.25">
      <c r="E793" s="223"/>
    </row>
    <row r="794" spans="5:5" ht="13.45" x14ac:dyDescent="0.25">
      <c r="E794" s="223"/>
    </row>
    <row r="795" spans="5:5" ht="13.45" x14ac:dyDescent="0.25">
      <c r="E795" s="223"/>
    </row>
    <row r="796" spans="5:5" ht="13.45" x14ac:dyDescent="0.25">
      <c r="E796" s="223"/>
    </row>
    <row r="797" spans="5:5" ht="13.45" x14ac:dyDescent="0.25">
      <c r="E797" s="223"/>
    </row>
    <row r="798" spans="5:5" ht="13.45" x14ac:dyDescent="0.25">
      <c r="E798" s="223"/>
    </row>
    <row r="799" spans="5:5" ht="13.45" x14ac:dyDescent="0.25">
      <c r="E799" s="223"/>
    </row>
    <row r="800" spans="5:5" ht="13.45" x14ac:dyDescent="0.25">
      <c r="E800" s="223"/>
    </row>
    <row r="801" spans="5:5" ht="13.45" x14ac:dyDescent="0.25">
      <c r="E801" s="223"/>
    </row>
    <row r="802" spans="5:5" ht="13.45" x14ac:dyDescent="0.25">
      <c r="E802" s="223"/>
    </row>
    <row r="803" spans="5:5" ht="13.45" x14ac:dyDescent="0.25">
      <c r="E803" s="223"/>
    </row>
    <row r="804" spans="5:5" ht="13.45" x14ac:dyDescent="0.25">
      <c r="E804" s="223"/>
    </row>
    <row r="805" spans="5:5" ht="13.45" x14ac:dyDescent="0.25">
      <c r="E805" s="223"/>
    </row>
    <row r="806" spans="5:5" ht="13.45" x14ac:dyDescent="0.25">
      <c r="E806" s="223"/>
    </row>
    <row r="807" spans="5:5" ht="13.45" x14ac:dyDescent="0.25">
      <c r="E807" s="223"/>
    </row>
    <row r="808" spans="5:5" ht="13.45" x14ac:dyDescent="0.25">
      <c r="E808" s="223"/>
    </row>
    <row r="809" spans="5:5" ht="13.45" x14ac:dyDescent="0.25">
      <c r="E809" s="223"/>
    </row>
    <row r="810" spans="5:5" ht="13.45" x14ac:dyDescent="0.25">
      <c r="E810" s="223"/>
    </row>
    <row r="811" spans="5:5" ht="13.45" x14ac:dyDescent="0.25">
      <c r="E811" s="223"/>
    </row>
    <row r="812" spans="5:5" ht="13.45" x14ac:dyDescent="0.25">
      <c r="E812" s="223"/>
    </row>
    <row r="813" spans="5:5" ht="13.45" x14ac:dyDescent="0.25">
      <c r="E813" s="223"/>
    </row>
    <row r="814" spans="5:5" ht="13.45" x14ac:dyDescent="0.25">
      <c r="E814" s="223"/>
    </row>
    <row r="815" spans="5:5" ht="13.45" x14ac:dyDescent="0.25">
      <c r="E815" s="223"/>
    </row>
    <row r="816" spans="5:5" ht="13.45" x14ac:dyDescent="0.25">
      <c r="E816" s="223"/>
    </row>
    <row r="817" spans="5:5" ht="13.45" x14ac:dyDescent="0.25">
      <c r="E817" s="223"/>
    </row>
    <row r="818" spans="5:5" ht="13.45" x14ac:dyDescent="0.25">
      <c r="E818" s="223"/>
    </row>
    <row r="819" spans="5:5" ht="13.45" x14ac:dyDescent="0.25">
      <c r="E819" s="223"/>
    </row>
    <row r="820" spans="5:5" ht="13.45" x14ac:dyDescent="0.25">
      <c r="E820" s="223"/>
    </row>
    <row r="821" spans="5:5" ht="13.45" x14ac:dyDescent="0.25">
      <c r="E821" s="223"/>
    </row>
    <row r="822" spans="5:5" ht="13.45" x14ac:dyDescent="0.25">
      <c r="E822" s="223"/>
    </row>
    <row r="823" spans="5:5" ht="13.45" x14ac:dyDescent="0.25">
      <c r="E823" s="223"/>
    </row>
    <row r="824" spans="5:5" ht="13.45" x14ac:dyDescent="0.25">
      <c r="E824" s="223"/>
    </row>
    <row r="825" spans="5:5" ht="13.45" x14ac:dyDescent="0.25">
      <c r="E825" s="223"/>
    </row>
    <row r="826" spans="5:5" ht="13.45" x14ac:dyDescent="0.25">
      <c r="E826" s="223"/>
    </row>
    <row r="827" spans="5:5" ht="13.45" x14ac:dyDescent="0.25">
      <c r="E827" s="223"/>
    </row>
    <row r="828" spans="5:5" ht="13.45" x14ac:dyDescent="0.25">
      <c r="E828" s="223"/>
    </row>
    <row r="829" spans="5:5" ht="13.45" x14ac:dyDescent="0.25">
      <c r="E829" s="223"/>
    </row>
    <row r="830" spans="5:5" ht="13.45" x14ac:dyDescent="0.25">
      <c r="E830" s="223"/>
    </row>
    <row r="831" spans="5:5" ht="13.45" x14ac:dyDescent="0.25">
      <c r="E831" s="223"/>
    </row>
    <row r="832" spans="5:5" ht="13.45" x14ac:dyDescent="0.25">
      <c r="E832" s="223"/>
    </row>
    <row r="833" spans="5:5" ht="13.45" x14ac:dyDescent="0.25">
      <c r="E833" s="223"/>
    </row>
    <row r="834" spans="5:5" ht="13.45" x14ac:dyDescent="0.25">
      <c r="E834" s="223"/>
    </row>
    <row r="835" spans="5:5" ht="13.45" x14ac:dyDescent="0.25">
      <c r="E835" s="223"/>
    </row>
    <row r="836" spans="5:5" ht="13.45" x14ac:dyDescent="0.25">
      <c r="E836" s="223"/>
    </row>
    <row r="837" spans="5:5" ht="13.45" x14ac:dyDescent="0.25">
      <c r="E837" s="223"/>
    </row>
    <row r="838" spans="5:5" ht="13.45" x14ac:dyDescent="0.25">
      <c r="E838" s="223"/>
    </row>
    <row r="839" spans="5:5" ht="13.45" x14ac:dyDescent="0.25">
      <c r="E839" s="223"/>
    </row>
    <row r="840" spans="5:5" ht="13.45" x14ac:dyDescent="0.25">
      <c r="E840" s="223"/>
    </row>
    <row r="841" spans="5:5" ht="13.45" x14ac:dyDescent="0.25">
      <c r="E841" s="223"/>
    </row>
    <row r="842" spans="5:5" ht="13.45" x14ac:dyDescent="0.25">
      <c r="E842" s="223"/>
    </row>
    <row r="843" spans="5:5" ht="13.45" x14ac:dyDescent="0.25">
      <c r="E843" s="223"/>
    </row>
    <row r="844" spans="5:5" ht="13.45" x14ac:dyDescent="0.25">
      <c r="E844" s="223"/>
    </row>
    <row r="845" spans="5:5" ht="13.45" x14ac:dyDescent="0.25">
      <c r="E845" s="223"/>
    </row>
    <row r="846" spans="5:5" ht="13.45" x14ac:dyDescent="0.25">
      <c r="E846" s="223"/>
    </row>
    <row r="847" spans="5:5" ht="13.45" x14ac:dyDescent="0.25">
      <c r="E847" s="223"/>
    </row>
    <row r="848" spans="5:5" ht="13.45" x14ac:dyDescent="0.25">
      <c r="E848" s="223"/>
    </row>
    <row r="849" spans="5:5" ht="13.45" x14ac:dyDescent="0.25">
      <c r="E849" s="223"/>
    </row>
    <row r="850" spans="5:5" ht="13.45" x14ac:dyDescent="0.25">
      <c r="E850" s="223"/>
    </row>
    <row r="851" spans="5:5" ht="13.45" x14ac:dyDescent="0.25">
      <c r="E851" s="223"/>
    </row>
    <row r="852" spans="5:5" ht="13.45" x14ac:dyDescent="0.25">
      <c r="E852" s="223"/>
    </row>
    <row r="853" spans="5:5" ht="13.45" x14ac:dyDescent="0.25">
      <c r="E853" s="223"/>
    </row>
    <row r="854" spans="5:5" ht="13.45" x14ac:dyDescent="0.25">
      <c r="E854" s="223"/>
    </row>
    <row r="855" spans="5:5" ht="13.45" x14ac:dyDescent="0.25">
      <c r="E855" s="223"/>
    </row>
    <row r="856" spans="5:5" ht="13.45" x14ac:dyDescent="0.25">
      <c r="E856" s="223"/>
    </row>
    <row r="857" spans="5:5" ht="13.45" x14ac:dyDescent="0.25">
      <c r="E857" s="223"/>
    </row>
    <row r="858" spans="5:5" ht="13.45" x14ac:dyDescent="0.25">
      <c r="E858" s="223"/>
    </row>
    <row r="859" spans="5:5" ht="13.45" x14ac:dyDescent="0.25">
      <c r="E859" s="223"/>
    </row>
    <row r="860" spans="5:5" ht="13.45" x14ac:dyDescent="0.25">
      <c r="E860" s="223"/>
    </row>
    <row r="861" spans="5:5" ht="13.45" x14ac:dyDescent="0.25">
      <c r="E861" s="223"/>
    </row>
    <row r="862" spans="5:5" ht="13.45" x14ac:dyDescent="0.25">
      <c r="E862" s="223"/>
    </row>
    <row r="863" spans="5:5" ht="13.45" x14ac:dyDescent="0.25">
      <c r="E863" s="223"/>
    </row>
    <row r="864" spans="5:5" ht="13.45" x14ac:dyDescent="0.25">
      <c r="E864" s="223"/>
    </row>
    <row r="865" spans="5:5" ht="13.45" x14ac:dyDescent="0.25">
      <c r="E865" s="223"/>
    </row>
    <row r="866" spans="5:5" ht="13.45" x14ac:dyDescent="0.25">
      <c r="E866" s="223"/>
    </row>
    <row r="867" spans="5:5" ht="13.45" x14ac:dyDescent="0.25">
      <c r="E867" s="223"/>
    </row>
    <row r="868" spans="5:5" ht="13.45" x14ac:dyDescent="0.25">
      <c r="E868" s="223"/>
    </row>
    <row r="869" spans="5:5" ht="13.45" x14ac:dyDescent="0.25">
      <c r="E869" s="223"/>
    </row>
    <row r="870" spans="5:5" ht="13.45" x14ac:dyDescent="0.25">
      <c r="E870" s="223"/>
    </row>
    <row r="871" spans="5:5" ht="13.45" x14ac:dyDescent="0.25">
      <c r="E871" s="223"/>
    </row>
    <row r="872" spans="5:5" ht="13.45" x14ac:dyDescent="0.25">
      <c r="E872" s="223"/>
    </row>
    <row r="873" spans="5:5" ht="13.45" x14ac:dyDescent="0.25">
      <c r="E873" s="223"/>
    </row>
    <row r="874" spans="5:5" ht="13.45" x14ac:dyDescent="0.25">
      <c r="E874" s="223"/>
    </row>
    <row r="875" spans="5:5" ht="13.45" x14ac:dyDescent="0.25">
      <c r="E875" s="223"/>
    </row>
    <row r="876" spans="5:5" ht="13.45" x14ac:dyDescent="0.25">
      <c r="E876" s="223"/>
    </row>
    <row r="877" spans="5:5" ht="13.45" x14ac:dyDescent="0.25">
      <c r="E877" s="223"/>
    </row>
    <row r="878" spans="5:5" ht="13.45" x14ac:dyDescent="0.25">
      <c r="E878" s="223"/>
    </row>
    <row r="879" spans="5:5" ht="13.45" x14ac:dyDescent="0.25">
      <c r="E879" s="223"/>
    </row>
    <row r="880" spans="5:5" ht="13.45" x14ac:dyDescent="0.25">
      <c r="E880" s="223"/>
    </row>
    <row r="881" spans="5:5" ht="13.45" x14ac:dyDescent="0.25">
      <c r="E881" s="223"/>
    </row>
    <row r="882" spans="5:5" ht="13.45" x14ac:dyDescent="0.25">
      <c r="E882" s="223"/>
    </row>
    <row r="883" spans="5:5" ht="13.45" x14ac:dyDescent="0.25">
      <c r="E883" s="223"/>
    </row>
    <row r="884" spans="5:5" ht="13.45" x14ac:dyDescent="0.25">
      <c r="E884" s="223"/>
    </row>
    <row r="885" spans="5:5" ht="13.45" x14ac:dyDescent="0.25">
      <c r="E885" s="223"/>
    </row>
    <row r="886" spans="5:5" ht="13.45" x14ac:dyDescent="0.25">
      <c r="E886" s="223"/>
    </row>
    <row r="887" spans="5:5" ht="13.45" x14ac:dyDescent="0.25">
      <c r="E887" s="223"/>
    </row>
    <row r="888" spans="5:5" ht="13.45" x14ac:dyDescent="0.25">
      <c r="E888" s="223"/>
    </row>
    <row r="889" spans="5:5" ht="13.45" x14ac:dyDescent="0.25">
      <c r="E889" s="223"/>
    </row>
    <row r="890" spans="5:5" ht="13.45" x14ac:dyDescent="0.25">
      <c r="E890" s="223"/>
    </row>
    <row r="891" spans="5:5" ht="13.45" x14ac:dyDescent="0.25">
      <c r="E891" s="223"/>
    </row>
    <row r="892" spans="5:5" ht="13.45" x14ac:dyDescent="0.25">
      <c r="E892" s="223"/>
    </row>
    <row r="893" spans="5:5" ht="13.45" x14ac:dyDescent="0.25">
      <c r="E893" s="223"/>
    </row>
    <row r="894" spans="5:5" ht="13.45" x14ac:dyDescent="0.25">
      <c r="E894" s="223"/>
    </row>
    <row r="895" spans="5:5" ht="13.45" x14ac:dyDescent="0.25">
      <c r="E895" s="223"/>
    </row>
    <row r="896" spans="5:5" ht="13.45" x14ac:dyDescent="0.25">
      <c r="E896" s="223"/>
    </row>
    <row r="897" spans="5:5" ht="13.45" x14ac:dyDescent="0.25">
      <c r="E897" s="223"/>
    </row>
    <row r="898" spans="5:5" ht="13.45" x14ac:dyDescent="0.25">
      <c r="E898" s="223"/>
    </row>
    <row r="899" spans="5:5" ht="13.45" x14ac:dyDescent="0.25">
      <c r="E899" s="223"/>
    </row>
    <row r="900" spans="5:5" ht="13.45" x14ac:dyDescent="0.25">
      <c r="E900" s="223"/>
    </row>
    <row r="901" spans="5:5" ht="13.45" x14ac:dyDescent="0.25">
      <c r="E901" s="223"/>
    </row>
    <row r="902" spans="5:5" ht="13.45" x14ac:dyDescent="0.25">
      <c r="E902" s="223"/>
    </row>
    <row r="903" spans="5:5" ht="13.45" x14ac:dyDescent="0.25">
      <c r="E903" s="223"/>
    </row>
    <row r="904" spans="5:5" ht="13.45" x14ac:dyDescent="0.25">
      <c r="E904" s="223"/>
    </row>
    <row r="905" spans="5:5" ht="13.45" x14ac:dyDescent="0.25">
      <c r="E905" s="223"/>
    </row>
    <row r="906" spans="5:5" ht="13.45" x14ac:dyDescent="0.25">
      <c r="E906" s="223"/>
    </row>
    <row r="907" spans="5:5" ht="13.45" x14ac:dyDescent="0.25">
      <c r="E907" s="223"/>
    </row>
    <row r="908" spans="5:5" ht="13.45" x14ac:dyDescent="0.25">
      <c r="E908" s="223"/>
    </row>
    <row r="909" spans="5:5" ht="13.45" x14ac:dyDescent="0.25">
      <c r="E909" s="223"/>
    </row>
    <row r="910" spans="5:5" ht="13.45" x14ac:dyDescent="0.25">
      <c r="E910" s="223"/>
    </row>
    <row r="911" spans="5:5" ht="13.45" x14ac:dyDescent="0.25">
      <c r="E911" s="223"/>
    </row>
    <row r="912" spans="5:5" ht="13.45" x14ac:dyDescent="0.25">
      <c r="E912" s="223"/>
    </row>
    <row r="913" spans="5:5" ht="13.45" x14ac:dyDescent="0.25">
      <c r="E913" s="223"/>
    </row>
    <row r="914" spans="5:5" ht="13.45" x14ac:dyDescent="0.25">
      <c r="E914" s="223"/>
    </row>
    <row r="915" spans="5:5" ht="13.45" x14ac:dyDescent="0.25">
      <c r="E915" s="223"/>
    </row>
    <row r="916" spans="5:5" ht="13.45" x14ac:dyDescent="0.25">
      <c r="E916" s="223"/>
    </row>
    <row r="917" spans="5:5" ht="13.45" x14ac:dyDescent="0.25">
      <c r="E917" s="223"/>
    </row>
    <row r="918" spans="5:5" ht="13.45" x14ac:dyDescent="0.25">
      <c r="E918" s="223"/>
    </row>
    <row r="919" spans="5:5" ht="13.45" x14ac:dyDescent="0.25">
      <c r="E919" s="223"/>
    </row>
    <row r="920" spans="5:5" ht="13.45" x14ac:dyDescent="0.25">
      <c r="E920" s="223"/>
    </row>
    <row r="921" spans="5:5" ht="13.45" x14ac:dyDescent="0.25">
      <c r="E921" s="223"/>
    </row>
    <row r="922" spans="5:5" ht="13.45" x14ac:dyDescent="0.25">
      <c r="E922" s="223"/>
    </row>
    <row r="923" spans="5:5" ht="13.45" x14ac:dyDescent="0.25">
      <c r="E923" s="223"/>
    </row>
    <row r="924" spans="5:5" ht="13.45" x14ac:dyDescent="0.25">
      <c r="E924" s="223"/>
    </row>
    <row r="925" spans="5:5" ht="13.45" x14ac:dyDescent="0.25">
      <c r="E925" s="223"/>
    </row>
    <row r="926" spans="5:5" ht="13.45" x14ac:dyDescent="0.25">
      <c r="E926" s="223"/>
    </row>
    <row r="927" spans="5:5" ht="13.45" x14ac:dyDescent="0.25">
      <c r="E927" s="223"/>
    </row>
    <row r="928" spans="5:5" ht="13.45" x14ac:dyDescent="0.25">
      <c r="E928" s="223"/>
    </row>
    <row r="929" spans="5:5" ht="13.45" x14ac:dyDescent="0.25">
      <c r="E929" s="223"/>
    </row>
    <row r="930" spans="5:5" ht="13.45" x14ac:dyDescent="0.25">
      <c r="E930" s="223"/>
    </row>
    <row r="931" spans="5:5" ht="13.45" x14ac:dyDescent="0.25">
      <c r="E931" s="223"/>
    </row>
    <row r="932" spans="5:5" ht="13.45" x14ac:dyDescent="0.25">
      <c r="E932" s="223"/>
    </row>
    <row r="933" spans="5:5" ht="13.45" x14ac:dyDescent="0.25">
      <c r="E933" s="223"/>
    </row>
    <row r="934" spans="5:5" ht="13.45" x14ac:dyDescent="0.25">
      <c r="E934" s="223"/>
    </row>
    <row r="935" spans="5:5" ht="13.45" x14ac:dyDescent="0.25">
      <c r="E935" s="223"/>
    </row>
    <row r="936" spans="5:5" ht="13.45" x14ac:dyDescent="0.25">
      <c r="E936" s="223"/>
    </row>
    <row r="937" spans="5:5" ht="13.45" x14ac:dyDescent="0.25">
      <c r="E937" s="223"/>
    </row>
    <row r="938" spans="5:5" ht="13.45" x14ac:dyDescent="0.25">
      <c r="E938" s="223"/>
    </row>
    <row r="939" spans="5:5" ht="13.45" x14ac:dyDescent="0.25">
      <c r="E939" s="223"/>
    </row>
    <row r="940" spans="5:5" ht="13.45" x14ac:dyDescent="0.25">
      <c r="E940" s="223"/>
    </row>
    <row r="941" spans="5:5" ht="13.45" x14ac:dyDescent="0.25">
      <c r="E941" s="223"/>
    </row>
    <row r="942" spans="5:5" ht="13.45" x14ac:dyDescent="0.25">
      <c r="E942" s="223"/>
    </row>
    <row r="943" spans="5:5" ht="13.45" x14ac:dyDescent="0.25">
      <c r="E943" s="223"/>
    </row>
    <row r="944" spans="5:5" ht="13.45" x14ac:dyDescent="0.25">
      <c r="E944" s="223"/>
    </row>
    <row r="945" spans="5:5" ht="13.45" x14ac:dyDescent="0.25">
      <c r="E945" s="223"/>
    </row>
    <row r="946" spans="5:5" ht="13.45" x14ac:dyDescent="0.25">
      <c r="E946" s="223"/>
    </row>
    <row r="947" spans="5:5" ht="13.45" x14ac:dyDescent="0.25">
      <c r="E947" s="223"/>
    </row>
    <row r="948" spans="5:5" ht="13.45" x14ac:dyDescent="0.25">
      <c r="E948" s="223"/>
    </row>
    <row r="949" spans="5:5" ht="13.45" x14ac:dyDescent="0.25">
      <c r="E949" s="223"/>
    </row>
    <row r="950" spans="5:5" ht="13.45" x14ac:dyDescent="0.25">
      <c r="E950" s="223"/>
    </row>
    <row r="951" spans="5:5" ht="13.45" x14ac:dyDescent="0.25">
      <c r="E951" s="223"/>
    </row>
    <row r="952" spans="5:5" ht="13.45" x14ac:dyDescent="0.25">
      <c r="E952" s="223"/>
    </row>
    <row r="953" spans="5:5" ht="13.45" x14ac:dyDescent="0.25">
      <c r="E953" s="223"/>
    </row>
    <row r="954" spans="5:5" ht="13.45" x14ac:dyDescent="0.25">
      <c r="E954" s="223"/>
    </row>
    <row r="955" spans="5:5" ht="13.45" x14ac:dyDescent="0.25">
      <c r="E955" s="223"/>
    </row>
    <row r="956" spans="5:5" ht="13.45" x14ac:dyDescent="0.25">
      <c r="E956" s="223"/>
    </row>
    <row r="957" spans="5:5" ht="13.45" x14ac:dyDescent="0.25">
      <c r="E957" s="223"/>
    </row>
    <row r="958" spans="5:5" ht="13.45" x14ac:dyDescent="0.25">
      <c r="E958" s="223"/>
    </row>
    <row r="959" spans="5:5" ht="13.45" x14ac:dyDescent="0.25">
      <c r="E959" s="223"/>
    </row>
    <row r="960" spans="5:5" ht="13.45" x14ac:dyDescent="0.25">
      <c r="E960" s="223"/>
    </row>
    <row r="961" spans="5:5" ht="13.45" x14ac:dyDescent="0.25">
      <c r="E961" s="223"/>
    </row>
    <row r="962" spans="5:5" ht="13.45" x14ac:dyDescent="0.25">
      <c r="E962" s="223"/>
    </row>
    <row r="963" spans="5:5" ht="13.45" x14ac:dyDescent="0.25">
      <c r="E963" s="223"/>
    </row>
    <row r="964" spans="5:5" ht="13.45" x14ac:dyDescent="0.25">
      <c r="E964" s="223"/>
    </row>
    <row r="965" spans="5:5" ht="13.45" x14ac:dyDescent="0.25">
      <c r="E965" s="223"/>
    </row>
    <row r="966" spans="5:5" ht="13.45" x14ac:dyDescent="0.25">
      <c r="E966" s="223"/>
    </row>
    <row r="967" spans="5:5" ht="13.45" x14ac:dyDescent="0.25">
      <c r="E967" s="223"/>
    </row>
    <row r="968" spans="5:5" ht="13.45" x14ac:dyDescent="0.25">
      <c r="E968" s="223"/>
    </row>
    <row r="969" spans="5:5" ht="13.45" x14ac:dyDescent="0.25">
      <c r="E969" s="223"/>
    </row>
    <row r="970" spans="5:5" ht="13.45" x14ac:dyDescent="0.25">
      <c r="E970" s="223"/>
    </row>
    <row r="971" spans="5:5" ht="13.45" x14ac:dyDescent="0.25">
      <c r="E971" s="223"/>
    </row>
    <row r="972" spans="5:5" ht="13.45" x14ac:dyDescent="0.25">
      <c r="E972" s="223"/>
    </row>
    <row r="973" spans="5:5" ht="13.45" x14ac:dyDescent="0.25">
      <c r="E973" s="223"/>
    </row>
    <row r="974" spans="5:5" ht="13.45" x14ac:dyDescent="0.25">
      <c r="E974" s="223"/>
    </row>
    <row r="975" spans="5:5" ht="13.45" x14ac:dyDescent="0.25">
      <c r="E975" s="223"/>
    </row>
    <row r="976" spans="5:5" ht="13.45" x14ac:dyDescent="0.25">
      <c r="E976" s="223"/>
    </row>
    <row r="977" spans="5:5" ht="13.45" x14ac:dyDescent="0.25">
      <c r="E977" s="223"/>
    </row>
    <row r="978" spans="5:5" ht="13.45" x14ac:dyDescent="0.25">
      <c r="E978" s="223"/>
    </row>
    <row r="979" spans="5:5" ht="13.45" x14ac:dyDescent="0.25">
      <c r="E979" s="223"/>
    </row>
    <row r="980" spans="5:5" ht="13.45" x14ac:dyDescent="0.25">
      <c r="E980" s="223"/>
    </row>
    <row r="981" spans="5:5" ht="13.45" x14ac:dyDescent="0.25">
      <c r="E981" s="223"/>
    </row>
    <row r="982" spans="5:5" ht="13.45" x14ac:dyDescent="0.25">
      <c r="E982" s="223"/>
    </row>
    <row r="983" spans="5:5" ht="13.45" x14ac:dyDescent="0.25">
      <c r="E983" s="223"/>
    </row>
    <row r="984" spans="5:5" ht="13.45" x14ac:dyDescent="0.25">
      <c r="E984" s="223"/>
    </row>
    <row r="985" spans="5:5" ht="13.45" x14ac:dyDescent="0.25">
      <c r="E985" s="223"/>
    </row>
    <row r="986" spans="5:5" ht="13.45" x14ac:dyDescent="0.25">
      <c r="E986" s="223"/>
    </row>
    <row r="987" spans="5:5" ht="13.45" x14ac:dyDescent="0.25">
      <c r="E987" s="223"/>
    </row>
    <row r="988" spans="5:5" ht="13.45" x14ac:dyDescent="0.25">
      <c r="E988" s="223"/>
    </row>
    <row r="989" spans="5:5" ht="13.45" x14ac:dyDescent="0.25">
      <c r="E989" s="223"/>
    </row>
    <row r="990" spans="5:5" ht="13.45" x14ac:dyDescent="0.25">
      <c r="E990" s="223"/>
    </row>
    <row r="991" spans="5:5" ht="13.45" x14ac:dyDescent="0.25">
      <c r="E991" s="223"/>
    </row>
    <row r="992" spans="5:5" ht="13.45" x14ac:dyDescent="0.25">
      <c r="E992" s="223"/>
    </row>
    <row r="993" spans="5:5" ht="13.45" x14ac:dyDescent="0.25">
      <c r="E993" s="223"/>
    </row>
    <row r="994" spans="5:5" ht="13.45" x14ac:dyDescent="0.25">
      <c r="E994" s="223"/>
    </row>
    <row r="995" spans="5:5" ht="13.45" x14ac:dyDescent="0.25">
      <c r="E995" s="223"/>
    </row>
    <row r="996" spans="5:5" ht="13.45" x14ac:dyDescent="0.25">
      <c r="E996" s="223"/>
    </row>
  </sheetData>
  <autoFilter ref="C3:G19" xr:uid="{00000000-0009-0000-0000-000017000000}"/>
  <dataValidations count="3">
    <dataValidation type="list" allowBlank="1" showInputMessage="1" showErrorMessage="1" prompt="Clique e insira um valor de a lista de itens" sqref="E4:E12 E14:E17" xr:uid="{00000000-0002-0000-1700-000000000000}">
      <formula1>"AJAJ,AJ-BIBLIOTECONOMIA,TJAA,AJAA,TJAS,AJOJ,AJEC,AJ-INFORMATICA,AJ-DESENVOLVIMENTO,TJ-INFORMÁTICA,AJ-INFRAESTRUTURA,AJ-MEDICINA,AJ-CONTADORIA,AJAE"</formula1>
      <formula2>0</formula2>
    </dataValidation>
    <dataValidation type="list" allowBlank="1" showInputMessage="1" showErrorMessage="1" prompt="Clique e insira um valor de a lista de itens" sqref="F4:F17" xr:uid="{00000000-0002-0000-1700-000001000000}">
      <formula1>"1ª Vara,2ª Vara,3ª Vara,4ª Vara,5ª Vara,6ª Vara,7ª Vara,8ª Vara,9ª Vara,10ª Vara,11ª Vara,12ª,Vara,13ª Vara,14ª Vara,15ª Vara,16ª Vara,17ª Vara,18ª Vara,19ª Vara,20ª Vara	21ª Vara,22ª Vara,23ª Vara,24ª Vara,25ª Vara	26ª Vara,27ª Vara	28ª Vara,29ª Vara,30ª"&amp;" Vara,31ª Vara	32ª Vara 	33ª Vara"</formula1>
      <formula2>0</formula2>
    </dataValidation>
    <dataValidation type="list" allowBlank="1" showInputMessage="1" showErrorMessage="1" prompt="Clique e insira um valor de a lista de itens" sqref="G4:G17" xr:uid="{00000000-0002-0000-1700-000002000000}">
      <formula1>"EFETIVO,REQUISITADO,EX. PROVISÓRIO,REMOVIDO,SEM VÍNCULO,VAGO,PROVIDO,A SER PROVIDO"</formula1>
      <formula2>0</formula2>
    </dataValidation>
  </dataValidations>
  <pageMargins left="0.51180555555555596" right="0.51180555555555596" top="0.78749999999999998" bottom="0.78749999999999998" header="0.511811023622047" footer="0.511811023622047"/>
  <pageSetup orientation="landscape" horizontalDpi="300" verticalDpi="30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B2:F27"/>
  <sheetViews>
    <sheetView topLeftCell="B1" zoomScale="110" zoomScaleNormal="110" workbookViewId="0">
      <selection activeCell="D13" activeCellId="1" sqref="B9 D13"/>
    </sheetView>
  </sheetViews>
  <sheetFormatPr defaultColWidth="12.6328125" defaultRowHeight="14.25" customHeight="1" x14ac:dyDescent="0.25"/>
  <cols>
    <col min="4" max="4" width="36.36328125" customWidth="1"/>
    <col min="6" max="6" width="15.6328125" customWidth="1"/>
  </cols>
  <sheetData>
    <row r="2" spans="2:6" ht="15.05" customHeight="1" x14ac:dyDescent="0.25"/>
    <row r="3" spans="2:6" ht="14" x14ac:dyDescent="0.25">
      <c r="C3" s="212" t="s">
        <v>149</v>
      </c>
      <c r="D3" s="212" t="s">
        <v>150</v>
      </c>
      <c r="E3" s="212" t="s">
        <v>118</v>
      </c>
      <c r="F3" s="212" t="s">
        <v>970</v>
      </c>
    </row>
    <row r="4" spans="2:6" ht="14" x14ac:dyDescent="0.3">
      <c r="C4" s="249" t="s">
        <v>2272</v>
      </c>
      <c r="D4" s="468" t="s">
        <v>2273</v>
      </c>
      <c r="E4" s="469" t="s">
        <v>171</v>
      </c>
      <c r="F4" s="502" t="s">
        <v>159</v>
      </c>
    </row>
    <row r="5" spans="2:6" ht="14" x14ac:dyDescent="0.3">
      <c r="C5" s="249" t="s">
        <v>2274</v>
      </c>
      <c r="D5" s="468" t="s">
        <v>2275</v>
      </c>
      <c r="E5" s="469" t="s">
        <v>178</v>
      </c>
      <c r="F5" s="502" t="s">
        <v>246</v>
      </c>
    </row>
    <row r="6" spans="2:6" ht="14" x14ac:dyDescent="0.3">
      <c r="C6" s="249" t="s">
        <v>2276</v>
      </c>
      <c r="D6" s="468" t="s">
        <v>2277</v>
      </c>
      <c r="E6" s="469" t="s">
        <v>171</v>
      </c>
      <c r="F6" s="502" t="s">
        <v>159</v>
      </c>
    </row>
    <row r="7" spans="2:6" ht="14" x14ac:dyDescent="0.3">
      <c r="C7" s="249" t="s">
        <v>2278</v>
      </c>
      <c r="D7" s="468" t="s">
        <v>2279</v>
      </c>
      <c r="E7" s="469" t="s">
        <v>178</v>
      </c>
      <c r="F7" s="502" t="s">
        <v>159</v>
      </c>
    </row>
    <row r="8" spans="2:6" ht="14" x14ac:dyDescent="0.3">
      <c r="C8" s="249" t="s">
        <v>2280</v>
      </c>
      <c r="D8" s="468" t="s">
        <v>2281</v>
      </c>
      <c r="E8" s="469" t="s">
        <v>171</v>
      </c>
      <c r="F8" s="502" t="s">
        <v>159</v>
      </c>
    </row>
    <row r="9" spans="2:6" ht="14" x14ac:dyDescent="0.3">
      <c r="C9" s="249" t="s">
        <v>2282</v>
      </c>
      <c r="D9" s="468" t="s">
        <v>2283</v>
      </c>
      <c r="E9" s="469"/>
      <c r="F9" s="502" t="s">
        <v>164</v>
      </c>
    </row>
    <row r="10" spans="2:6" ht="14" x14ac:dyDescent="0.3">
      <c r="C10" s="249" t="s">
        <v>2284</v>
      </c>
      <c r="D10" s="468" t="s">
        <v>2285</v>
      </c>
      <c r="E10" s="469" t="s">
        <v>171</v>
      </c>
      <c r="F10" s="502" t="s">
        <v>159</v>
      </c>
    </row>
    <row r="11" spans="2:6" ht="14" x14ac:dyDescent="0.3">
      <c r="C11" s="249" t="s">
        <v>2286</v>
      </c>
      <c r="D11" s="468" t="s">
        <v>2287</v>
      </c>
      <c r="E11" s="469" t="s">
        <v>178</v>
      </c>
      <c r="F11" s="502" t="s">
        <v>159</v>
      </c>
    </row>
    <row r="12" spans="2:6" ht="14" x14ac:dyDescent="0.3">
      <c r="B12" s="479" t="s">
        <v>1862</v>
      </c>
      <c r="C12" s="249" t="s">
        <v>2288</v>
      </c>
      <c r="D12" s="468" t="s">
        <v>2289</v>
      </c>
      <c r="E12" s="469" t="s">
        <v>171</v>
      </c>
      <c r="F12" s="502" t="s">
        <v>159</v>
      </c>
    </row>
    <row r="13" spans="2:6" ht="14" x14ac:dyDescent="0.3">
      <c r="C13" s="249" t="s">
        <v>2290</v>
      </c>
      <c r="D13" s="468" t="s">
        <v>2291</v>
      </c>
      <c r="E13" s="469" t="s">
        <v>171</v>
      </c>
      <c r="F13" s="502" t="s">
        <v>159</v>
      </c>
    </row>
    <row r="14" spans="2:6" ht="14" x14ac:dyDescent="0.3">
      <c r="C14" s="249" t="s">
        <v>2292</v>
      </c>
      <c r="D14" s="468" t="s">
        <v>2293</v>
      </c>
      <c r="E14" s="469" t="s">
        <v>171</v>
      </c>
      <c r="F14" s="502" t="s">
        <v>159</v>
      </c>
    </row>
    <row r="15" spans="2:6" ht="14" x14ac:dyDescent="0.3">
      <c r="C15" s="249" t="s">
        <v>2294</v>
      </c>
      <c r="D15" s="468" t="s">
        <v>2295</v>
      </c>
      <c r="E15" s="469" t="s">
        <v>178</v>
      </c>
      <c r="F15" s="502" t="s">
        <v>159</v>
      </c>
    </row>
    <row r="16" spans="2:6" ht="14" x14ac:dyDescent="0.3">
      <c r="C16" s="249" t="s">
        <v>2296</v>
      </c>
      <c r="D16" s="468" t="s">
        <v>2297</v>
      </c>
      <c r="E16" s="469" t="s">
        <v>178</v>
      </c>
      <c r="F16" s="502" t="s">
        <v>159</v>
      </c>
    </row>
    <row r="17" spans="3:6" ht="14" x14ac:dyDescent="0.3">
      <c r="C17" s="249" t="s">
        <v>2298</v>
      </c>
      <c r="D17" s="468" t="s">
        <v>2299</v>
      </c>
      <c r="E17" s="469" t="s">
        <v>171</v>
      </c>
      <c r="F17" s="502" t="s">
        <v>159</v>
      </c>
    </row>
    <row r="18" spans="3:6" ht="14" x14ac:dyDescent="0.3">
      <c r="C18" s="249" t="s">
        <v>2300</v>
      </c>
      <c r="D18" s="468" t="s">
        <v>2301</v>
      </c>
      <c r="E18" s="469" t="s">
        <v>171</v>
      </c>
      <c r="F18" s="502" t="s">
        <v>159</v>
      </c>
    </row>
    <row r="19" spans="3:6" ht="14" x14ac:dyDescent="0.3">
      <c r="C19" s="249"/>
      <c r="D19" s="468"/>
      <c r="E19" s="468"/>
      <c r="F19" s="468"/>
    </row>
    <row r="20" spans="3:6" ht="14" x14ac:dyDescent="0.3">
      <c r="C20" s="249"/>
      <c r="D20" s="468"/>
      <c r="E20" s="468"/>
      <c r="F20" s="468"/>
    </row>
    <row r="21" spans="3:6" ht="14" x14ac:dyDescent="0.3">
      <c r="C21" s="249"/>
      <c r="D21" s="468"/>
      <c r="E21" s="468"/>
      <c r="F21" s="468"/>
    </row>
    <row r="23" spans="3:6" ht="14" x14ac:dyDescent="0.3">
      <c r="C23" s="515">
        <v>44317</v>
      </c>
    </row>
    <row r="24" spans="3:6" ht="14" x14ac:dyDescent="0.3">
      <c r="C24" s="16" t="s">
        <v>2302</v>
      </c>
    </row>
    <row r="26" spans="3:6" ht="14" x14ac:dyDescent="0.3">
      <c r="C26" s="515">
        <v>44562</v>
      </c>
    </row>
    <row r="27" spans="3:6" ht="14" x14ac:dyDescent="0.3">
      <c r="C27" s="16" t="s">
        <v>2303</v>
      </c>
    </row>
  </sheetData>
  <autoFilter ref="C3:F21" xr:uid="{00000000-0009-0000-0000-000018000000}"/>
  <dataValidations count="2">
    <dataValidation type="list" allowBlank="1" showInputMessage="1" showErrorMessage="1" prompt="Clique e insira um valor de a lista de itens" sqref="E4:E18" xr:uid="{00000000-0002-0000-1800-000000000000}">
      <formula1>"AJAJ,AJ-BIBLIOTECONOMIA,TJAA,AJAA,TJAS,AJOJ,AJEC,AJ-INFORMATICA,AJ-DESENVOLVIMENTO,TJ-INFORMÁTICA,AJ-INFRAESTRUTURA,AJ-MEDICINA,AJ-CONTADORIA,AJAE"</formula1>
      <formula2>0</formula2>
    </dataValidation>
    <dataValidation type="list" allowBlank="1" showInputMessage="1" showErrorMessage="1" prompt="Clique e insira um valor de a lista de itens" sqref="F4:F18" xr:uid="{00000000-0002-0000-1800-000001000000}">
      <formula1>"EFETIVO,REQUISITADO,EX. PROVISÓRIO,REMOVIDO,SEM VÍNCULO,VAGO,PROVIDO,A SER PROVIDO"</formula1>
      <formula2>0</formula2>
    </dataValidation>
  </dataValidations>
  <pageMargins left="0.51180555555555596" right="0.51180555555555596" top="0.78749999999999998" bottom="0.78749999999999998" header="0.511811023622047" footer="0.511811023622047"/>
  <pageSetup orientation="landscape" horizontalDpi="300" verticalDpi="30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B2:F24"/>
  <sheetViews>
    <sheetView topLeftCell="C1" zoomScale="110" zoomScaleNormal="110" workbookViewId="0">
      <selection activeCell="F21" activeCellId="1" sqref="B9 F21"/>
    </sheetView>
  </sheetViews>
  <sheetFormatPr defaultColWidth="12.6328125" defaultRowHeight="14.25" customHeight="1" x14ac:dyDescent="0.25"/>
  <cols>
    <col min="4" max="4" width="32.90625" customWidth="1"/>
  </cols>
  <sheetData>
    <row r="2" spans="2:6" ht="24.05" customHeight="1" x14ac:dyDescent="0.25">
      <c r="C2" s="212" t="s">
        <v>149</v>
      </c>
      <c r="D2" s="212" t="s">
        <v>150</v>
      </c>
      <c r="E2" s="212" t="s">
        <v>118</v>
      </c>
      <c r="F2" s="212" t="s">
        <v>970</v>
      </c>
    </row>
    <row r="3" spans="2:6" ht="14" x14ac:dyDescent="0.3">
      <c r="C3" s="249" t="s">
        <v>2304</v>
      </c>
      <c r="D3" s="468" t="s">
        <v>2305</v>
      </c>
      <c r="E3" s="469" t="s">
        <v>178</v>
      </c>
      <c r="F3" s="502" t="s">
        <v>159</v>
      </c>
    </row>
    <row r="4" spans="2:6" ht="14" x14ac:dyDescent="0.3">
      <c r="C4" s="249" t="s">
        <v>2306</v>
      </c>
      <c r="D4" s="468" t="s">
        <v>2307</v>
      </c>
      <c r="E4" s="469" t="s">
        <v>178</v>
      </c>
      <c r="F4" s="502" t="s">
        <v>246</v>
      </c>
    </row>
    <row r="5" spans="2:6" ht="14" x14ac:dyDescent="0.3">
      <c r="C5" s="249" t="s">
        <v>2308</v>
      </c>
      <c r="D5" s="468" t="s">
        <v>2309</v>
      </c>
      <c r="E5" s="469" t="s">
        <v>171</v>
      </c>
      <c r="F5" s="502" t="s">
        <v>164</v>
      </c>
    </row>
    <row r="6" spans="2:6" ht="14" x14ac:dyDescent="0.3">
      <c r="C6" s="249" t="s">
        <v>2310</v>
      </c>
      <c r="D6" s="468" t="s">
        <v>2311</v>
      </c>
      <c r="E6" s="469" t="s">
        <v>178</v>
      </c>
      <c r="F6" s="502" t="s">
        <v>159</v>
      </c>
    </row>
    <row r="7" spans="2:6" ht="14" x14ac:dyDescent="0.3">
      <c r="C7" s="249" t="s">
        <v>2312</v>
      </c>
      <c r="D7" s="468" t="s">
        <v>2313</v>
      </c>
      <c r="E7" s="469" t="s">
        <v>178</v>
      </c>
      <c r="F7" s="502" t="s">
        <v>159</v>
      </c>
    </row>
    <row r="8" spans="2:6" ht="14" x14ac:dyDescent="0.3">
      <c r="C8" s="249" t="s">
        <v>2314</v>
      </c>
      <c r="D8" s="468" t="s">
        <v>2315</v>
      </c>
      <c r="E8" s="469" t="s">
        <v>171</v>
      </c>
      <c r="F8" s="502" t="s">
        <v>159</v>
      </c>
    </row>
    <row r="9" spans="2:6" ht="14" x14ac:dyDescent="0.3">
      <c r="C9" s="249" t="s">
        <v>2316</v>
      </c>
      <c r="D9" s="468" t="s">
        <v>2317</v>
      </c>
      <c r="E9" s="469" t="s">
        <v>178</v>
      </c>
      <c r="F9" s="502" t="s">
        <v>159</v>
      </c>
    </row>
    <row r="10" spans="2:6" ht="14" x14ac:dyDescent="0.3">
      <c r="C10" s="249" t="s">
        <v>2318</v>
      </c>
      <c r="D10" s="468" t="s">
        <v>2319</v>
      </c>
      <c r="E10" s="469" t="s">
        <v>167</v>
      </c>
      <c r="F10" s="502" t="s">
        <v>246</v>
      </c>
    </row>
    <row r="11" spans="2:6" ht="14" x14ac:dyDescent="0.3">
      <c r="C11" s="249" t="s">
        <v>2320</v>
      </c>
      <c r="D11" s="468" t="s">
        <v>2321</v>
      </c>
      <c r="E11" s="469" t="s">
        <v>171</v>
      </c>
      <c r="F11" s="502" t="s">
        <v>159</v>
      </c>
    </row>
    <row r="12" spans="2:6" ht="14" x14ac:dyDescent="0.3">
      <c r="B12" s="479" t="s">
        <v>1853</v>
      </c>
      <c r="C12" s="249" t="s">
        <v>2322</v>
      </c>
      <c r="D12" s="468" t="s">
        <v>2323</v>
      </c>
      <c r="E12" s="469" t="s">
        <v>171</v>
      </c>
      <c r="F12" s="502" t="s">
        <v>159</v>
      </c>
    </row>
    <row r="13" spans="2:6" ht="14" x14ac:dyDescent="0.3">
      <c r="C13" s="249" t="s">
        <v>2324</v>
      </c>
      <c r="D13" s="468" t="s">
        <v>2325</v>
      </c>
      <c r="E13" s="469"/>
      <c r="F13" s="502" t="s">
        <v>164</v>
      </c>
    </row>
    <row r="14" spans="2:6" ht="14" x14ac:dyDescent="0.3">
      <c r="C14" s="249" t="s">
        <v>2326</v>
      </c>
      <c r="D14" s="468" t="s">
        <v>2327</v>
      </c>
      <c r="E14" s="469" t="s">
        <v>171</v>
      </c>
      <c r="F14" s="502" t="s">
        <v>159</v>
      </c>
    </row>
    <row r="15" spans="2:6" ht="14" x14ac:dyDescent="0.3">
      <c r="C15" s="249" t="s">
        <v>2328</v>
      </c>
      <c r="D15" s="468" t="s">
        <v>2329</v>
      </c>
      <c r="E15" s="469" t="s">
        <v>171</v>
      </c>
      <c r="F15" s="502" t="s">
        <v>159</v>
      </c>
    </row>
    <row r="16" spans="2:6" ht="14" x14ac:dyDescent="0.3">
      <c r="C16" s="249" t="s">
        <v>2330</v>
      </c>
      <c r="D16" s="468" t="s">
        <v>2331</v>
      </c>
      <c r="E16" s="469" t="s">
        <v>171</v>
      </c>
      <c r="F16" s="502" t="s">
        <v>159</v>
      </c>
    </row>
    <row r="17" spans="3:6" ht="14" x14ac:dyDescent="0.3">
      <c r="C17" s="249" t="s">
        <v>2332</v>
      </c>
      <c r="D17" s="468" t="s">
        <v>2333</v>
      </c>
      <c r="E17" s="469" t="s">
        <v>171</v>
      </c>
      <c r="F17" s="502" t="s">
        <v>164</v>
      </c>
    </row>
    <row r="18" spans="3:6" ht="14" x14ac:dyDescent="0.3">
      <c r="C18" s="249" t="s">
        <v>2334</v>
      </c>
      <c r="D18" s="468" t="s">
        <v>2335</v>
      </c>
      <c r="E18" s="469" t="s">
        <v>171</v>
      </c>
      <c r="F18" s="502" t="s">
        <v>159</v>
      </c>
    </row>
    <row r="23" spans="3:6" ht="13.45" x14ac:dyDescent="0.25">
      <c r="C23" s="337">
        <v>44743</v>
      </c>
    </row>
    <row r="24" spans="3:6" ht="94.05" x14ac:dyDescent="0.25">
      <c r="C24" s="479" t="s">
        <v>2336</v>
      </c>
    </row>
  </sheetData>
  <autoFilter ref="C2:F18" xr:uid="{00000000-0009-0000-0000-000019000000}"/>
  <dataValidations count="2">
    <dataValidation type="list" allowBlank="1" showInputMessage="1" showErrorMessage="1" prompt="Clique e insira um valor de a lista de itens" sqref="E3:E18" xr:uid="{00000000-0002-0000-1900-000000000000}">
      <formula1>"AJAJ,AJ-BIBLIOTECONOMIA,TJAA,AJAA,TJAS,AJOJ,AJEC,AJ-INFORMATICA,AJ-DESENVOLVIMENTO,TJ-INFORMÁTICA,AJ-INFRAESTRUTURA,AJ-MEDICINA,AJ-CONTADORIA,AJAE"</formula1>
      <formula2>0</formula2>
    </dataValidation>
    <dataValidation type="list" allowBlank="1" showInputMessage="1" showErrorMessage="1" prompt="Clique e insira um valor de a lista de itens" sqref="F3:F18" xr:uid="{00000000-0002-0000-1900-000001000000}">
      <formula1>"EFETIVO,REQUISITADO,EX. PROVISÓRIO,REMOVIDO,SEM VÍNCULO,VAGO,PROVIDO,A SER PROVIDO"</formula1>
      <formula2>0</formula2>
    </dataValidation>
  </dataValidations>
  <pageMargins left="0.51180555555555596" right="0.51180555555555596" top="0.78749999999999998" bottom="0.78749999999999998" header="0.511811023622047" footer="0.511811023622047"/>
  <pageSetup orientation="landscape" horizontalDpi="300" verticalDpi="30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2:L75"/>
  <sheetViews>
    <sheetView topLeftCell="C1" zoomScale="110" zoomScaleNormal="110" workbookViewId="0">
      <selection activeCell="D18" activeCellId="1" sqref="B9 D18"/>
    </sheetView>
  </sheetViews>
  <sheetFormatPr defaultColWidth="12.6328125" defaultRowHeight="14.25" customHeight="1" x14ac:dyDescent="0.25"/>
  <cols>
    <col min="3" max="3" width="15" customWidth="1"/>
    <col min="4" max="4" width="30" customWidth="1"/>
    <col min="11" max="11" width="14.08984375" customWidth="1"/>
  </cols>
  <sheetData>
    <row r="2" spans="2:7" ht="23.25" customHeight="1" x14ac:dyDescent="0.25">
      <c r="C2" s="212" t="s">
        <v>149</v>
      </c>
      <c r="D2" s="212" t="s">
        <v>150</v>
      </c>
      <c r="E2" s="212" t="s">
        <v>118</v>
      </c>
      <c r="F2" s="212" t="s">
        <v>970</v>
      </c>
    </row>
    <row r="3" spans="2:7" ht="14" x14ac:dyDescent="0.3">
      <c r="C3" s="249" t="s">
        <v>2337</v>
      </c>
      <c r="D3" s="468" t="s">
        <v>2338</v>
      </c>
      <c r="E3" s="469" t="s">
        <v>290</v>
      </c>
      <c r="F3" s="502" t="s">
        <v>168</v>
      </c>
    </row>
    <row r="4" spans="2:7" ht="14" x14ac:dyDescent="0.3">
      <c r="C4" s="249" t="s">
        <v>2339</v>
      </c>
      <c r="D4" s="468" t="s">
        <v>2340</v>
      </c>
      <c r="E4" s="469" t="s">
        <v>171</v>
      </c>
      <c r="F4" s="502" t="s">
        <v>159</v>
      </c>
    </row>
    <row r="5" spans="2:7" ht="14" x14ac:dyDescent="0.3">
      <c r="B5" s="476"/>
      <c r="C5" s="249" t="s">
        <v>2341</v>
      </c>
      <c r="D5" s="468" t="s">
        <v>2342</v>
      </c>
      <c r="E5" s="469" t="s">
        <v>167</v>
      </c>
      <c r="F5" s="502" t="s">
        <v>159</v>
      </c>
    </row>
    <row r="6" spans="2:7" ht="14" x14ac:dyDescent="0.3">
      <c r="C6" s="249" t="s">
        <v>2343</v>
      </c>
      <c r="D6" s="468" t="s">
        <v>2344</v>
      </c>
      <c r="E6" s="469" t="s">
        <v>171</v>
      </c>
      <c r="F6" s="502" t="s">
        <v>159</v>
      </c>
    </row>
    <row r="7" spans="2:7" ht="14" x14ac:dyDescent="0.3">
      <c r="C7" s="249" t="s">
        <v>2345</v>
      </c>
      <c r="D7" s="468" t="s">
        <v>2346</v>
      </c>
      <c r="E7" s="469" t="s">
        <v>171</v>
      </c>
      <c r="F7" s="502" t="s">
        <v>159</v>
      </c>
    </row>
    <row r="8" spans="2:7" ht="14" x14ac:dyDescent="0.3">
      <c r="C8" s="249" t="s">
        <v>2347</v>
      </c>
      <c r="D8" s="468" t="s">
        <v>2348</v>
      </c>
      <c r="E8" s="469" t="s">
        <v>171</v>
      </c>
      <c r="F8" s="502" t="s">
        <v>159</v>
      </c>
      <c r="G8" s="174"/>
    </row>
    <row r="9" spans="2:7" ht="14" x14ac:dyDescent="0.3">
      <c r="B9" s="476"/>
      <c r="C9" s="249" t="s">
        <v>2349</v>
      </c>
      <c r="D9" s="468" t="s">
        <v>2350</v>
      </c>
      <c r="E9" s="469" t="s">
        <v>171</v>
      </c>
      <c r="F9" s="502" t="s">
        <v>159</v>
      </c>
      <c r="G9" s="174"/>
    </row>
    <row r="10" spans="2:7" ht="14" x14ac:dyDescent="0.3">
      <c r="C10" s="249" t="s">
        <v>2351</v>
      </c>
      <c r="D10" s="468" t="s">
        <v>2352</v>
      </c>
      <c r="E10" s="468"/>
      <c r="F10" s="502" t="s">
        <v>164</v>
      </c>
    </row>
    <row r="11" spans="2:7" ht="14" x14ac:dyDescent="0.3">
      <c r="B11" s="476"/>
      <c r="C11" s="249" t="s">
        <v>2353</v>
      </c>
      <c r="D11" s="468" t="s">
        <v>2354</v>
      </c>
      <c r="E11" s="469" t="s">
        <v>171</v>
      </c>
      <c r="F11" s="502" t="s">
        <v>168</v>
      </c>
    </row>
    <row r="12" spans="2:7" ht="14" x14ac:dyDescent="0.3">
      <c r="B12" s="476"/>
      <c r="C12" s="249" t="s">
        <v>2355</v>
      </c>
      <c r="D12" s="468" t="s">
        <v>2356</v>
      </c>
      <c r="E12" s="469" t="s">
        <v>167</v>
      </c>
      <c r="F12" s="502" t="s">
        <v>159</v>
      </c>
      <c r="G12" s="479"/>
    </row>
    <row r="13" spans="2:7" ht="14" x14ac:dyDescent="0.3">
      <c r="B13" s="242"/>
      <c r="C13" s="285" t="s">
        <v>2357</v>
      </c>
      <c r="D13" s="499" t="s">
        <v>2358</v>
      </c>
      <c r="E13" s="469" t="s">
        <v>171</v>
      </c>
      <c r="F13" s="502" t="s">
        <v>159</v>
      </c>
    </row>
    <row r="14" spans="2:7" ht="14" x14ac:dyDescent="0.3">
      <c r="B14" s="479"/>
      <c r="C14" s="249" t="s">
        <v>2359</v>
      </c>
      <c r="D14" s="468" t="s">
        <v>2360</v>
      </c>
      <c r="E14" s="469" t="s">
        <v>171</v>
      </c>
      <c r="F14" s="502" t="s">
        <v>159</v>
      </c>
    </row>
    <row r="15" spans="2:7" ht="14" x14ac:dyDescent="0.3">
      <c r="B15" s="242" t="s">
        <v>1853</v>
      </c>
      <c r="C15" s="248" t="s">
        <v>2361</v>
      </c>
      <c r="D15" s="522" t="s">
        <v>2362</v>
      </c>
      <c r="E15" s="469" t="s">
        <v>171</v>
      </c>
      <c r="F15" s="502" t="s">
        <v>164</v>
      </c>
    </row>
    <row r="16" spans="2:7" ht="14" x14ac:dyDescent="0.3">
      <c r="B16" s="242"/>
      <c r="C16" s="248" t="s">
        <v>2363</v>
      </c>
      <c r="D16" s="522" t="s">
        <v>2364</v>
      </c>
      <c r="E16" s="469" t="s">
        <v>290</v>
      </c>
      <c r="F16" s="502" t="s">
        <v>246</v>
      </c>
    </row>
    <row r="17" spans="1:7" ht="14" x14ac:dyDescent="0.3">
      <c r="A17" s="527"/>
      <c r="B17" s="242"/>
      <c r="C17" s="285" t="s">
        <v>2365</v>
      </c>
      <c r="D17" s="499" t="s">
        <v>1137</v>
      </c>
      <c r="E17" s="469" t="s">
        <v>171</v>
      </c>
      <c r="F17" s="502" t="s">
        <v>159</v>
      </c>
      <c r="G17" s="504" t="s">
        <v>2366</v>
      </c>
    </row>
    <row r="18" spans="1:7" ht="14" x14ac:dyDescent="0.3">
      <c r="C18" s="248" t="s">
        <v>192</v>
      </c>
      <c r="D18" s="522" t="s">
        <v>193</v>
      </c>
      <c r="E18" s="469" t="s">
        <v>178</v>
      </c>
      <c r="F18" s="502" t="s">
        <v>159</v>
      </c>
      <c r="G18" s="504" t="s">
        <v>2367</v>
      </c>
    </row>
    <row r="19" spans="1:7" ht="14" x14ac:dyDescent="0.3">
      <c r="C19" s="16"/>
    </row>
    <row r="20" spans="1:7" ht="14" x14ac:dyDescent="0.3">
      <c r="C20" s="16" t="s">
        <v>2368</v>
      </c>
    </row>
    <row r="22" spans="1:7" ht="14" x14ac:dyDescent="0.3">
      <c r="C22" s="16" t="s">
        <v>2224</v>
      </c>
    </row>
    <row r="23" spans="1:7" ht="14" x14ac:dyDescent="0.3">
      <c r="C23" s="16" t="s">
        <v>2369</v>
      </c>
    </row>
    <row r="25" spans="1:7" ht="14" x14ac:dyDescent="0.3">
      <c r="C25" s="516">
        <v>2021</v>
      </c>
    </row>
    <row r="26" spans="1:7" ht="14" x14ac:dyDescent="0.3">
      <c r="C26" s="507">
        <v>44228</v>
      </c>
    </row>
    <row r="27" spans="1:7" ht="14" x14ac:dyDescent="0.3">
      <c r="C27" s="16" t="s">
        <v>2370</v>
      </c>
    </row>
    <row r="29" spans="1:7" ht="14" x14ac:dyDescent="0.3">
      <c r="C29" s="528">
        <v>44562</v>
      </c>
    </row>
    <row r="30" spans="1:7" ht="14" x14ac:dyDescent="0.3">
      <c r="C30" s="16" t="s">
        <v>2371</v>
      </c>
    </row>
    <row r="32" spans="1:7" ht="14" x14ac:dyDescent="0.3">
      <c r="C32" s="529">
        <v>44652</v>
      </c>
    </row>
    <row r="33" spans="3:3" ht="201.5" x14ac:dyDescent="0.25">
      <c r="C33" s="479" t="s">
        <v>1744</v>
      </c>
    </row>
    <row r="35" spans="3:3" ht="13.45" x14ac:dyDescent="0.25">
      <c r="C35" s="337">
        <v>44682</v>
      </c>
    </row>
    <row r="36" spans="3:3" ht="80.599999999999994" x14ac:dyDescent="0.25">
      <c r="C36" s="479" t="s">
        <v>2372</v>
      </c>
    </row>
    <row r="37" spans="3:3" ht="80.599999999999994" x14ac:dyDescent="0.25">
      <c r="C37" s="479" t="s">
        <v>2373</v>
      </c>
    </row>
    <row r="39" spans="3:3" ht="13.45" x14ac:dyDescent="0.25">
      <c r="C39" s="337">
        <v>44713</v>
      </c>
    </row>
    <row r="40" spans="3:3" ht="107.5" x14ac:dyDescent="0.25">
      <c r="C40" s="479" t="s">
        <v>2374</v>
      </c>
    </row>
    <row r="42" spans="3:3" ht="13.45" x14ac:dyDescent="0.25">
      <c r="C42" s="337">
        <v>44743</v>
      </c>
    </row>
    <row r="43" spans="3:3" ht="80.599999999999994" x14ac:dyDescent="0.25">
      <c r="C43" s="479" t="s">
        <v>2375</v>
      </c>
    </row>
    <row r="44" spans="3:3" ht="94.05" x14ac:dyDescent="0.25">
      <c r="C44" s="479" t="s">
        <v>2376</v>
      </c>
    </row>
    <row r="46" spans="3:3" ht="13.45" x14ac:dyDescent="0.25">
      <c r="C46" s="337">
        <v>44805</v>
      </c>
    </row>
    <row r="47" spans="3:3" ht="94.05" x14ac:dyDescent="0.25">
      <c r="C47" s="479" t="s">
        <v>2377</v>
      </c>
    </row>
    <row r="49" spans="3:3" ht="13.45" x14ac:dyDescent="0.25">
      <c r="C49" s="530">
        <v>44958</v>
      </c>
    </row>
    <row r="50" spans="3:3" ht="13.45" x14ac:dyDescent="0.25">
      <c r="C50" t="s">
        <v>2110</v>
      </c>
    </row>
    <row r="51" spans="3:3" ht="13.45" x14ac:dyDescent="0.25">
      <c r="C51" t="s">
        <v>2378</v>
      </c>
    </row>
    <row r="52" spans="3:3" ht="67.2" x14ac:dyDescent="0.25">
      <c r="C52" s="479" t="s">
        <v>2379</v>
      </c>
    </row>
    <row r="53" spans="3:3" ht="14" x14ac:dyDescent="0.3">
      <c r="C53" s="524" t="s">
        <v>2380</v>
      </c>
    </row>
    <row r="54" spans="3:3" ht="67.2" x14ac:dyDescent="0.25">
      <c r="C54" s="479" t="s">
        <v>2381</v>
      </c>
    </row>
    <row r="55" spans="3:3" ht="67.2" x14ac:dyDescent="0.25">
      <c r="C55" s="479" t="s">
        <v>2382</v>
      </c>
    </row>
    <row r="56" spans="3:3" ht="14" x14ac:dyDescent="0.3">
      <c r="C56" s="524" t="s">
        <v>2383</v>
      </c>
    </row>
    <row r="57" spans="3:3" ht="16.149999999999999" x14ac:dyDescent="0.5">
      <c r="C57" s="531" t="s">
        <v>2384</v>
      </c>
    </row>
    <row r="59" spans="3:3" ht="13.45" x14ac:dyDescent="0.25">
      <c r="C59" s="509">
        <v>44986</v>
      </c>
    </row>
    <row r="60" spans="3:3" ht="13.45" x14ac:dyDescent="0.25">
      <c r="C60" s="302" t="s">
        <v>926</v>
      </c>
    </row>
    <row r="62" spans="3:3" ht="13.45" x14ac:dyDescent="0.25">
      <c r="C62" s="337">
        <v>45047</v>
      </c>
    </row>
    <row r="63" spans="3:3" ht="14" x14ac:dyDescent="0.3">
      <c r="C63" s="532" t="s">
        <v>2385</v>
      </c>
    </row>
    <row r="64" spans="3:3" ht="53.75" x14ac:dyDescent="0.25">
      <c r="C64" s="479" t="s">
        <v>2386</v>
      </c>
    </row>
    <row r="66" spans="3:12" ht="13.45" x14ac:dyDescent="0.25">
      <c r="C66" s="337">
        <v>45108</v>
      </c>
    </row>
    <row r="67" spans="3:12" ht="67.2" x14ac:dyDescent="0.25">
      <c r="C67" s="479" t="s">
        <v>2387</v>
      </c>
    </row>
    <row r="70" spans="3:12" ht="13.45" x14ac:dyDescent="0.25">
      <c r="C70" s="511">
        <v>45412</v>
      </c>
    </row>
    <row r="71" spans="3:12" ht="14" x14ac:dyDescent="0.3">
      <c r="C71" s="248" t="s">
        <v>250</v>
      </c>
      <c r="D71" s="522" t="s">
        <v>251</v>
      </c>
      <c r="E71" s="469" t="s">
        <v>178</v>
      </c>
      <c r="F71" s="502" t="s">
        <v>159</v>
      </c>
      <c r="G71" s="624" t="s">
        <v>2388</v>
      </c>
      <c r="H71" s="624"/>
      <c r="I71" s="624"/>
      <c r="J71" s="624"/>
      <c r="K71" s="624"/>
      <c r="L71" t="s">
        <v>2389</v>
      </c>
    </row>
    <row r="72" spans="3:12" ht="13.45" x14ac:dyDescent="0.25">
      <c r="C72" s="511">
        <v>45558</v>
      </c>
    </row>
    <row r="73" spans="3:12" ht="14" x14ac:dyDescent="0.3">
      <c r="C73" s="285" t="s">
        <v>2365</v>
      </c>
      <c r="D73" s="499" t="s">
        <v>1137</v>
      </c>
      <c r="E73" s="469" t="s">
        <v>171</v>
      </c>
      <c r="F73" s="502" t="s">
        <v>159</v>
      </c>
      <c r="G73" s="624" t="s">
        <v>2390</v>
      </c>
      <c r="H73" s="624"/>
      <c r="I73" s="624"/>
      <c r="J73" s="624"/>
      <c r="K73" s="624"/>
      <c r="L73" t="s">
        <v>2389</v>
      </c>
    </row>
    <row r="74" spans="3:12" ht="13.45" x14ac:dyDescent="0.25">
      <c r="C74" s="511">
        <v>45491</v>
      </c>
    </row>
    <row r="75" spans="3:12" ht="14" x14ac:dyDescent="0.3">
      <c r="C75" s="248" t="s">
        <v>192</v>
      </c>
      <c r="D75" s="522" t="s">
        <v>193</v>
      </c>
      <c r="E75" s="469" t="s">
        <v>178</v>
      </c>
      <c r="F75" s="502" t="s">
        <v>159</v>
      </c>
      <c r="G75" t="s">
        <v>2391</v>
      </c>
      <c r="L75" s="533">
        <v>45856</v>
      </c>
    </row>
  </sheetData>
  <autoFilter ref="C2:F75" xr:uid="{00000000-0009-0000-0000-00001A000000}"/>
  <mergeCells count="2">
    <mergeCell ref="G71:K71"/>
    <mergeCell ref="G73:K73"/>
  </mergeCells>
  <dataValidations count="2">
    <dataValidation type="list" allowBlank="1" showInputMessage="1" showErrorMessage="1" prompt="Clique e insira um valor de a lista de itens" sqref="E3:E9 E11:E18 E71 E73 E75" xr:uid="{00000000-0002-0000-1A00-000000000000}">
      <formula1>"AJAJ,AJ-BIBLIOTECONOMIA,TJAA,AJAA,TJAS,AJOJ,AJEC,AJ-INFORMATICA,AJ-DESENVOLVIMENTO,TJ-INFORMÁTICA,AJ-INFRAESTRUTURA,AJ-MEDICINA,AJ-CONTADORIA,AJAE"</formula1>
      <formula2>0</formula2>
    </dataValidation>
    <dataValidation type="list" allowBlank="1" showInputMessage="1" showErrorMessage="1" prompt="Clique e insira um valor de a lista de itens" sqref="F3:F18 F71 F73 F75" xr:uid="{00000000-0002-0000-1A00-000001000000}">
      <formula1>"EFETIVO,REQUISITADO,EX. PROVISÓRIO,REMOVIDO,SEM VÍNCULO,VAGO,PROVIDO,A SER PROVIDO"</formula1>
      <formula2>0</formula2>
    </dataValidation>
  </dataValidations>
  <pageMargins left="0.51180555555555596" right="0.51180555555555596" top="0.78749999999999998" bottom="0.78749999999999998" header="0.511811023622047" footer="0.511811023622047"/>
  <pageSetup orientation="landscape" horizontalDpi="300" verticalDpi="30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B3:G49"/>
  <sheetViews>
    <sheetView topLeftCell="C1" zoomScale="110" zoomScaleNormal="110" workbookViewId="0">
      <selection activeCell="D6" activeCellId="1" sqref="B9 D6"/>
    </sheetView>
  </sheetViews>
  <sheetFormatPr defaultColWidth="12.6328125" defaultRowHeight="14.25" customHeight="1" x14ac:dyDescent="0.25"/>
  <cols>
    <col min="4" max="4" width="36.90625" customWidth="1"/>
  </cols>
  <sheetData>
    <row r="3" spans="2:6" ht="15.05" customHeight="1" x14ac:dyDescent="0.25">
      <c r="C3" s="212" t="s">
        <v>149</v>
      </c>
      <c r="D3" s="212" t="s">
        <v>150</v>
      </c>
      <c r="E3" s="212" t="s">
        <v>118</v>
      </c>
      <c r="F3" s="212" t="s">
        <v>970</v>
      </c>
    </row>
    <row r="4" spans="2:6" ht="14" x14ac:dyDescent="0.3">
      <c r="B4" s="479"/>
      <c r="C4" s="249" t="s">
        <v>2392</v>
      </c>
      <c r="D4" s="468" t="s">
        <v>2393</v>
      </c>
      <c r="E4" s="469" t="s">
        <v>290</v>
      </c>
      <c r="F4" s="502" t="s">
        <v>159</v>
      </c>
    </row>
    <row r="5" spans="2:6" ht="14" x14ac:dyDescent="0.3">
      <c r="B5" s="479"/>
      <c r="C5" s="249" t="s">
        <v>2394</v>
      </c>
      <c r="D5" s="468" t="s">
        <v>2395</v>
      </c>
      <c r="E5" s="469" t="s">
        <v>290</v>
      </c>
      <c r="F5" s="502" t="s">
        <v>159</v>
      </c>
    </row>
    <row r="6" spans="2:6" ht="14" x14ac:dyDescent="0.3">
      <c r="B6" s="479"/>
      <c r="C6" s="249" t="s">
        <v>2396</v>
      </c>
      <c r="D6" s="468" t="s">
        <v>2397</v>
      </c>
      <c r="E6" s="469" t="s">
        <v>178</v>
      </c>
      <c r="F6" s="502" t="s">
        <v>168</v>
      </c>
    </row>
    <row r="7" spans="2:6" ht="14" x14ac:dyDescent="0.3">
      <c r="B7" s="479"/>
      <c r="C7" s="249" t="s">
        <v>2398</v>
      </c>
      <c r="D7" s="468" t="s">
        <v>2399</v>
      </c>
      <c r="E7" s="469" t="s">
        <v>171</v>
      </c>
      <c r="F7" s="502" t="s">
        <v>159</v>
      </c>
    </row>
    <row r="8" spans="2:6" ht="14" x14ac:dyDescent="0.3">
      <c r="B8" s="479"/>
      <c r="C8" s="249" t="s">
        <v>2400</v>
      </c>
      <c r="D8" s="468" t="s">
        <v>2401</v>
      </c>
      <c r="E8" s="469" t="s">
        <v>171</v>
      </c>
      <c r="F8" s="502" t="s">
        <v>159</v>
      </c>
    </row>
    <row r="9" spans="2:6" ht="14" x14ac:dyDescent="0.3">
      <c r="B9" s="479"/>
      <c r="C9" s="249" t="s">
        <v>2402</v>
      </c>
      <c r="D9" s="468" t="s">
        <v>2403</v>
      </c>
      <c r="E9" s="469" t="s">
        <v>171</v>
      </c>
      <c r="F9" s="502" t="s">
        <v>159</v>
      </c>
    </row>
    <row r="10" spans="2:6" ht="14" x14ac:dyDescent="0.3">
      <c r="B10" s="479"/>
      <c r="C10" s="249" t="s">
        <v>2404</v>
      </c>
      <c r="D10" s="468" t="s">
        <v>2405</v>
      </c>
      <c r="E10" s="469" t="s">
        <v>171</v>
      </c>
      <c r="F10" s="502" t="s">
        <v>159</v>
      </c>
    </row>
    <row r="11" spans="2:6" ht="14" x14ac:dyDescent="0.3">
      <c r="B11" s="479"/>
      <c r="C11" s="249" t="s">
        <v>2406</v>
      </c>
      <c r="D11" s="468" t="s">
        <v>2407</v>
      </c>
      <c r="E11" s="469" t="s">
        <v>171</v>
      </c>
      <c r="F11" s="502" t="s">
        <v>159</v>
      </c>
    </row>
    <row r="12" spans="2:6" ht="14" x14ac:dyDescent="0.3">
      <c r="B12" s="479"/>
      <c r="C12" s="249" t="s">
        <v>2408</v>
      </c>
      <c r="D12" s="468" t="s">
        <v>2409</v>
      </c>
      <c r="E12" s="469" t="s">
        <v>171</v>
      </c>
      <c r="F12" s="502" t="s">
        <v>159</v>
      </c>
    </row>
    <row r="13" spans="2:6" ht="14" x14ac:dyDescent="0.3">
      <c r="B13" s="479"/>
      <c r="C13" s="249" t="s">
        <v>2410</v>
      </c>
      <c r="D13" s="468" t="s">
        <v>2411</v>
      </c>
      <c r="E13" s="469" t="s">
        <v>171</v>
      </c>
      <c r="F13" s="502" t="s">
        <v>246</v>
      </c>
    </row>
    <row r="14" spans="2:6" ht="14" x14ac:dyDescent="0.3">
      <c r="B14" s="479"/>
      <c r="C14" s="249" t="s">
        <v>2412</v>
      </c>
      <c r="D14" s="468" t="s">
        <v>2413</v>
      </c>
      <c r="E14" s="469" t="s">
        <v>171</v>
      </c>
      <c r="F14" s="502" t="s">
        <v>159</v>
      </c>
    </row>
    <row r="15" spans="2:6" ht="15.05" customHeight="1" x14ac:dyDescent="0.3">
      <c r="B15" s="242"/>
      <c r="C15" s="285" t="s">
        <v>2414</v>
      </c>
      <c r="D15" s="499" t="s">
        <v>2415</v>
      </c>
      <c r="E15" s="469" t="s">
        <v>171</v>
      </c>
      <c r="F15" s="502" t="s">
        <v>159</v>
      </c>
    </row>
    <row r="16" spans="2:6" ht="15.05" customHeight="1" x14ac:dyDescent="0.3">
      <c r="B16" s="242"/>
      <c r="C16" s="248" t="s">
        <v>2416</v>
      </c>
      <c r="D16" s="522" t="s">
        <v>2417</v>
      </c>
      <c r="E16" s="469"/>
      <c r="F16" s="502" t="s">
        <v>164</v>
      </c>
    </row>
    <row r="17" spans="2:7" ht="15.05" customHeight="1" x14ac:dyDescent="0.3">
      <c r="B17" s="242"/>
      <c r="C17" s="248" t="s">
        <v>2418</v>
      </c>
      <c r="D17" s="522" t="s">
        <v>1135</v>
      </c>
      <c r="E17" s="469" t="s">
        <v>171</v>
      </c>
      <c r="F17" s="502" t="s">
        <v>159</v>
      </c>
      <c r="G17" s="174"/>
    </row>
    <row r="18" spans="2:7" ht="15.05" customHeight="1" x14ac:dyDescent="0.3">
      <c r="B18" s="242"/>
      <c r="C18" s="248" t="s">
        <v>2419</v>
      </c>
      <c r="D18" s="522" t="s">
        <v>2420</v>
      </c>
      <c r="E18" s="469" t="s">
        <v>171</v>
      </c>
      <c r="F18" s="502" t="s">
        <v>159</v>
      </c>
      <c r="G18" s="174"/>
    </row>
    <row r="19" spans="2:7" ht="15.05" customHeight="1" x14ac:dyDescent="0.3">
      <c r="B19" s="479" t="s">
        <v>1862</v>
      </c>
      <c r="C19" s="248" t="s">
        <v>2421</v>
      </c>
      <c r="D19" s="522" t="s">
        <v>1108</v>
      </c>
      <c r="E19" s="469" t="s">
        <v>178</v>
      </c>
      <c r="F19" s="502" t="s">
        <v>159</v>
      </c>
    </row>
    <row r="20" spans="2:7" ht="15.05" customHeight="1" x14ac:dyDescent="0.3">
      <c r="C20" s="248" t="s">
        <v>2422</v>
      </c>
      <c r="D20" s="522" t="s">
        <v>2423</v>
      </c>
      <c r="E20" s="469"/>
      <c r="F20" s="502" t="s">
        <v>164</v>
      </c>
    </row>
    <row r="21" spans="2:7" ht="15.05" customHeight="1" x14ac:dyDescent="0.25">
      <c r="C21" s="534"/>
      <c r="D21" s="535"/>
      <c r="E21" s="535"/>
      <c r="F21" s="535"/>
    </row>
    <row r="25" spans="2:7" ht="13.45" x14ac:dyDescent="0.25">
      <c r="D25" s="337">
        <v>44805</v>
      </c>
    </row>
    <row r="26" spans="2:7" ht="67.2" x14ac:dyDescent="0.25">
      <c r="D26" s="479" t="s">
        <v>2424</v>
      </c>
    </row>
    <row r="28" spans="2:7" ht="13.45" x14ac:dyDescent="0.25">
      <c r="D28" s="337">
        <v>44881</v>
      </c>
    </row>
    <row r="29" spans="2:7" ht="13.45" x14ac:dyDescent="0.25">
      <c r="D29" s="606" t="s">
        <v>921</v>
      </c>
      <c r="E29" s="606"/>
      <c r="F29" s="606"/>
      <c r="G29" s="606"/>
    </row>
    <row r="31" spans="2:7" ht="13.45" x14ac:dyDescent="0.25">
      <c r="D31" s="530">
        <v>44958</v>
      </c>
    </row>
    <row r="32" spans="2:7" ht="13.45" x14ac:dyDescent="0.25">
      <c r="D32" t="s">
        <v>2379</v>
      </c>
    </row>
    <row r="33" spans="4:7" ht="14" x14ac:dyDescent="0.3">
      <c r="D33" s="524" t="s">
        <v>2380</v>
      </c>
    </row>
    <row r="34" spans="4:7" ht="13.45" x14ac:dyDescent="0.25">
      <c r="D34" t="s">
        <v>2381</v>
      </c>
    </row>
    <row r="35" spans="4:7" ht="13.45" x14ac:dyDescent="0.25">
      <c r="D35" t="s">
        <v>2382</v>
      </c>
    </row>
    <row r="36" spans="4:7" ht="26.9" x14ac:dyDescent="0.25">
      <c r="D36" s="479" t="s">
        <v>2112</v>
      </c>
    </row>
    <row r="37" spans="4:7" ht="26.9" x14ac:dyDescent="0.25">
      <c r="D37" s="479" t="s">
        <v>2113</v>
      </c>
    </row>
    <row r="38" spans="4:7" ht="26.9" x14ac:dyDescent="0.25">
      <c r="D38" s="479" t="s">
        <v>2114</v>
      </c>
    </row>
    <row r="39" spans="4:7" ht="26.9" x14ac:dyDescent="0.25">
      <c r="D39" s="479" t="s">
        <v>2115</v>
      </c>
    </row>
    <row r="40" spans="4:7" ht="26.9" x14ac:dyDescent="0.25">
      <c r="D40" s="479" t="s">
        <v>2425</v>
      </c>
    </row>
    <row r="41" spans="4:7" ht="16.149999999999999" x14ac:dyDescent="0.5">
      <c r="D41" s="531" t="s">
        <v>2384</v>
      </c>
    </row>
    <row r="42" spans="4:7" ht="26.9" x14ac:dyDescent="0.25">
      <c r="D42" s="479" t="s">
        <v>2116</v>
      </c>
    </row>
    <row r="43" spans="4:7" ht="13.45" x14ac:dyDescent="0.25">
      <c r="D43" s="605" t="s">
        <v>2426</v>
      </c>
      <c r="E43" s="605"/>
      <c r="F43" s="605"/>
      <c r="G43" s="605"/>
    </row>
    <row r="45" spans="4:7" ht="13.45" x14ac:dyDescent="0.25">
      <c r="D45" s="523">
        <v>45078</v>
      </c>
    </row>
    <row r="46" spans="4:7" ht="26.9" x14ac:dyDescent="0.25">
      <c r="D46" s="479" t="s">
        <v>2427</v>
      </c>
    </row>
    <row r="48" spans="4:7" ht="13.45" x14ac:dyDescent="0.25">
      <c r="D48" s="337">
        <v>45139</v>
      </c>
    </row>
    <row r="49" spans="4:4" ht="26.9" x14ac:dyDescent="0.25">
      <c r="D49" s="479" t="s">
        <v>2428</v>
      </c>
    </row>
  </sheetData>
  <autoFilter ref="C3:F21" xr:uid="{00000000-0009-0000-0000-00001B000000}"/>
  <mergeCells count="2">
    <mergeCell ref="D29:G29"/>
    <mergeCell ref="D43:G43"/>
  </mergeCells>
  <dataValidations count="2">
    <dataValidation type="list" allowBlank="1" showInputMessage="1" showErrorMessage="1" prompt="Clique e insira um valor de a lista de itens" sqref="E4:E20" xr:uid="{00000000-0002-0000-1B00-000000000000}">
      <formula1>"AJAJ,AJ-BIBLIOTECONOMIA,TJAA,AJAA,TJAS,AJOJ,AJEC,AJ-INFORMATICA,AJ-DESENVOLVIMENTO,TJ-INFORMÁTICA,AJ-INFRAESTRUTURA,AJ-MEDICINA,AJ-CONTADORIA,AJAE"</formula1>
      <formula2>0</formula2>
    </dataValidation>
    <dataValidation type="list" allowBlank="1" showInputMessage="1" showErrorMessage="1" prompt="Clique e insira um valor de a lista de itens" sqref="F4:F20" xr:uid="{00000000-0002-0000-1B00-000001000000}">
      <formula1>"EFETIVO,REQUISITADO,EX. PROVISÓRIO,REMOVIDO,SEM VÍNCULO,VAGO,PROVIDO,A SER PROVIDO"</formula1>
      <formula2>0</formula2>
    </dataValidation>
  </dataValidations>
  <pageMargins left="0.51180555555555596" right="0.51180555555555596" top="0.78749999999999998" bottom="0.78749999999999998" header="0.511811023622047" footer="0.511811023622047"/>
  <pageSetup orientation="landscape" horizontalDpi="300" verticalDpi="30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filterMode="1"/>
  <dimension ref="A3:AA110"/>
  <sheetViews>
    <sheetView topLeftCell="D2" zoomScale="110" zoomScaleNormal="110" workbookViewId="0">
      <selection activeCell="I24" activeCellId="1" sqref="B9 I24"/>
    </sheetView>
  </sheetViews>
  <sheetFormatPr defaultColWidth="12.6328125" defaultRowHeight="14.25" customHeight="1" x14ac:dyDescent="0.25"/>
  <cols>
    <col min="4" max="4" width="32.453125" customWidth="1"/>
  </cols>
  <sheetData>
    <row r="3" spans="2:8" ht="28.5" customHeight="1" x14ac:dyDescent="0.25">
      <c r="C3" s="212" t="s">
        <v>149</v>
      </c>
      <c r="D3" s="212" t="s">
        <v>150</v>
      </c>
      <c r="E3" s="212" t="s">
        <v>118</v>
      </c>
      <c r="F3" s="212" t="s">
        <v>970</v>
      </c>
      <c r="G3" s="212" t="s">
        <v>1651</v>
      </c>
    </row>
    <row r="4" spans="2:8" ht="14" x14ac:dyDescent="0.3">
      <c r="B4" s="479"/>
      <c r="C4" s="249" t="s">
        <v>2429</v>
      </c>
      <c r="D4" s="468" t="s">
        <v>2430</v>
      </c>
      <c r="E4" s="469" t="s">
        <v>290</v>
      </c>
      <c r="F4" s="502" t="s">
        <v>159</v>
      </c>
      <c r="G4" s="468" t="s">
        <v>2431</v>
      </c>
    </row>
    <row r="5" spans="2:8" ht="14" x14ac:dyDescent="0.3">
      <c r="B5" s="479"/>
      <c r="C5" s="249" t="s">
        <v>2432</v>
      </c>
      <c r="D5" s="468" t="s">
        <v>2433</v>
      </c>
      <c r="E5" s="469" t="s">
        <v>171</v>
      </c>
      <c r="F5" s="502" t="s">
        <v>159</v>
      </c>
      <c r="G5" s="468" t="s">
        <v>2431</v>
      </c>
    </row>
    <row r="6" spans="2:8" ht="14" x14ac:dyDescent="0.3">
      <c r="B6" s="479"/>
      <c r="C6" s="249" t="s">
        <v>1986</v>
      </c>
      <c r="D6" s="468" t="s">
        <v>2434</v>
      </c>
      <c r="E6" s="469" t="s">
        <v>171</v>
      </c>
      <c r="F6" s="502" t="s">
        <v>159</v>
      </c>
      <c r="G6" s="468" t="s">
        <v>2431</v>
      </c>
    </row>
    <row r="7" spans="2:8" ht="14" x14ac:dyDescent="0.3">
      <c r="B7" s="479"/>
      <c r="C7" s="249" t="s">
        <v>2435</v>
      </c>
      <c r="D7" s="468" t="s">
        <v>2436</v>
      </c>
      <c r="E7" s="469" t="s">
        <v>178</v>
      </c>
      <c r="F7" s="502" t="s">
        <v>159</v>
      </c>
      <c r="G7" s="468" t="s">
        <v>2431</v>
      </c>
    </row>
    <row r="8" spans="2:8" ht="14" x14ac:dyDescent="0.3">
      <c r="B8" s="479"/>
      <c r="C8" s="249" t="s">
        <v>2437</v>
      </c>
      <c r="D8" s="468" t="s">
        <v>2438</v>
      </c>
      <c r="E8" s="469" t="s">
        <v>178</v>
      </c>
      <c r="F8" s="502" t="s">
        <v>159</v>
      </c>
      <c r="G8" s="468" t="s">
        <v>2431</v>
      </c>
    </row>
    <row r="9" spans="2:8" ht="14" x14ac:dyDescent="0.3">
      <c r="B9" s="479" t="s">
        <v>1853</v>
      </c>
      <c r="C9" s="249" t="s">
        <v>2439</v>
      </c>
      <c r="D9" s="468" t="s">
        <v>2440</v>
      </c>
      <c r="E9" s="469"/>
      <c r="F9" s="502" t="s">
        <v>2132</v>
      </c>
      <c r="G9" s="468" t="s">
        <v>2431</v>
      </c>
    </row>
    <row r="10" spans="2:8" ht="14" x14ac:dyDescent="0.3">
      <c r="B10" s="536"/>
      <c r="C10" s="249" t="s">
        <v>2441</v>
      </c>
      <c r="D10" s="468" t="s">
        <v>2442</v>
      </c>
      <c r="E10" s="469" t="s">
        <v>171</v>
      </c>
      <c r="F10" s="502" t="s">
        <v>159</v>
      </c>
      <c r="G10" s="468" t="s">
        <v>2431</v>
      </c>
    </row>
    <row r="11" spans="2:8" ht="14" x14ac:dyDescent="0.3">
      <c r="B11" s="479" t="s">
        <v>2072</v>
      </c>
      <c r="C11" s="249" t="s">
        <v>2443</v>
      </c>
      <c r="D11" s="468" t="s">
        <v>2444</v>
      </c>
      <c r="E11" s="469" t="s">
        <v>213</v>
      </c>
      <c r="F11" s="502" t="s">
        <v>159</v>
      </c>
      <c r="G11" s="468" t="s">
        <v>2431</v>
      </c>
    </row>
    <row r="12" spans="2:8" ht="14" x14ac:dyDescent="0.3">
      <c r="B12" s="479"/>
      <c r="C12" s="249" t="s">
        <v>2445</v>
      </c>
      <c r="D12" s="468" t="s">
        <v>2446</v>
      </c>
      <c r="E12" s="469" t="s">
        <v>213</v>
      </c>
      <c r="F12" s="502" t="s">
        <v>159</v>
      </c>
      <c r="G12" s="468" t="s">
        <v>2431</v>
      </c>
    </row>
    <row r="13" spans="2:8" ht="14" hidden="1" x14ac:dyDescent="0.3">
      <c r="C13" s="249" t="s">
        <v>2447</v>
      </c>
      <c r="D13" s="468" t="s">
        <v>2448</v>
      </c>
      <c r="E13" s="469" t="s">
        <v>171</v>
      </c>
      <c r="F13" s="502" t="s">
        <v>159</v>
      </c>
      <c r="G13" s="468" t="s">
        <v>2449</v>
      </c>
      <c r="H13" s="16" t="s">
        <v>2450</v>
      </c>
    </row>
    <row r="14" spans="2:8" ht="14" x14ac:dyDescent="0.3">
      <c r="B14" s="479"/>
      <c r="C14" s="249" t="s">
        <v>2451</v>
      </c>
      <c r="D14" s="468" t="s">
        <v>2452</v>
      </c>
      <c r="E14" s="468"/>
      <c r="F14" s="502" t="s">
        <v>164</v>
      </c>
      <c r="G14" s="468" t="s">
        <v>2431</v>
      </c>
    </row>
    <row r="15" spans="2:8" ht="14" x14ac:dyDescent="0.3">
      <c r="B15" s="536"/>
      <c r="C15" s="249" t="s">
        <v>2453</v>
      </c>
      <c r="D15" s="468" t="s">
        <v>2454</v>
      </c>
      <c r="E15" s="469" t="s">
        <v>171</v>
      </c>
      <c r="F15" s="502" t="s">
        <v>159</v>
      </c>
      <c r="G15" s="468" t="s">
        <v>2431</v>
      </c>
    </row>
    <row r="16" spans="2:8" ht="14" x14ac:dyDescent="0.3">
      <c r="B16" s="479"/>
      <c r="C16" s="249" t="s">
        <v>2455</v>
      </c>
      <c r="D16" s="468" t="s">
        <v>2456</v>
      </c>
      <c r="E16" s="469" t="s">
        <v>171</v>
      </c>
      <c r="F16" s="502" t="s">
        <v>159</v>
      </c>
      <c r="G16" s="468" t="s">
        <v>2431</v>
      </c>
    </row>
    <row r="17" spans="2:8" ht="14" x14ac:dyDescent="0.3">
      <c r="B17" s="479"/>
      <c r="C17" s="249" t="s">
        <v>2457</v>
      </c>
      <c r="D17" s="468" t="s">
        <v>2458</v>
      </c>
      <c r="E17" s="469" t="s">
        <v>167</v>
      </c>
      <c r="F17" s="502" t="s">
        <v>159</v>
      </c>
      <c r="G17" s="468" t="s">
        <v>2431</v>
      </c>
    </row>
    <row r="18" spans="2:8" ht="14" x14ac:dyDescent="0.3">
      <c r="B18" s="479"/>
      <c r="C18" s="249" t="s">
        <v>2457</v>
      </c>
      <c r="D18" s="468" t="s">
        <v>2448</v>
      </c>
      <c r="E18" s="469" t="s">
        <v>171</v>
      </c>
      <c r="F18" s="502" t="s">
        <v>159</v>
      </c>
      <c r="G18" s="468" t="s">
        <v>2431</v>
      </c>
      <c r="H18" s="16"/>
    </row>
    <row r="19" spans="2:8" ht="14" x14ac:dyDescent="0.3">
      <c r="C19" s="249" t="s">
        <v>2459</v>
      </c>
      <c r="D19" s="537" t="s">
        <v>1377</v>
      </c>
      <c r="E19" s="469" t="s">
        <v>171</v>
      </c>
      <c r="F19" s="502" t="s">
        <v>159</v>
      </c>
      <c r="G19" s="522" t="s">
        <v>2431</v>
      </c>
      <c r="H19" s="16"/>
    </row>
    <row r="20" spans="2:8" ht="14" x14ac:dyDescent="0.3">
      <c r="C20" s="249" t="s">
        <v>2460</v>
      </c>
      <c r="D20" s="468" t="s">
        <v>2461</v>
      </c>
      <c r="E20" s="469" t="s">
        <v>178</v>
      </c>
      <c r="F20" s="502" t="s">
        <v>159</v>
      </c>
      <c r="G20" s="468" t="s">
        <v>2431</v>
      </c>
      <c r="H20" s="16"/>
    </row>
    <row r="21" spans="2:8" ht="15.05" customHeight="1" x14ac:dyDescent="0.3">
      <c r="C21" s="249" t="s">
        <v>2462</v>
      </c>
      <c r="D21" s="468" t="s">
        <v>2463</v>
      </c>
      <c r="E21" s="469" t="s">
        <v>178</v>
      </c>
      <c r="F21" s="502" t="s">
        <v>159</v>
      </c>
      <c r="G21" s="468" t="s">
        <v>2431</v>
      </c>
    </row>
    <row r="22" spans="2:8" ht="14" x14ac:dyDescent="0.3">
      <c r="C22" s="249" t="s">
        <v>1854</v>
      </c>
      <c r="D22" s="468" t="s">
        <v>2464</v>
      </c>
      <c r="E22" s="469" t="s">
        <v>178</v>
      </c>
      <c r="F22" s="502" t="s">
        <v>159</v>
      </c>
      <c r="G22" s="468" t="s">
        <v>2431</v>
      </c>
      <c r="H22" s="16"/>
    </row>
    <row r="23" spans="2:8" ht="14" hidden="1" x14ac:dyDescent="0.3">
      <c r="C23" s="249" t="s">
        <v>2465</v>
      </c>
      <c r="D23" s="468" t="s">
        <v>2466</v>
      </c>
      <c r="E23" s="468"/>
      <c r="F23" s="502" t="s">
        <v>164</v>
      </c>
      <c r="G23" s="468" t="s">
        <v>2449</v>
      </c>
      <c r="H23" s="16" t="s">
        <v>2467</v>
      </c>
    </row>
    <row r="24" spans="2:8" ht="14" x14ac:dyDescent="0.3">
      <c r="C24" s="538" t="s">
        <v>2468</v>
      </c>
      <c r="D24" s="522" t="s">
        <v>2469</v>
      </c>
      <c r="E24" s="469" t="s">
        <v>290</v>
      </c>
      <c r="F24" s="502" t="s">
        <v>159</v>
      </c>
      <c r="G24" s="522" t="s">
        <v>2470</v>
      </c>
    </row>
    <row r="25" spans="2:8" ht="14" x14ac:dyDescent="0.3">
      <c r="C25" s="538" t="s">
        <v>2471</v>
      </c>
      <c r="D25" s="522" t="s">
        <v>2472</v>
      </c>
      <c r="E25" s="522" t="s">
        <v>178</v>
      </c>
      <c r="F25" s="502" t="s">
        <v>159</v>
      </c>
      <c r="G25" s="522" t="s">
        <v>2470</v>
      </c>
    </row>
    <row r="26" spans="2:8" ht="14" x14ac:dyDescent="0.3">
      <c r="C26" s="538" t="s">
        <v>2473</v>
      </c>
      <c r="D26" s="522" t="s">
        <v>2474</v>
      </c>
      <c r="E26" s="522" t="s">
        <v>171</v>
      </c>
      <c r="F26" s="502" t="s">
        <v>159</v>
      </c>
      <c r="G26" s="522" t="s">
        <v>2470</v>
      </c>
    </row>
    <row r="27" spans="2:8" ht="14" x14ac:dyDescent="0.3">
      <c r="C27" s="538" t="s">
        <v>2475</v>
      </c>
      <c r="D27" s="522" t="s">
        <v>2476</v>
      </c>
      <c r="E27" s="522" t="s">
        <v>213</v>
      </c>
      <c r="F27" s="502" t="s">
        <v>168</v>
      </c>
      <c r="G27" s="522" t="s">
        <v>2470</v>
      </c>
    </row>
    <row r="28" spans="2:8" ht="14" x14ac:dyDescent="0.3">
      <c r="C28" s="538" t="s">
        <v>2477</v>
      </c>
      <c r="D28" s="522" t="s">
        <v>2478</v>
      </c>
      <c r="E28" s="522" t="s">
        <v>213</v>
      </c>
      <c r="F28" s="502" t="s">
        <v>159</v>
      </c>
      <c r="G28" s="522" t="s">
        <v>2470</v>
      </c>
    </row>
    <row r="29" spans="2:8" ht="14" x14ac:dyDescent="0.3">
      <c r="C29" s="538" t="s">
        <v>2479</v>
      </c>
      <c r="D29" s="522" t="s">
        <v>2480</v>
      </c>
      <c r="E29" s="522" t="s">
        <v>213</v>
      </c>
      <c r="F29" s="502" t="s">
        <v>159</v>
      </c>
      <c r="G29" s="522" t="s">
        <v>2470</v>
      </c>
    </row>
    <row r="30" spans="2:8" ht="14" x14ac:dyDescent="0.3">
      <c r="C30" s="538" t="s">
        <v>2481</v>
      </c>
      <c r="D30" s="522" t="s">
        <v>2482</v>
      </c>
      <c r="E30" s="522" t="s">
        <v>290</v>
      </c>
      <c r="F30" s="502" t="s">
        <v>159</v>
      </c>
      <c r="G30" s="522" t="s">
        <v>2470</v>
      </c>
    </row>
    <row r="31" spans="2:8" ht="14" x14ac:dyDescent="0.3">
      <c r="C31" s="538" t="s">
        <v>2483</v>
      </c>
      <c r="D31" s="522" t="s">
        <v>2484</v>
      </c>
      <c r="E31" s="522" t="s">
        <v>178</v>
      </c>
      <c r="F31" s="502" t="s">
        <v>159</v>
      </c>
      <c r="G31" s="522" t="s">
        <v>2470</v>
      </c>
    </row>
    <row r="32" spans="2:8" ht="14" x14ac:dyDescent="0.3">
      <c r="B32" s="479" t="s">
        <v>1853</v>
      </c>
      <c r="C32" s="538" t="s">
        <v>2485</v>
      </c>
      <c r="D32" s="522" t="s">
        <v>2486</v>
      </c>
      <c r="E32" s="522" t="s">
        <v>178</v>
      </c>
      <c r="F32" s="502" t="s">
        <v>159</v>
      </c>
      <c r="G32" s="522" t="s">
        <v>2470</v>
      </c>
    </row>
    <row r="33" spans="1:27" ht="14" x14ac:dyDescent="0.3">
      <c r="C33" s="538" t="s">
        <v>2487</v>
      </c>
      <c r="D33" s="522" t="s">
        <v>2488</v>
      </c>
      <c r="E33" s="522" t="s">
        <v>171</v>
      </c>
      <c r="F33" s="502" t="s">
        <v>159</v>
      </c>
      <c r="G33" s="522" t="s">
        <v>2470</v>
      </c>
    </row>
    <row r="34" spans="1:27" ht="14" x14ac:dyDescent="0.3">
      <c r="C34" s="538" t="s">
        <v>2489</v>
      </c>
      <c r="D34" s="522" t="s">
        <v>2490</v>
      </c>
      <c r="E34" s="522" t="s">
        <v>171</v>
      </c>
      <c r="F34" s="502" t="s">
        <v>159</v>
      </c>
      <c r="G34" s="522" t="s">
        <v>2470</v>
      </c>
    </row>
    <row r="35" spans="1:27" ht="14" x14ac:dyDescent="0.3">
      <c r="C35" s="538" t="s">
        <v>2491</v>
      </c>
      <c r="D35" s="522" t="s">
        <v>2492</v>
      </c>
      <c r="E35" s="522" t="s">
        <v>171</v>
      </c>
      <c r="F35" s="502" t="s">
        <v>159</v>
      </c>
      <c r="G35" s="522" t="s">
        <v>2470</v>
      </c>
    </row>
    <row r="36" spans="1:27" ht="14" x14ac:dyDescent="0.3">
      <c r="C36" s="538" t="s">
        <v>2493</v>
      </c>
      <c r="D36" s="522" t="s">
        <v>2494</v>
      </c>
      <c r="E36" s="522" t="s">
        <v>171</v>
      </c>
      <c r="F36" s="502" t="s">
        <v>159</v>
      </c>
      <c r="G36" s="522" t="s">
        <v>2470</v>
      </c>
    </row>
    <row r="37" spans="1:27" ht="14" x14ac:dyDescent="0.3">
      <c r="C37" s="538" t="s">
        <v>2495</v>
      </c>
      <c r="D37" s="522" t="s">
        <v>2496</v>
      </c>
      <c r="E37" s="522" t="s">
        <v>171</v>
      </c>
      <c r="F37" s="502" t="s">
        <v>159</v>
      </c>
      <c r="G37" s="522" t="s">
        <v>2470</v>
      </c>
    </row>
    <row r="38" spans="1:27" ht="14" x14ac:dyDescent="0.3">
      <c r="C38" s="538" t="s">
        <v>2497</v>
      </c>
      <c r="D38" s="522" t="s">
        <v>2498</v>
      </c>
      <c r="E38" s="522" t="s">
        <v>171</v>
      </c>
      <c r="F38" s="502" t="s">
        <v>159</v>
      </c>
      <c r="G38" s="522" t="s">
        <v>2470</v>
      </c>
    </row>
    <row r="39" spans="1:27" ht="14" x14ac:dyDescent="0.3">
      <c r="A39" s="16"/>
      <c r="B39" s="276"/>
      <c r="C39" s="285" t="s">
        <v>2499</v>
      </c>
      <c r="D39" s="499" t="s">
        <v>2500</v>
      </c>
      <c r="E39" s="499" t="s">
        <v>290</v>
      </c>
      <c r="F39" s="502" t="s">
        <v>159</v>
      </c>
      <c r="G39" s="499" t="s">
        <v>2431</v>
      </c>
      <c r="H39" s="16"/>
      <c r="I39" s="16"/>
      <c r="J39" s="16"/>
      <c r="K39" s="16"/>
      <c r="L39" s="16"/>
      <c r="M39" s="16"/>
      <c r="N39" s="16"/>
      <c r="O39" s="16"/>
      <c r="P39" s="16"/>
      <c r="Q39" s="16"/>
      <c r="R39" s="16"/>
      <c r="S39" s="16"/>
      <c r="T39" s="16"/>
      <c r="U39" s="16"/>
      <c r="V39" s="16"/>
      <c r="W39" s="16"/>
      <c r="X39" s="16"/>
      <c r="Y39" s="16"/>
      <c r="Z39" s="16"/>
      <c r="AA39" s="16"/>
    </row>
    <row r="40" spans="1:27" ht="14" x14ac:dyDescent="0.3">
      <c r="C40" s="285" t="s">
        <v>2501</v>
      </c>
      <c r="D40" s="468" t="s">
        <v>1302</v>
      </c>
      <c r="E40" s="468" t="s">
        <v>178</v>
      </c>
      <c r="F40" s="502" t="s">
        <v>159</v>
      </c>
      <c r="G40" s="522" t="s">
        <v>2470</v>
      </c>
    </row>
    <row r="41" spans="1:27" ht="14" x14ac:dyDescent="0.3">
      <c r="C41" s="538" t="s">
        <v>2502</v>
      </c>
      <c r="D41" s="522" t="s">
        <v>2503</v>
      </c>
      <c r="E41" s="522"/>
      <c r="F41" s="502" t="s">
        <v>164</v>
      </c>
      <c r="G41" s="522" t="s">
        <v>2470</v>
      </c>
      <c r="H41" s="16"/>
    </row>
    <row r="42" spans="1:27" ht="14" x14ac:dyDescent="0.3">
      <c r="B42" s="479"/>
      <c r="C42" s="539" t="s">
        <v>2504</v>
      </c>
      <c r="D42" s="540" t="s">
        <v>2505</v>
      </c>
      <c r="E42" s="468"/>
      <c r="F42" s="502" t="s">
        <v>168</v>
      </c>
      <c r="G42" s="468" t="s">
        <v>2470</v>
      </c>
      <c r="H42" s="16"/>
    </row>
    <row r="43" spans="1:27" ht="14" x14ac:dyDescent="0.3">
      <c r="C43" s="538" t="s">
        <v>2506</v>
      </c>
      <c r="D43" s="522" t="s">
        <v>2507</v>
      </c>
      <c r="E43" s="522" t="s">
        <v>167</v>
      </c>
      <c r="F43" s="502" t="s">
        <v>159</v>
      </c>
      <c r="G43" s="522" t="s">
        <v>2470</v>
      </c>
      <c r="H43" s="16"/>
    </row>
    <row r="44" spans="1:27" ht="14" hidden="1" x14ac:dyDescent="0.3">
      <c r="C44" s="538" t="s">
        <v>2508</v>
      </c>
      <c r="D44" s="522" t="s">
        <v>2509</v>
      </c>
      <c r="E44" s="522"/>
      <c r="F44" s="502" t="s">
        <v>164</v>
      </c>
      <c r="G44" s="468" t="s">
        <v>2449</v>
      </c>
      <c r="H44" s="16" t="s">
        <v>2510</v>
      </c>
    </row>
    <row r="45" spans="1:27" ht="14" x14ac:dyDescent="0.3">
      <c r="D45" s="16"/>
    </row>
    <row r="46" spans="1:27" ht="14" x14ac:dyDescent="0.3">
      <c r="D46" s="16" t="s">
        <v>2511</v>
      </c>
    </row>
    <row r="47" spans="1:27" ht="14" x14ac:dyDescent="0.3">
      <c r="D47" s="16" t="s">
        <v>2512</v>
      </c>
    </row>
    <row r="49" spans="4:4" ht="14" x14ac:dyDescent="0.3">
      <c r="D49" s="16" t="s">
        <v>2513</v>
      </c>
    </row>
    <row r="50" spans="4:4" ht="14" x14ac:dyDescent="0.3">
      <c r="D50" s="16" t="s">
        <v>2514</v>
      </c>
    </row>
    <row r="54" spans="4:4" ht="14" x14ac:dyDescent="0.3">
      <c r="D54" s="16" t="s">
        <v>2515</v>
      </c>
    </row>
    <row r="55" spans="4:4" ht="14" x14ac:dyDescent="0.3">
      <c r="D55" s="16" t="s">
        <v>2516</v>
      </c>
    </row>
    <row r="56" spans="4:4" ht="14" x14ac:dyDescent="0.3">
      <c r="D56" s="16" t="s">
        <v>2517</v>
      </c>
    </row>
    <row r="58" spans="4:4" ht="14" x14ac:dyDescent="0.3">
      <c r="D58" s="16" t="s">
        <v>831</v>
      </c>
    </row>
    <row r="59" spans="4:4" ht="14" x14ac:dyDescent="0.3">
      <c r="D59" s="501" t="s">
        <v>2518</v>
      </c>
    </row>
    <row r="60" spans="4:4" ht="14" x14ac:dyDescent="0.3">
      <c r="D60" s="16" t="s">
        <v>2519</v>
      </c>
    </row>
    <row r="61" spans="4:4" ht="14" x14ac:dyDescent="0.3">
      <c r="D61" s="16" t="s">
        <v>2520</v>
      </c>
    </row>
    <row r="63" spans="4:4" ht="14" x14ac:dyDescent="0.3">
      <c r="D63" s="16" t="s">
        <v>837</v>
      </c>
    </row>
    <row r="64" spans="4:4" ht="14" x14ac:dyDescent="0.3">
      <c r="D64" s="16" t="s">
        <v>2521</v>
      </c>
    </row>
    <row r="66" spans="4:4" ht="13.45" x14ac:dyDescent="0.25">
      <c r="D66" s="479" t="s">
        <v>842</v>
      </c>
    </row>
    <row r="67" spans="4:4" ht="53.75" x14ac:dyDescent="0.25">
      <c r="D67" s="479" t="s">
        <v>2522</v>
      </c>
    </row>
    <row r="69" spans="4:4" ht="13.45" x14ac:dyDescent="0.25">
      <c r="D69" s="479" t="s">
        <v>858</v>
      </c>
    </row>
    <row r="70" spans="4:4" ht="14" x14ac:dyDescent="0.3">
      <c r="D70" s="16" t="s">
        <v>2523</v>
      </c>
    </row>
    <row r="71" spans="4:4" ht="14" x14ac:dyDescent="0.3">
      <c r="D71" s="16" t="s">
        <v>2524</v>
      </c>
    </row>
    <row r="73" spans="4:4" ht="13.45" x14ac:dyDescent="0.25">
      <c r="D73" s="479" t="s">
        <v>870</v>
      </c>
    </row>
    <row r="74" spans="4:4" ht="14" x14ac:dyDescent="0.3">
      <c r="D74" s="16" t="s">
        <v>2525</v>
      </c>
    </row>
    <row r="75" spans="4:4" ht="14" x14ac:dyDescent="0.3">
      <c r="D75" s="16" t="s">
        <v>2526</v>
      </c>
    </row>
    <row r="76" spans="4:4" ht="14" x14ac:dyDescent="0.3">
      <c r="D76" s="16" t="s">
        <v>2527</v>
      </c>
    </row>
    <row r="77" spans="4:4" ht="14" x14ac:dyDescent="0.3">
      <c r="D77" s="16" t="s">
        <v>2528</v>
      </c>
    </row>
    <row r="79" spans="4:4" ht="13.45" x14ac:dyDescent="0.25">
      <c r="D79" s="479" t="s">
        <v>883</v>
      </c>
    </row>
    <row r="80" spans="4:4" ht="14" x14ac:dyDescent="0.3">
      <c r="D80" s="16" t="s">
        <v>2529</v>
      </c>
    </row>
    <row r="81" spans="4:4" ht="14" x14ac:dyDescent="0.3">
      <c r="D81" s="16" t="s">
        <v>2530</v>
      </c>
    </row>
    <row r="82" spans="4:4" ht="14" x14ac:dyDescent="0.3">
      <c r="D82" s="16" t="s">
        <v>2531</v>
      </c>
    </row>
    <row r="84" spans="4:4" ht="13.45" x14ac:dyDescent="0.25">
      <c r="D84" s="479" t="s">
        <v>901</v>
      </c>
    </row>
    <row r="85" spans="4:4" ht="40.299999999999997" x14ac:dyDescent="0.25">
      <c r="D85" s="479" t="s">
        <v>2532</v>
      </c>
    </row>
    <row r="87" spans="4:4" ht="13.45" x14ac:dyDescent="0.25">
      <c r="D87" s="479" t="s">
        <v>2533</v>
      </c>
    </row>
    <row r="88" spans="4:4" ht="67.2" x14ac:dyDescent="0.25">
      <c r="D88" s="479" t="s">
        <v>2534</v>
      </c>
    </row>
    <row r="89" spans="4:4" ht="53.75" x14ac:dyDescent="0.25">
      <c r="D89" s="479" t="s">
        <v>2535</v>
      </c>
    </row>
    <row r="91" spans="4:4" ht="13.45" x14ac:dyDescent="0.25">
      <c r="D91" s="479" t="s">
        <v>1014</v>
      </c>
    </row>
    <row r="92" spans="4:4" ht="67.2" x14ac:dyDescent="0.25">
      <c r="D92" s="479" t="s">
        <v>2536</v>
      </c>
    </row>
    <row r="93" spans="4:4" ht="40.299999999999997" x14ac:dyDescent="0.25">
      <c r="D93" s="479" t="s">
        <v>2537</v>
      </c>
    </row>
    <row r="95" spans="4:4" ht="13.45" x14ac:dyDescent="0.25">
      <c r="D95" s="479" t="s">
        <v>2538</v>
      </c>
    </row>
    <row r="96" spans="4:4" ht="40.299999999999997" x14ac:dyDescent="0.25">
      <c r="D96" s="479" t="s">
        <v>2539</v>
      </c>
    </row>
    <row r="97" spans="4:8" ht="13.45" x14ac:dyDescent="0.25">
      <c r="D97" s="605" t="s">
        <v>2540</v>
      </c>
      <c r="E97" s="605"/>
      <c r="F97" s="605"/>
      <c r="G97" s="605"/>
    </row>
    <row r="99" spans="4:8" ht="13.45" x14ac:dyDescent="0.25">
      <c r="D99" s="337">
        <v>45078</v>
      </c>
    </row>
    <row r="100" spans="4:8" ht="26.9" x14ac:dyDescent="0.25">
      <c r="D100" s="479" t="s">
        <v>2541</v>
      </c>
    </row>
    <row r="101" spans="4:8" ht="26.9" x14ac:dyDescent="0.25">
      <c r="D101" s="479" t="s">
        <v>2542</v>
      </c>
    </row>
    <row r="103" spans="4:8" ht="13.45" x14ac:dyDescent="0.25">
      <c r="D103" s="337">
        <v>45200</v>
      </c>
    </row>
    <row r="104" spans="4:8" ht="26.9" x14ac:dyDescent="0.25">
      <c r="D104" s="479" t="s">
        <v>2543</v>
      </c>
    </row>
    <row r="106" spans="4:8" ht="13.45" x14ac:dyDescent="0.25">
      <c r="D106" s="541">
        <v>45261</v>
      </c>
    </row>
    <row r="107" spans="4:8" ht="13.45" x14ac:dyDescent="0.25">
      <c r="D107" t="s">
        <v>2544</v>
      </c>
    </row>
    <row r="109" spans="4:8" ht="13.45" x14ac:dyDescent="0.25">
      <c r="D109" s="504" t="s">
        <v>2545</v>
      </c>
    </row>
    <row r="110" spans="4:8" ht="14" x14ac:dyDescent="0.3">
      <c r="D110" s="249" t="s">
        <v>2546</v>
      </c>
      <c r="E110" s="468" t="s">
        <v>2547</v>
      </c>
      <c r="F110" s="469" t="s">
        <v>171</v>
      </c>
      <c r="G110" s="502" t="s">
        <v>168</v>
      </c>
      <c r="H110" s="468" t="s">
        <v>2431</v>
      </c>
    </row>
  </sheetData>
  <autoFilter ref="C3:G44" xr:uid="{00000000-0009-0000-0000-00001C000000}">
    <filterColumn colId="4">
      <filters>
        <filter val="15ªVARA"/>
        <filter val="29ªVARA"/>
      </filters>
    </filterColumn>
  </autoFilter>
  <mergeCells count="1">
    <mergeCell ref="D97:G97"/>
  </mergeCells>
  <dataValidations count="2">
    <dataValidation type="list" allowBlank="1" showInputMessage="1" showErrorMessage="1" prompt="Clique e insira um valor de a lista de itens" sqref="E4:E13 E15:E22 E24 F110" xr:uid="{00000000-0002-0000-1C00-000000000000}">
      <formula1>"AJAJ,AJ-BIBLIOTECONOMIA,TJAA,AJAA,TJAS,AJOJ,AJEC,AJ-INFORMATICA,AJ-DESENVOLVIMENTO,TJ-INFORMÁTICA,AJ-INFRAESTRUTURA,AJ-MEDICINA,AJ-CONTADORIA,AJAE"</formula1>
      <formula2>0</formula2>
    </dataValidation>
    <dataValidation type="list" allowBlank="1" showInputMessage="1" showErrorMessage="1" prompt="Clique e insira um valor de a lista de itens" sqref="F4:F44 G110" xr:uid="{00000000-0002-0000-1C00-000001000000}">
      <formula1>"EFETIVO,REQUISITADO,EX. PROVISÓRIO,REMOVIDO,SEM VÍNCULO,VAGO,PROVIDO,A SER PROVIDO"</formula1>
      <formula2>0</formula2>
    </dataValidation>
  </dataValidations>
  <pageMargins left="0.51180555555555596" right="0.51180555555555596" top="0.78749999999999998" bottom="0.78749999999999998" header="0.511811023622047" footer="0.511811023622047"/>
  <pageSetup orientation="landscape"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129"/>
  <sheetViews>
    <sheetView showGridLines="0" topLeftCell="A91" zoomScale="110" zoomScaleNormal="110" workbookViewId="0">
      <selection activeCell="A100" activeCellId="1" sqref="B9 A100"/>
    </sheetView>
  </sheetViews>
  <sheetFormatPr defaultColWidth="12.6328125" defaultRowHeight="14.25" customHeight="1" x14ac:dyDescent="0.25"/>
  <cols>
    <col min="1" max="1" width="22.26953125" customWidth="1"/>
    <col min="2" max="2" width="79" customWidth="1"/>
  </cols>
  <sheetData>
    <row r="1" spans="1:4" ht="14.25" customHeight="1" x14ac:dyDescent="0.25">
      <c r="A1" s="181" t="s">
        <v>116</v>
      </c>
      <c r="B1" s="182"/>
      <c r="C1" s="183" t="s">
        <v>117</v>
      </c>
      <c r="D1" s="184"/>
    </row>
    <row r="2" spans="1:4" ht="14" x14ac:dyDescent="0.3">
      <c r="A2" s="185" t="s">
        <v>118</v>
      </c>
      <c r="B2" s="186" t="s">
        <v>119</v>
      </c>
      <c r="C2" s="187" t="s">
        <v>120</v>
      </c>
      <c r="D2" s="188" t="s">
        <v>121</v>
      </c>
    </row>
    <row r="3" spans="1:4" ht="14" x14ac:dyDescent="0.3">
      <c r="A3" s="189" t="s">
        <v>63</v>
      </c>
      <c r="B3" s="190" t="s">
        <v>122</v>
      </c>
      <c r="C3" s="191">
        <v>0</v>
      </c>
      <c r="D3" s="192">
        <v>0</v>
      </c>
    </row>
    <row r="4" spans="1:4" ht="14" x14ac:dyDescent="0.3">
      <c r="A4" s="193"/>
      <c r="B4" s="194" t="s">
        <v>123</v>
      </c>
      <c r="C4" s="195">
        <v>0</v>
      </c>
      <c r="D4" s="196">
        <v>0</v>
      </c>
    </row>
    <row r="5" spans="1:4" ht="14" x14ac:dyDescent="0.3">
      <c r="A5" s="193"/>
      <c r="B5" s="194" t="s">
        <v>124</v>
      </c>
      <c r="C5" s="195">
        <v>0</v>
      </c>
      <c r="D5" s="196">
        <v>0</v>
      </c>
    </row>
    <row r="6" spans="1:4" ht="14" x14ac:dyDescent="0.3">
      <c r="A6" s="193"/>
      <c r="B6" s="194" t="s">
        <v>125</v>
      </c>
      <c r="C6" s="195">
        <v>0</v>
      </c>
      <c r="D6" s="196">
        <v>0</v>
      </c>
    </row>
    <row r="7" spans="1:4" ht="14" x14ac:dyDescent="0.3">
      <c r="A7" s="193"/>
      <c r="B7" s="194" t="s">
        <v>126</v>
      </c>
      <c r="C7" s="195">
        <v>0</v>
      </c>
      <c r="D7" s="196">
        <v>0</v>
      </c>
    </row>
    <row r="8" spans="1:4" ht="14" x14ac:dyDescent="0.3">
      <c r="A8" s="197"/>
      <c r="B8" s="198" t="s">
        <v>127</v>
      </c>
      <c r="C8" s="199">
        <v>0</v>
      </c>
      <c r="D8" s="200">
        <v>0</v>
      </c>
    </row>
    <row r="9" spans="1:4" ht="14" x14ac:dyDescent="0.3">
      <c r="A9" s="201" t="s">
        <v>128</v>
      </c>
      <c r="B9" s="202"/>
      <c r="C9" s="203">
        <v>0</v>
      </c>
      <c r="D9" s="204">
        <v>0</v>
      </c>
    </row>
    <row r="10" spans="1:4" ht="14" x14ac:dyDescent="0.3">
      <c r="A10" s="189" t="s">
        <v>62</v>
      </c>
      <c r="B10" s="190" t="s">
        <v>122</v>
      </c>
      <c r="C10" s="191">
        <v>0</v>
      </c>
      <c r="D10" s="192">
        <v>0</v>
      </c>
    </row>
    <row r="11" spans="1:4" ht="14" x14ac:dyDescent="0.3">
      <c r="A11" s="193"/>
      <c r="B11" s="194" t="s">
        <v>123</v>
      </c>
      <c r="C11" s="195">
        <v>13</v>
      </c>
      <c r="D11" s="196">
        <v>13</v>
      </c>
    </row>
    <row r="12" spans="1:4" ht="14" x14ac:dyDescent="0.3">
      <c r="A12" s="193"/>
      <c r="B12" s="194" t="s">
        <v>124</v>
      </c>
      <c r="C12" s="195">
        <v>9</v>
      </c>
      <c r="D12" s="196">
        <v>9</v>
      </c>
    </row>
    <row r="13" spans="1:4" ht="14" x14ac:dyDescent="0.3">
      <c r="A13" s="193"/>
      <c r="B13" s="194" t="s">
        <v>125</v>
      </c>
      <c r="C13" s="195">
        <v>0</v>
      </c>
      <c r="D13" s="196">
        <v>0</v>
      </c>
    </row>
    <row r="14" spans="1:4" ht="14" x14ac:dyDescent="0.3">
      <c r="A14" s="193"/>
      <c r="B14" s="194" t="s">
        <v>126</v>
      </c>
      <c r="C14" s="195">
        <v>0</v>
      </c>
      <c r="D14" s="196">
        <v>0</v>
      </c>
    </row>
    <row r="15" spans="1:4" ht="14" x14ac:dyDescent="0.3">
      <c r="A15" s="197"/>
      <c r="B15" s="198" t="s">
        <v>127</v>
      </c>
      <c r="C15" s="199">
        <v>15</v>
      </c>
      <c r="D15" s="200">
        <v>15</v>
      </c>
    </row>
    <row r="16" spans="1:4" ht="14" x14ac:dyDescent="0.3">
      <c r="A16" s="201" t="s">
        <v>129</v>
      </c>
      <c r="B16" s="202"/>
      <c r="C16" s="203">
        <v>37</v>
      </c>
      <c r="D16" s="204">
        <v>37</v>
      </c>
    </row>
    <row r="17" spans="1:4" ht="14" x14ac:dyDescent="0.3">
      <c r="A17" s="189" t="s">
        <v>61</v>
      </c>
      <c r="B17" s="190" t="s">
        <v>122</v>
      </c>
      <c r="C17" s="191">
        <v>10</v>
      </c>
      <c r="D17" s="192">
        <v>10</v>
      </c>
    </row>
    <row r="18" spans="1:4" ht="14" x14ac:dyDescent="0.3">
      <c r="A18" s="193"/>
      <c r="B18" s="194" t="s">
        <v>123</v>
      </c>
      <c r="C18" s="195">
        <v>6</v>
      </c>
      <c r="D18" s="196">
        <v>6</v>
      </c>
    </row>
    <row r="19" spans="1:4" ht="14" x14ac:dyDescent="0.3">
      <c r="A19" s="193"/>
      <c r="B19" s="194" t="s">
        <v>124</v>
      </c>
      <c r="C19" s="195">
        <v>5</v>
      </c>
      <c r="D19" s="196">
        <v>5</v>
      </c>
    </row>
    <row r="20" spans="1:4" ht="14" x14ac:dyDescent="0.3">
      <c r="A20" s="193"/>
      <c r="B20" s="194" t="s">
        <v>125</v>
      </c>
      <c r="C20" s="195">
        <v>0</v>
      </c>
      <c r="D20" s="196">
        <v>0</v>
      </c>
    </row>
    <row r="21" spans="1:4" ht="14" x14ac:dyDescent="0.3">
      <c r="A21" s="193"/>
      <c r="B21" s="194" t="s">
        <v>126</v>
      </c>
      <c r="C21" s="195">
        <v>5</v>
      </c>
      <c r="D21" s="196">
        <v>5</v>
      </c>
    </row>
    <row r="22" spans="1:4" ht="14" x14ac:dyDescent="0.3">
      <c r="A22" s="197"/>
      <c r="B22" s="198" t="s">
        <v>127</v>
      </c>
      <c r="C22" s="199">
        <v>9</v>
      </c>
      <c r="D22" s="200">
        <v>9</v>
      </c>
    </row>
    <row r="23" spans="1:4" ht="14" x14ac:dyDescent="0.3">
      <c r="A23" s="201" t="s">
        <v>130</v>
      </c>
      <c r="B23" s="202"/>
      <c r="C23" s="203">
        <v>35</v>
      </c>
      <c r="D23" s="204">
        <v>35</v>
      </c>
    </row>
    <row r="24" spans="1:4" ht="14" x14ac:dyDescent="0.3">
      <c r="A24" s="189" t="s">
        <v>69</v>
      </c>
      <c r="B24" s="190" t="s">
        <v>122</v>
      </c>
      <c r="C24" s="191">
        <v>0</v>
      </c>
      <c r="D24" s="192">
        <v>0</v>
      </c>
    </row>
    <row r="25" spans="1:4" ht="14" x14ac:dyDescent="0.3">
      <c r="A25" s="193"/>
      <c r="B25" s="194" t="s">
        <v>123</v>
      </c>
      <c r="C25" s="195">
        <v>0</v>
      </c>
      <c r="D25" s="196">
        <v>0</v>
      </c>
    </row>
    <row r="26" spans="1:4" ht="14" x14ac:dyDescent="0.3">
      <c r="A26" s="193"/>
      <c r="B26" s="194" t="s">
        <v>124</v>
      </c>
      <c r="C26" s="195">
        <v>0</v>
      </c>
      <c r="D26" s="196">
        <v>0</v>
      </c>
    </row>
    <row r="27" spans="1:4" ht="14" x14ac:dyDescent="0.3">
      <c r="A27" s="193"/>
      <c r="B27" s="194" t="s">
        <v>125</v>
      </c>
      <c r="C27" s="195">
        <v>0</v>
      </c>
      <c r="D27" s="196">
        <v>0</v>
      </c>
    </row>
    <row r="28" spans="1:4" ht="14" x14ac:dyDescent="0.3">
      <c r="A28" s="193"/>
      <c r="B28" s="194" t="s">
        <v>126</v>
      </c>
      <c r="C28" s="195">
        <v>0</v>
      </c>
      <c r="D28" s="196">
        <v>0</v>
      </c>
    </row>
    <row r="29" spans="1:4" ht="14" x14ac:dyDescent="0.3">
      <c r="A29" s="197"/>
      <c r="B29" s="198" t="s">
        <v>127</v>
      </c>
      <c r="C29" s="199">
        <v>0</v>
      </c>
      <c r="D29" s="200">
        <v>0</v>
      </c>
    </row>
    <row r="30" spans="1:4" ht="14" x14ac:dyDescent="0.3">
      <c r="A30" s="201" t="s">
        <v>131</v>
      </c>
      <c r="B30" s="202"/>
      <c r="C30" s="203">
        <v>0</v>
      </c>
      <c r="D30" s="204">
        <v>0</v>
      </c>
    </row>
    <row r="31" spans="1:4" ht="14" x14ac:dyDescent="0.3">
      <c r="A31" s="189" t="s">
        <v>68</v>
      </c>
      <c r="B31" s="190" t="s">
        <v>122</v>
      </c>
      <c r="C31" s="191">
        <v>0</v>
      </c>
      <c r="D31" s="192">
        <v>0</v>
      </c>
    </row>
    <row r="32" spans="1:4" ht="14" x14ac:dyDescent="0.3">
      <c r="A32" s="193"/>
      <c r="B32" s="194" t="s">
        <v>123</v>
      </c>
      <c r="C32" s="195">
        <v>0</v>
      </c>
      <c r="D32" s="196">
        <v>0</v>
      </c>
    </row>
    <row r="33" spans="1:4" ht="14" x14ac:dyDescent="0.3">
      <c r="A33" s="193"/>
      <c r="B33" s="194" t="s">
        <v>124</v>
      </c>
      <c r="C33" s="195">
        <v>0</v>
      </c>
      <c r="D33" s="196">
        <v>0</v>
      </c>
    </row>
    <row r="34" spans="1:4" ht="14" x14ac:dyDescent="0.3">
      <c r="A34" s="193"/>
      <c r="B34" s="194" t="s">
        <v>125</v>
      </c>
      <c r="C34" s="195">
        <v>0</v>
      </c>
      <c r="D34" s="196">
        <v>0</v>
      </c>
    </row>
    <row r="35" spans="1:4" ht="14" x14ac:dyDescent="0.3">
      <c r="A35" s="193"/>
      <c r="B35" s="194" t="s">
        <v>126</v>
      </c>
      <c r="C35" s="195">
        <v>0</v>
      </c>
      <c r="D35" s="196">
        <v>0</v>
      </c>
    </row>
    <row r="36" spans="1:4" ht="14" x14ac:dyDescent="0.3">
      <c r="A36" s="197"/>
      <c r="B36" s="198" t="s">
        <v>127</v>
      </c>
      <c r="C36" s="199">
        <v>0</v>
      </c>
      <c r="D36" s="200">
        <v>0</v>
      </c>
    </row>
    <row r="37" spans="1:4" ht="14" x14ac:dyDescent="0.3">
      <c r="A37" s="201" t="s">
        <v>132</v>
      </c>
      <c r="B37" s="202"/>
      <c r="C37" s="203">
        <v>0</v>
      </c>
      <c r="D37" s="204">
        <v>0</v>
      </c>
    </row>
    <row r="38" spans="1:4" ht="14" x14ac:dyDescent="0.3">
      <c r="A38" s="189" t="s">
        <v>65</v>
      </c>
      <c r="B38" s="190" t="s">
        <v>122</v>
      </c>
      <c r="C38" s="191">
        <v>0</v>
      </c>
      <c r="D38" s="192">
        <v>0</v>
      </c>
    </row>
    <row r="39" spans="1:4" ht="14" x14ac:dyDescent="0.3">
      <c r="A39" s="193"/>
      <c r="B39" s="194" t="s">
        <v>123</v>
      </c>
      <c r="C39" s="195">
        <v>0</v>
      </c>
      <c r="D39" s="196">
        <v>0</v>
      </c>
    </row>
    <row r="40" spans="1:4" ht="14" x14ac:dyDescent="0.3">
      <c r="A40" s="193"/>
      <c r="B40" s="194" t="s">
        <v>124</v>
      </c>
      <c r="C40" s="195">
        <v>0</v>
      </c>
      <c r="D40" s="196">
        <v>0</v>
      </c>
    </row>
    <row r="41" spans="1:4" ht="14" x14ac:dyDescent="0.3">
      <c r="A41" s="193"/>
      <c r="B41" s="194" t="s">
        <v>125</v>
      </c>
      <c r="C41" s="195">
        <v>0</v>
      </c>
      <c r="D41" s="196">
        <v>0</v>
      </c>
    </row>
    <row r="42" spans="1:4" ht="14" x14ac:dyDescent="0.3">
      <c r="A42" s="193"/>
      <c r="B42" s="194" t="s">
        <v>126</v>
      </c>
      <c r="C42" s="195">
        <v>0</v>
      </c>
      <c r="D42" s="196">
        <v>0</v>
      </c>
    </row>
    <row r="43" spans="1:4" ht="14" x14ac:dyDescent="0.3">
      <c r="A43" s="197"/>
      <c r="B43" s="198" t="s">
        <v>127</v>
      </c>
      <c r="C43" s="199">
        <v>0</v>
      </c>
      <c r="D43" s="200">
        <v>0</v>
      </c>
    </row>
    <row r="44" spans="1:4" ht="14" x14ac:dyDescent="0.3">
      <c r="A44" s="201" t="s">
        <v>133</v>
      </c>
      <c r="B44" s="202"/>
      <c r="C44" s="203">
        <v>0</v>
      </c>
      <c r="D44" s="204">
        <v>0</v>
      </c>
    </row>
    <row r="45" spans="1:4" ht="14" x14ac:dyDescent="0.3">
      <c r="A45" s="189" t="s">
        <v>66</v>
      </c>
      <c r="B45" s="190" t="s">
        <v>122</v>
      </c>
      <c r="C45" s="191">
        <v>0</v>
      </c>
      <c r="D45" s="192">
        <v>0</v>
      </c>
    </row>
    <row r="46" spans="1:4" ht="14" x14ac:dyDescent="0.3">
      <c r="A46" s="193"/>
      <c r="B46" s="194" t="s">
        <v>123</v>
      </c>
      <c r="C46" s="195">
        <v>0</v>
      </c>
      <c r="D46" s="196">
        <v>0</v>
      </c>
    </row>
    <row r="47" spans="1:4" ht="14" x14ac:dyDescent="0.3">
      <c r="A47" s="193"/>
      <c r="B47" s="194" t="s">
        <v>124</v>
      </c>
      <c r="C47" s="195">
        <v>0</v>
      </c>
      <c r="D47" s="196">
        <v>0</v>
      </c>
    </row>
    <row r="48" spans="1:4" ht="14" x14ac:dyDescent="0.3">
      <c r="A48" s="193"/>
      <c r="B48" s="194" t="s">
        <v>125</v>
      </c>
      <c r="C48" s="195">
        <v>0</v>
      </c>
      <c r="D48" s="196">
        <v>0</v>
      </c>
    </row>
    <row r="49" spans="1:4" ht="14" x14ac:dyDescent="0.3">
      <c r="A49" s="193"/>
      <c r="B49" s="194" t="s">
        <v>126</v>
      </c>
      <c r="C49" s="195">
        <v>0</v>
      </c>
      <c r="D49" s="196">
        <v>0</v>
      </c>
    </row>
    <row r="50" spans="1:4" ht="14" x14ac:dyDescent="0.3">
      <c r="A50" s="197"/>
      <c r="B50" s="198" t="s">
        <v>127</v>
      </c>
      <c r="C50" s="199">
        <v>0</v>
      </c>
      <c r="D50" s="200">
        <v>0</v>
      </c>
    </row>
    <row r="51" spans="1:4" ht="14" x14ac:dyDescent="0.3">
      <c r="A51" s="201" t="s">
        <v>134</v>
      </c>
      <c r="B51" s="202"/>
      <c r="C51" s="203">
        <v>0</v>
      </c>
      <c r="D51" s="204">
        <v>0</v>
      </c>
    </row>
    <row r="52" spans="1:4" ht="14" x14ac:dyDescent="0.3">
      <c r="A52" s="189" t="s">
        <v>64</v>
      </c>
      <c r="B52" s="190" t="s">
        <v>122</v>
      </c>
      <c r="C52" s="191">
        <v>0</v>
      </c>
      <c r="D52" s="192">
        <v>0</v>
      </c>
    </row>
    <row r="53" spans="1:4" ht="14" x14ac:dyDescent="0.3">
      <c r="A53" s="193"/>
      <c r="B53" s="194" t="s">
        <v>123</v>
      </c>
      <c r="C53" s="195">
        <v>0</v>
      </c>
      <c r="D53" s="196">
        <v>0</v>
      </c>
    </row>
    <row r="54" spans="1:4" ht="14" x14ac:dyDescent="0.3">
      <c r="A54" s="193"/>
      <c r="B54" s="194" t="s">
        <v>124</v>
      </c>
      <c r="C54" s="195">
        <v>0</v>
      </c>
      <c r="D54" s="196">
        <v>0</v>
      </c>
    </row>
    <row r="55" spans="1:4" ht="14" x14ac:dyDescent="0.3">
      <c r="A55" s="193"/>
      <c r="B55" s="194" t="s">
        <v>125</v>
      </c>
      <c r="C55" s="195">
        <v>0</v>
      </c>
      <c r="D55" s="196">
        <v>0</v>
      </c>
    </row>
    <row r="56" spans="1:4" ht="14" x14ac:dyDescent="0.3">
      <c r="A56" s="193"/>
      <c r="B56" s="194" t="s">
        <v>126</v>
      </c>
      <c r="C56" s="195">
        <v>0</v>
      </c>
      <c r="D56" s="196">
        <v>0</v>
      </c>
    </row>
    <row r="57" spans="1:4" ht="14" x14ac:dyDescent="0.3">
      <c r="A57" s="197"/>
      <c r="B57" s="198" t="s">
        <v>127</v>
      </c>
      <c r="C57" s="199">
        <v>0</v>
      </c>
      <c r="D57" s="200">
        <v>0</v>
      </c>
    </row>
    <row r="58" spans="1:4" ht="14" x14ac:dyDescent="0.3">
      <c r="A58" s="201" t="s">
        <v>135</v>
      </c>
      <c r="B58" s="202"/>
      <c r="C58" s="203">
        <v>0</v>
      </c>
      <c r="D58" s="204">
        <v>0</v>
      </c>
    </row>
    <row r="59" spans="1:4" ht="14" x14ac:dyDescent="0.3">
      <c r="A59" s="189" t="s">
        <v>67</v>
      </c>
      <c r="B59" s="190" t="s">
        <v>122</v>
      </c>
      <c r="C59" s="191">
        <v>0</v>
      </c>
      <c r="D59" s="192">
        <v>0</v>
      </c>
    </row>
    <row r="60" spans="1:4" ht="14" x14ac:dyDescent="0.3">
      <c r="A60" s="193"/>
      <c r="B60" s="194" t="s">
        <v>123</v>
      </c>
      <c r="C60" s="195">
        <v>0</v>
      </c>
      <c r="D60" s="196">
        <v>0</v>
      </c>
    </row>
    <row r="61" spans="1:4" ht="14" x14ac:dyDescent="0.3">
      <c r="A61" s="193"/>
      <c r="B61" s="194" t="s">
        <v>124</v>
      </c>
      <c r="C61" s="195">
        <v>0</v>
      </c>
      <c r="D61" s="196">
        <v>0</v>
      </c>
    </row>
    <row r="62" spans="1:4" ht="14" x14ac:dyDescent="0.3">
      <c r="A62" s="193"/>
      <c r="B62" s="194" t="s">
        <v>125</v>
      </c>
      <c r="C62" s="195">
        <v>0</v>
      </c>
      <c r="D62" s="196">
        <v>0</v>
      </c>
    </row>
    <row r="63" spans="1:4" ht="14" x14ac:dyDescent="0.3">
      <c r="A63" s="193"/>
      <c r="B63" s="194" t="s">
        <v>126</v>
      </c>
      <c r="C63" s="195">
        <v>0</v>
      </c>
      <c r="D63" s="196">
        <v>0</v>
      </c>
    </row>
    <row r="64" spans="1:4" ht="14" x14ac:dyDescent="0.3">
      <c r="A64" s="197"/>
      <c r="B64" s="198" t="s">
        <v>127</v>
      </c>
      <c r="C64" s="199">
        <v>0</v>
      </c>
      <c r="D64" s="200">
        <v>0</v>
      </c>
    </row>
    <row r="65" spans="1:4" ht="14" x14ac:dyDescent="0.3">
      <c r="A65" s="201" t="s">
        <v>136</v>
      </c>
      <c r="B65" s="202"/>
      <c r="C65" s="203">
        <v>0</v>
      </c>
      <c r="D65" s="204">
        <v>0</v>
      </c>
    </row>
    <row r="66" spans="1:4" ht="14" x14ac:dyDescent="0.3">
      <c r="A66" s="189" t="s">
        <v>60</v>
      </c>
      <c r="B66" s="190" t="s">
        <v>122</v>
      </c>
      <c r="C66" s="191">
        <v>30</v>
      </c>
      <c r="D66" s="192">
        <v>30</v>
      </c>
    </row>
    <row r="67" spans="1:4" ht="14" x14ac:dyDescent="0.3">
      <c r="A67" s="193"/>
      <c r="B67" s="194" t="s">
        <v>123</v>
      </c>
      <c r="C67" s="195">
        <v>28</v>
      </c>
      <c r="D67" s="196">
        <v>28</v>
      </c>
    </row>
    <row r="68" spans="1:4" ht="14" x14ac:dyDescent="0.3">
      <c r="A68" s="193"/>
      <c r="B68" s="194" t="s">
        <v>124</v>
      </c>
      <c r="C68" s="195">
        <v>19</v>
      </c>
      <c r="D68" s="196">
        <v>19</v>
      </c>
    </row>
    <row r="69" spans="1:4" ht="14" x14ac:dyDescent="0.3">
      <c r="A69" s="193"/>
      <c r="B69" s="194" t="s">
        <v>125</v>
      </c>
      <c r="C69" s="195">
        <v>11</v>
      </c>
      <c r="D69" s="196">
        <v>11</v>
      </c>
    </row>
    <row r="70" spans="1:4" ht="14" x14ac:dyDescent="0.3">
      <c r="A70" s="193"/>
      <c r="B70" s="194" t="s">
        <v>126</v>
      </c>
      <c r="C70" s="195">
        <v>9</v>
      </c>
      <c r="D70" s="196">
        <v>9</v>
      </c>
    </row>
    <row r="71" spans="1:4" ht="14" x14ac:dyDescent="0.3">
      <c r="A71" s="197"/>
      <c r="B71" s="198" t="s">
        <v>127</v>
      </c>
      <c r="C71" s="199">
        <v>44</v>
      </c>
      <c r="D71" s="200">
        <v>44</v>
      </c>
    </row>
    <row r="72" spans="1:4" ht="14" x14ac:dyDescent="0.3">
      <c r="A72" s="201" t="s">
        <v>137</v>
      </c>
      <c r="B72" s="202"/>
      <c r="C72" s="203">
        <v>141</v>
      </c>
      <c r="D72" s="204">
        <v>141</v>
      </c>
    </row>
    <row r="73" spans="1:4" ht="14" x14ac:dyDescent="0.3">
      <c r="A73" s="189" t="s">
        <v>77</v>
      </c>
      <c r="B73" s="190" t="s">
        <v>122</v>
      </c>
      <c r="C73" s="191">
        <v>0</v>
      </c>
      <c r="D73" s="192">
        <v>0</v>
      </c>
    </row>
    <row r="74" spans="1:4" ht="14" x14ac:dyDescent="0.3">
      <c r="A74" s="193"/>
      <c r="B74" s="194" t="s">
        <v>123</v>
      </c>
      <c r="C74" s="195">
        <v>0</v>
      </c>
      <c r="D74" s="196">
        <v>0</v>
      </c>
    </row>
    <row r="75" spans="1:4" ht="14" x14ac:dyDescent="0.3">
      <c r="A75" s="193"/>
      <c r="B75" s="194" t="s">
        <v>124</v>
      </c>
      <c r="C75" s="195">
        <v>0</v>
      </c>
      <c r="D75" s="196">
        <v>0</v>
      </c>
    </row>
    <row r="76" spans="1:4" ht="14" x14ac:dyDescent="0.3">
      <c r="A76" s="193"/>
      <c r="B76" s="194" t="s">
        <v>125</v>
      </c>
      <c r="C76" s="195">
        <v>0</v>
      </c>
      <c r="D76" s="196">
        <v>0</v>
      </c>
    </row>
    <row r="77" spans="1:4" ht="14" x14ac:dyDescent="0.3">
      <c r="A77" s="193"/>
      <c r="B77" s="194" t="s">
        <v>126</v>
      </c>
      <c r="C77" s="195">
        <v>0</v>
      </c>
      <c r="D77" s="196">
        <v>0</v>
      </c>
    </row>
    <row r="78" spans="1:4" ht="14" x14ac:dyDescent="0.3">
      <c r="A78" s="197"/>
      <c r="B78" s="198" t="s">
        <v>127</v>
      </c>
      <c r="C78" s="199">
        <v>0</v>
      </c>
      <c r="D78" s="200">
        <v>0</v>
      </c>
    </row>
    <row r="79" spans="1:4" ht="14" x14ac:dyDescent="0.3">
      <c r="A79" s="201" t="s">
        <v>138</v>
      </c>
      <c r="B79" s="202"/>
      <c r="C79" s="203">
        <v>0</v>
      </c>
      <c r="D79" s="204">
        <v>0</v>
      </c>
    </row>
    <row r="80" spans="1:4" ht="14" x14ac:dyDescent="0.3">
      <c r="A80" s="189" t="s">
        <v>80</v>
      </c>
      <c r="B80" s="190" t="s">
        <v>122</v>
      </c>
      <c r="C80" s="191">
        <v>2</v>
      </c>
      <c r="D80" s="192">
        <v>2</v>
      </c>
    </row>
    <row r="81" spans="1:4" ht="14" x14ac:dyDescent="0.3">
      <c r="A81" s="193"/>
      <c r="B81" s="194" t="s">
        <v>123</v>
      </c>
      <c r="C81" s="195">
        <v>0</v>
      </c>
      <c r="D81" s="196">
        <v>0</v>
      </c>
    </row>
    <row r="82" spans="1:4" ht="14" x14ac:dyDescent="0.3">
      <c r="A82" s="193"/>
      <c r="B82" s="194" t="s">
        <v>124</v>
      </c>
      <c r="C82" s="195">
        <v>1</v>
      </c>
      <c r="D82" s="196">
        <v>1</v>
      </c>
    </row>
    <row r="83" spans="1:4" ht="14" x14ac:dyDescent="0.3">
      <c r="A83" s="193"/>
      <c r="B83" s="194" t="s">
        <v>125</v>
      </c>
      <c r="C83" s="195">
        <v>3</v>
      </c>
      <c r="D83" s="196">
        <v>3</v>
      </c>
    </row>
    <row r="84" spans="1:4" ht="14" x14ac:dyDescent="0.3">
      <c r="A84" s="193"/>
      <c r="B84" s="194" t="s">
        <v>126</v>
      </c>
      <c r="C84" s="195">
        <v>1</v>
      </c>
      <c r="D84" s="196">
        <v>1</v>
      </c>
    </row>
    <row r="85" spans="1:4" ht="14" x14ac:dyDescent="0.3">
      <c r="A85" s="197"/>
      <c r="B85" s="198" t="s">
        <v>127</v>
      </c>
      <c r="C85" s="199">
        <v>3</v>
      </c>
      <c r="D85" s="200">
        <v>3</v>
      </c>
    </row>
    <row r="86" spans="1:4" ht="14" x14ac:dyDescent="0.3">
      <c r="A86" s="201" t="s">
        <v>139</v>
      </c>
      <c r="B86" s="202"/>
      <c r="C86" s="203">
        <v>10</v>
      </c>
      <c r="D86" s="204">
        <v>10</v>
      </c>
    </row>
    <row r="87" spans="1:4" ht="14" x14ac:dyDescent="0.3">
      <c r="A87" s="189" t="s">
        <v>81</v>
      </c>
      <c r="B87" s="190" t="s">
        <v>122</v>
      </c>
      <c r="C87" s="191">
        <v>11</v>
      </c>
      <c r="D87" s="192">
        <v>11</v>
      </c>
    </row>
    <row r="88" spans="1:4" ht="14" x14ac:dyDescent="0.3">
      <c r="A88" s="193"/>
      <c r="B88" s="194" t="s">
        <v>123</v>
      </c>
      <c r="C88" s="195">
        <v>6</v>
      </c>
      <c r="D88" s="196">
        <v>6</v>
      </c>
    </row>
    <row r="89" spans="1:4" ht="14" x14ac:dyDescent="0.3">
      <c r="A89" s="193"/>
      <c r="B89" s="194" t="s">
        <v>124</v>
      </c>
      <c r="C89" s="195">
        <v>6</v>
      </c>
      <c r="D89" s="196">
        <v>6</v>
      </c>
    </row>
    <row r="90" spans="1:4" ht="14" x14ac:dyDescent="0.3">
      <c r="A90" s="193"/>
      <c r="B90" s="194" t="s">
        <v>125</v>
      </c>
      <c r="C90" s="195">
        <v>2</v>
      </c>
      <c r="D90" s="196">
        <v>2</v>
      </c>
    </row>
    <row r="91" spans="1:4" ht="14" x14ac:dyDescent="0.3">
      <c r="A91" s="193"/>
      <c r="B91" s="194" t="s">
        <v>126</v>
      </c>
      <c r="C91" s="195">
        <v>2</v>
      </c>
      <c r="D91" s="196">
        <v>2</v>
      </c>
    </row>
    <row r="92" spans="1:4" ht="14" x14ac:dyDescent="0.3">
      <c r="A92" s="197"/>
      <c r="B92" s="198" t="s">
        <v>127</v>
      </c>
      <c r="C92" s="199">
        <v>20</v>
      </c>
      <c r="D92" s="200">
        <v>20</v>
      </c>
    </row>
    <row r="93" spans="1:4" ht="14" x14ac:dyDescent="0.3">
      <c r="A93" s="201" t="s">
        <v>140</v>
      </c>
      <c r="B93" s="202"/>
      <c r="C93" s="203">
        <v>47</v>
      </c>
      <c r="D93" s="204">
        <v>47</v>
      </c>
    </row>
    <row r="94" spans="1:4" ht="14" x14ac:dyDescent="0.3">
      <c r="A94" s="189" t="s">
        <v>79</v>
      </c>
      <c r="B94" s="190" t="s">
        <v>122</v>
      </c>
      <c r="C94" s="191">
        <v>5</v>
      </c>
      <c r="D94" s="192">
        <v>5</v>
      </c>
    </row>
    <row r="95" spans="1:4" ht="14" x14ac:dyDescent="0.3">
      <c r="A95" s="193"/>
      <c r="B95" s="194" t="s">
        <v>123</v>
      </c>
      <c r="C95" s="195">
        <v>5</v>
      </c>
      <c r="D95" s="196">
        <v>5</v>
      </c>
    </row>
    <row r="96" spans="1:4" ht="14" x14ac:dyDescent="0.3">
      <c r="A96" s="193"/>
      <c r="B96" s="194" t="s">
        <v>124</v>
      </c>
      <c r="C96" s="195">
        <v>3</v>
      </c>
      <c r="D96" s="196">
        <v>3</v>
      </c>
    </row>
    <row r="97" spans="1:4" ht="14" x14ac:dyDescent="0.3">
      <c r="A97" s="193"/>
      <c r="B97" s="194" t="s">
        <v>125</v>
      </c>
      <c r="C97" s="195">
        <v>4</v>
      </c>
      <c r="D97" s="196">
        <v>4</v>
      </c>
    </row>
    <row r="98" spans="1:4" ht="14" x14ac:dyDescent="0.3">
      <c r="A98" s="193"/>
      <c r="B98" s="194" t="s">
        <v>126</v>
      </c>
      <c r="C98" s="195">
        <v>3</v>
      </c>
      <c r="D98" s="196">
        <v>3</v>
      </c>
    </row>
    <row r="99" spans="1:4" ht="14" x14ac:dyDescent="0.3">
      <c r="A99" s="197"/>
      <c r="B99" s="198" t="s">
        <v>127</v>
      </c>
      <c r="C99" s="199">
        <v>12</v>
      </c>
      <c r="D99" s="200">
        <v>12</v>
      </c>
    </row>
    <row r="100" spans="1:4" ht="14" x14ac:dyDescent="0.3">
      <c r="A100" s="201" t="s">
        <v>141</v>
      </c>
      <c r="B100" s="202"/>
      <c r="C100" s="203">
        <v>32</v>
      </c>
      <c r="D100" s="204">
        <v>32</v>
      </c>
    </row>
    <row r="101" spans="1:4" ht="14" x14ac:dyDescent="0.3">
      <c r="A101" s="189" t="s">
        <v>82</v>
      </c>
      <c r="B101" s="190" t="s">
        <v>122</v>
      </c>
      <c r="C101" s="191">
        <v>2</v>
      </c>
      <c r="D101" s="192">
        <v>2</v>
      </c>
    </row>
    <row r="102" spans="1:4" ht="14" x14ac:dyDescent="0.3">
      <c r="A102" s="193"/>
      <c r="B102" s="194" t="s">
        <v>123</v>
      </c>
      <c r="C102" s="195">
        <v>2</v>
      </c>
      <c r="D102" s="196">
        <v>2</v>
      </c>
    </row>
    <row r="103" spans="1:4" ht="14" x14ac:dyDescent="0.3">
      <c r="A103" s="193"/>
      <c r="B103" s="194" t="s">
        <v>124</v>
      </c>
      <c r="C103" s="195">
        <v>2</v>
      </c>
      <c r="D103" s="196">
        <v>2</v>
      </c>
    </row>
    <row r="104" spans="1:4" ht="14" x14ac:dyDescent="0.3">
      <c r="A104" s="193"/>
      <c r="B104" s="194" t="s">
        <v>125</v>
      </c>
      <c r="C104" s="195">
        <v>0</v>
      </c>
      <c r="D104" s="196">
        <v>0</v>
      </c>
    </row>
    <row r="105" spans="1:4" ht="14" x14ac:dyDescent="0.3">
      <c r="A105" s="193"/>
      <c r="B105" s="194" t="s">
        <v>126</v>
      </c>
      <c r="C105" s="195">
        <v>0</v>
      </c>
      <c r="D105" s="196">
        <v>0</v>
      </c>
    </row>
    <row r="106" spans="1:4" ht="14" x14ac:dyDescent="0.3">
      <c r="A106" s="197"/>
      <c r="B106" s="198" t="s">
        <v>127</v>
      </c>
      <c r="C106" s="199">
        <v>0</v>
      </c>
      <c r="D106" s="200">
        <v>0</v>
      </c>
    </row>
    <row r="107" spans="1:4" ht="14" x14ac:dyDescent="0.3">
      <c r="A107" s="201" t="s">
        <v>142</v>
      </c>
      <c r="B107" s="202"/>
      <c r="C107" s="203">
        <v>6</v>
      </c>
      <c r="D107" s="204">
        <v>6</v>
      </c>
    </row>
    <row r="108" spans="1:4" ht="14" x14ac:dyDescent="0.3">
      <c r="A108" s="189" t="s">
        <v>73</v>
      </c>
      <c r="B108" s="190" t="s">
        <v>122</v>
      </c>
      <c r="C108" s="191">
        <v>0</v>
      </c>
      <c r="D108" s="192">
        <v>0</v>
      </c>
    </row>
    <row r="109" spans="1:4" ht="14" x14ac:dyDescent="0.3">
      <c r="A109" s="193"/>
      <c r="B109" s="194" t="s">
        <v>123</v>
      </c>
      <c r="C109" s="195">
        <v>0</v>
      </c>
      <c r="D109" s="196">
        <v>0</v>
      </c>
    </row>
    <row r="110" spans="1:4" ht="14" x14ac:dyDescent="0.3">
      <c r="A110" s="193"/>
      <c r="B110" s="194" t="s">
        <v>124</v>
      </c>
      <c r="C110" s="195">
        <v>0</v>
      </c>
      <c r="D110" s="196">
        <v>0</v>
      </c>
    </row>
    <row r="111" spans="1:4" ht="14" x14ac:dyDescent="0.3">
      <c r="A111" s="193"/>
      <c r="B111" s="194" t="s">
        <v>125</v>
      </c>
      <c r="C111" s="195">
        <v>0</v>
      </c>
      <c r="D111" s="196">
        <v>0</v>
      </c>
    </row>
    <row r="112" spans="1:4" ht="14" x14ac:dyDescent="0.3">
      <c r="A112" s="193"/>
      <c r="B112" s="194" t="s">
        <v>126</v>
      </c>
      <c r="C112" s="195">
        <v>0</v>
      </c>
      <c r="D112" s="196">
        <v>0</v>
      </c>
    </row>
    <row r="113" spans="1:4" ht="14" x14ac:dyDescent="0.3">
      <c r="A113" s="197"/>
      <c r="B113" s="198" t="s">
        <v>127</v>
      </c>
      <c r="C113" s="199">
        <v>0</v>
      </c>
      <c r="D113" s="200">
        <v>0</v>
      </c>
    </row>
    <row r="114" spans="1:4" ht="14" x14ac:dyDescent="0.3">
      <c r="A114" s="201" t="s">
        <v>143</v>
      </c>
      <c r="B114" s="202"/>
      <c r="C114" s="203">
        <v>0</v>
      </c>
      <c r="D114" s="204">
        <v>0</v>
      </c>
    </row>
    <row r="115" spans="1:4" ht="14" x14ac:dyDescent="0.3">
      <c r="A115" s="189" t="s">
        <v>76</v>
      </c>
      <c r="B115" s="190" t="s">
        <v>122</v>
      </c>
      <c r="C115" s="191">
        <v>3</v>
      </c>
      <c r="D115" s="192">
        <v>3</v>
      </c>
    </row>
    <row r="116" spans="1:4" ht="14" x14ac:dyDescent="0.3">
      <c r="A116" s="193"/>
      <c r="B116" s="194" t="s">
        <v>123</v>
      </c>
      <c r="C116" s="195">
        <v>10</v>
      </c>
      <c r="D116" s="196">
        <v>10</v>
      </c>
    </row>
    <row r="117" spans="1:4" ht="14" x14ac:dyDescent="0.3">
      <c r="A117" s="193"/>
      <c r="B117" s="194" t="s">
        <v>124</v>
      </c>
      <c r="C117" s="195">
        <v>6</v>
      </c>
      <c r="D117" s="196">
        <v>6</v>
      </c>
    </row>
    <row r="118" spans="1:4" ht="14" x14ac:dyDescent="0.3">
      <c r="A118" s="193"/>
      <c r="B118" s="194" t="s">
        <v>125</v>
      </c>
      <c r="C118" s="195">
        <v>1</v>
      </c>
      <c r="D118" s="196">
        <v>1</v>
      </c>
    </row>
    <row r="119" spans="1:4" ht="14" x14ac:dyDescent="0.3">
      <c r="A119" s="193"/>
      <c r="B119" s="194" t="s">
        <v>126</v>
      </c>
      <c r="C119" s="195">
        <v>2</v>
      </c>
      <c r="D119" s="196">
        <v>2</v>
      </c>
    </row>
    <row r="120" spans="1:4" ht="14" x14ac:dyDescent="0.3">
      <c r="A120" s="197"/>
      <c r="B120" s="198" t="s">
        <v>127</v>
      </c>
      <c r="C120" s="199">
        <v>8</v>
      </c>
      <c r="D120" s="200">
        <v>8</v>
      </c>
    </row>
    <row r="121" spans="1:4" ht="14" x14ac:dyDescent="0.3">
      <c r="A121" s="201" t="s">
        <v>144</v>
      </c>
      <c r="B121" s="202"/>
      <c r="C121" s="203">
        <v>30</v>
      </c>
      <c r="D121" s="204">
        <v>30</v>
      </c>
    </row>
    <row r="122" spans="1:4" ht="14" x14ac:dyDescent="0.3">
      <c r="A122" s="189" t="s">
        <v>72</v>
      </c>
      <c r="B122" s="190" t="s">
        <v>122</v>
      </c>
      <c r="C122" s="191">
        <v>68</v>
      </c>
      <c r="D122" s="192">
        <v>68</v>
      </c>
    </row>
    <row r="123" spans="1:4" ht="14" x14ac:dyDescent="0.3">
      <c r="A123" s="193"/>
      <c r="B123" s="194" t="s">
        <v>123</v>
      </c>
      <c r="C123" s="195">
        <v>50</v>
      </c>
      <c r="D123" s="196">
        <v>50</v>
      </c>
    </row>
    <row r="124" spans="1:4" ht="14" x14ac:dyDescent="0.3">
      <c r="A124" s="193"/>
      <c r="B124" s="194" t="s">
        <v>124</v>
      </c>
      <c r="C124" s="195">
        <v>29</v>
      </c>
      <c r="D124" s="196">
        <v>29</v>
      </c>
    </row>
    <row r="125" spans="1:4" ht="14" x14ac:dyDescent="0.3">
      <c r="A125" s="193"/>
      <c r="B125" s="194" t="s">
        <v>125</v>
      </c>
      <c r="C125" s="195">
        <v>25</v>
      </c>
      <c r="D125" s="196">
        <v>25</v>
      </c>
    </row>
    <row r="126" spans="1:4" ht="14" x14ac:dyDescent="0.3">
      <c r="A126" s="193"/>
      <c r="B126" s="194" t="s">
        <v>126</v>
      </c>
      <c r="C126" s="195">
        <v>25</v>
      </c>
      <c r="D126" s="196">
        <v>25</v>
      </c>
    </row>
    <row r="127" spans="1:4" ht="14" x14ac:dyDescent="0.3">
      <c r="A127" s="197"/>
      <c r="B127" s="198" t="s">
        <v>127</v>
      </c>
      <c r="C127" s="199">
        <v>81</v>
      </c>
      <c r="D127" s="200">
        <v>81</v>
      </c>
    </row>
    <row r="128" spans="1:4" ht="14" x14ac:dyDescent="0.3">
      <c r="A128" s="201" t="s">
        <v>145</v>
      </c>
      <c r="B128" s="202"/>
      <c r="C128" s="203">
        <v>278</v>
      </c>
      <c r="D128" s="204">
        <v>278</v>
      </c>
    </row>
    <row r="129" spans="1:4" ht="14" x14ac:dyDescent="0.3">
      <c r="A129" s="205" t="s">
        <v>121</v>
      </c>
      <c r="B129" s="206"/>
      <c r="C129" s="207">
        <v>616</v>
      </c>
      <c r="D129" s="208">
        <v>616</v>
      </c>
    </row>
  </sheetData>
  <pageMargins left="0.51180555555555596" right="0.51180555555555596" top="0.78749999999999998" bottom="0.78749999999999998" header="0.511811023622047" footer="0.511811023622047"/>
  <pageSetup paperSize="9" orientation="portrait" horizontalDpi="300" verticalDpi="300"/>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filterMode="1"/>
  <dimension ref="A2:AA193"/>
  <sheetViews>
    <sheetView zoomScale="110" zoomScaleNormal="110" workbookViewId="0">
      <selection activeCell="C44" activeCellId="1" sqref="B9 C44"/>
    </sheetView>
  </sheetViews>
  <sheetFormatPr defaultColWidth="12.6328125" defaultRowHeight="14.25" customHeight="1" x14ac:dyDescent="0.25"/>
  <cols>
    <col min="4" max="4" width="41.453125" customWidth="1"/>
  </cols>
  <sheetData>
    <row r="2" spans="2:8" ht="14" x14ac:dyDescent="0.25">
      <c r="C2" s="212" t="s">
        <v>149</v>
      </c>
      <c r="D2" s="212" t="s">
        <v>150</v>
      </c>
      <c r="E2" s="212" t="s">
        <v>118</v>
      </c>
      <c r="F2" s="212" t="s">
        <v>970</v>
      </c>
      <c r="G2" s="212" t="s">
        <v>1651</v>
      </c>
    </row>
    <row r="3" spans="2:8" ht="14" hidden="1" x14ac:dyDescent="0.3">
      <c r="B3" s="479"/>
      <c r="C3" s="249" t="s">
        <v>2010</v>
      </c>
      <c r="D3" s="468" t="s">
        <v>2548</v>
      </c>
      <c r="E3" s="468" t="s">
        <v>171</v>
      </c>
      <c r="F3" s="468" t="s">
        <v>168</v>
      </c>
      <c r="G3" s="468" t="s">
        <v>2549</v>
      </c>
      <c r="H3" s="16"/>
    </row>
    <row r="4" spans="2:8" ht="14" hidden="1" x14ac:dyDescent="0.3">
      <c r="C4" s="249" t="s">
        <v>2550</v>
      </c>
      <c r="D4" s="468" t="s">
        <v>2551</v>
      </c>
      <c r="E4" s="468" t="s">
        <v>290</v>
      </c>
      <c r="F4" s="468" t="s">
        <v>246</v>
      </c>
      <c r="G4" s="468" t="s">
        <v>2449</v>
      </c>
      <c r="H4" s="16" t="s">
        <v>2552</v>
      </c>
    </row>
    <row r="5" spans="2:8" ht="14" hidden="1" x14ac:dyDescent="0.3">
      <c r="B5" s="479"/>
      <c r="C5" s="249" t="s">
        <v>2553</v>
      </c>
      <c r="D5" s="468" t="s">
        <v>2554</v>
      </c>
      <c r="E5" s="468" t="s">
        <v>178</v>
      </c>
      <c r="F5" s="468" t="s">
        <v>159</v>
      </c>
      <c r="G5" s="468" t="s">
        <v>2549</v>
      </c>
      <c r="H5" s="16"/>
    </row>
    <row r="6" spans="2:8" ht="14" hidden="1" x14ac:dyDescent="0.3">
      <c r="B6" s="479"/>
      <c r="C6" s="249" t="s">
        <v>2555</v>
      </c>
      <c r="D6" s="468" t="s">
        <v>2556</v>
      </c>
      <c r="E6" s="468" t="s">
        <v>178</v>
      </c>
      <c r="F6" s="468" t="s">
        <v>159</v>
      </c>
      <c r="G6" s="468" t="s">
        <v>2549</v>
      </c>
      <c r="H6" s="16"/>
    </row>
    <row r="7" spans="2:8" ht="14" hidden="1" x14ac:dyDescent="0.3">
      <c r="B7" s="479"/>
      <c r="C7" s="249" t="s">
        <v>2557</v>
      </c>
      <c r="D7" s="468" t="s">
        <v>2558</v>
      </c>
      <c r="E7" s="468" t="s">
        <v>290</v>
      </c>
      <c r="F7" s="468" t="s">
        <v>159</v>
      </c>
      <c r="G7" s="468" t="s">
        <v>2549</v>
      </c>
      <c r="H7" s="16"/>
    </row>
    <row r="8" spans="2:8" ht="14" hidden="1" x14ac:dyDescent="0.3">
      <c r="B8" s="479"/>
      <c r="C8" s="249" t="s">
        <v>2559</v>
      </c>
      <c r="D8" s="468" t="s">
        <v>2560</v>
      </c>
      <c r="E8" s="468" t="s">
        <v>290</v>
      </c>
      <c r="F8" s="468" t="s">
        <v>159</v>
      </c>
      <c r="G8" s="468" t="s">
        <v>2549</v>
      </c>
      <c r="H8" s="16"/>
    </row>
    <row r="9" spans="2:8" ht="14" hidden="1" x14ac:dyDescent="0.3">
      <c r="B9" s="479"/>
      <c r="C9" s="249" t="s">
        <v>2561</v>
      </c>
      <c r="D9" s="468" t="s">
        <v>2562</v>
      </c>
      <c r="E9" s="468" t="s">
        <v>178</v>
      </c>
      <c r="F9" s="468" t="s">
        <v>168</v>
      </c>
      <c r="G9" s="468" t="s">
        <v>2549</v>
      </c>
      <c r="H9" s="16"/>
    </row>
    <row r="10" spans="2:8" ht="14" hidden="1" x14ac:dyDescent="0.3">
      <c r="B10" s="479"/>
      <c r="C10" s="249" t="s">
        <v>2563</v>
      </c>
      <c r="D10" s="468" t="s">
        <v>2564</v>
      </c>
      <c r="E10" s="468" t="s">
        <v>171</v>
      </c>
      <c r="F10" s="468" t="s">
        <v>159</v>
      </c>
      <c r="G10" s="468" t="s">
        <v>2549</v>
      </c>
      <c r="H10" s="16"/>
    </row>
    <row r="11" spans="2:8" ht="14" hidden="1" x14ac:dyDescent="0.3">
      <c r="B11" s="479"/>
      <c r="C11" s="249" t="s">
        <v>2565</v>
      </c>
      <c r="D11" s="468" t="s">
        <v>2566</v>
      </c>
      <c r="E11" s="468" t="s">
        <v>290</v>
      </c>
      <c r="F11" s="468" t="s">
        <v>159</v>
      </c>
      <c r="G11" s="468" t="s">
        <v>2549</v>
      </c>
      <c r="H11" s="16"/>
    </row>
    <row r="12" spans="2:8" ht="14" hidden="1" x14ac:dyDescent="0.3">
      <c r="B12" s="479"/>
      <c r="C12" s="249" t="s">
        <v>2567</v>
      </c>
      <c r="D12" s="468" t="s">
        <v>2568</v>
      </c>
      <c r="E12" s="468" t="s">
        <v>178</v>
      </c>
      <c r="F12" s="468" t="s">
        <v>159</v>
      </c>
      <c r="G12" s="468" t="s">
        <v>2549</v>
      </c>
      <c r="H12" s="16"/>
    </row>
    <row r="13" spans="2:8" ht="14" hidden="1" x14ac:dyDescent="0.3">
      <c r="B13" s="542"/>
      <c r="C13" s="249" t="s">
        <v>2569</v>
      </c>
      <c r="D13" s="468" t="s">
        <v>2570</v>
      </c>
      <c r="E13" s="468" t="s">
        <v>171</v>
      </c>
      <c r="F13" s="468" t="s">
        <v>159</v>
      </c>
      <c r="G13" s="468" t="s">
        <v>2449</v>
      </c>
      <c r="H13" s="16"/>
    </row>
    <row r="14" spans="2:8" ht="14" hidden="1" x14ac:dyDescent="0.3">
      <c r="B14" s="479" t="s">
        <v>1862</v>
      </c>
      <c r="C14" s="249" t="s">
        <v>2571</v>
      </c>
      <c r="D14" s="468" t="s">
        <v>2572</v>
      </c>
      <c r="E14" s="468" t="s">
        <v>171</v>
      </c>
      <c r="F14" s="468" t="s">
        <v>159</v>
      </c>
      <c r="G14" s="468" t="s">
        <v>2549</v>
      </c>
      <c r="H14" s="16"/>
    </row>
    <row r="15" spans="2:8" ht="14" hidden="1" x14ac:dyDescent="0.3">
      <c r="B15" s="479"/>
      <c r="C15" s="249" t="s">
        <v>686</v>
      </c>
      <c r="D15" s="468" t="s">
        <v>2573</v>
      </c>
      <c r="E15" s="468" t="s">
        <v>167</v>
      </c>
      <c r="F15" s="468" t="s">
        <v>159</v>
      </c>
      <c r="G15" s="468" t="s">
        <v>2549</v>
      </c>
      <c r="H15" s="16"/>
    </row>
    <row r="16" spans="2:8" ht="14" hidden="1" x14ac:dyDescent="0.3">
      <c r="B16" s="479"/>
      <c r="C16" s="249" t="s">
        <v>2574</v>
      </c>
      <c r="D16" s="468" t="s">
        <v>2575</v>
      </c>
      <c r="E16" s="468" t="s">
        <v>171</v>
      </c>
      <c r="F16" s="468" t="s">
        <v>159</v>
      </c>
      <c r="G16" s="468" t="s">
        <v>2549</v>
      </c>
      <c r="H16" s="16"/>
    </row>
    <row r="17" spans="2:8" ht="14" hidden="1" x14ac:dyDescent="0.3">
      <c r="B17" s="479"/>
      <c r="C17" s="249" t="s">
        <v>2576</v>
      </c>
      <c r="D17" s="468" t="s">
        <v>2577</v>
      </c>
      <c r="E17" s="468" t="s">
        <v>213</v>
      </c>
      <c r="F17" s="468" t="s">
        <v>159</v>
      </c>
      <c r="G17" s="468" t="s">
        <v>2449</v>
      </c>
      <c r="H17" s="16" t="s">
        <v>2578</v>
      </c>
    </row>
    <row r="18" spans="2:8" ht="14" hidden="1" x14ac:dyDescent="0.3">
      <c r="B18" s="479"/>
      <c r="C18" s="249" t="s">
        <v>2579</v>
      </c>
      <c r="D18" s="468" t="s">
        <v>2580</v>
      </c>
      <c r="E18" s="468" t="s">
        <v>171</v>
      </c>
      <c r="F18" s="468" t="s">
        <v>159</v>
      </c>
      <c r="G18" s="468" t="s">
        <v>2549</v>
      </c>
      <c r="H18" s="16"/>
    </row>
    <row r="19" spans="2:8" ht="14" hidden="1" x14ac:dyDescent="0.3">
      <c r="B19" s="542"/>
      <c r="C19" s="249" t="s">
        <v>2581</v>
      </c>
      <c r="D19" s="468" t="s">
        <v>1250</v>
      </c>
      <c r="E19" s="468" t="s">
        <v>171</v>
      </c>
      <c r="F19" s="468" t="s">
        <v>159</v>
      </c>
      <c r="G19" s="468" t="s">
        <v>2549</v>
      </c>
      <c r="H19" s="16"/>
    </row>
    <row r="20" spans="2:8" ht="14" hidden="1" x14ac:dyDescent="0.3">
      <c r="B20" s="479"/>
      <c r="C20" s="249" t="s">
        <v>2582</v>
      </c>
      <c r="D20" s="468" t="s">
        <v>1387</v>
      </c>
      <c r="E20" s="468" t="s">
        <v>171</v>
      </c>
      <c r="F20" s="468" t="s">
        <v>159</v>
      </c>
      <c r="G20" s="468" t="s">
        <v>2549</v>
      </c>
      <c r="H20" s="16"/>
    </row>
    <row r="21" spans="2:8" ht="14" hidden="1" x14ac:dyDescent="0.3">
      <c r="B21" s="479"/>
      <c r="C21" s="249" t="s">
        <v>2583</v>
      </c>
      <c r="D21" s="468" t="s">
        <v>2584</v>
      </c>
      <c r="E21" s="468" t="s">
        <v>213</v>
      </c>
      <c r="F21" s="468" t="s">
        <v>159</v>
      </c>
      <c r="G21" s="468" t="s">
        <v>2549</v>
      </c>
      <c r="H21" s="16"/>
    </row>
    <row r="22" spans="2:8" ht="14" hidden="1" x14ac:dyDescent="0.3">
      <c r="B22" s="479"/>
      <c r="C22" s="249" t="s">
        <v>2585</v>
      </c>
      <c r="D22" s="468" t="s">
        <v>2586</v>
      </c>
      <c r="E22" s="468" t="s">
        <v>171</v>
      </c>
      <c r="F22" s="468" t="s">
        <v>159</v>
      </c>
      <c r="G22" s="468" t="s">
        <v>2549</v>
      </c>
      <c r="H22" s="16"/>
    </row>
    <row r="23" spans="2:8" ht="14" hidden="1" x14ac:dyDescent="0.3">
      <c r="C23" s="249" t="s">
        <v>2587</v>
      </c>
      <c r="D23" s="468" t="s">
        <v>2588</v>
      </c>
      <c r="E23" s="468"/>
      <c r="F23" s="468" t="s">
        <v>164</v>
      </c>
      <c r="G23" s="468" t="s">
        <v>2449</v>
      </c>
      <c r="H23" s="16" t="s">
        <v>2589</v>
      </c>
    </row>
    <row r="24" spans="2:8" ht="14" hidden="1" x14ac:dyDescent="0.3">
      <c r="C24" s="249" t="s">
        <v>2590</v>
      </c>
      <c r="D24" s="468" t="s">
        <v>2591</v>
      </c>
      <c r="E24" s="469" t="s">
        <v>178</v>
      </c>
      <c r="F24" s="502" t="s">
        <v>159</v>
      </c>
      <c r="G24" s="468" t="s">
        <v>2549</v>
      </c>
    </row>
    <row r="25" spans="2:8" ht="14" x14ac:dyDescent="0.3">
      <c r="C25" s="249" t="s">
        <v>2592</v>
      </c>
      <c r="D25" s="468" t="s">
        <v>2593</v>
      </c>
      <c r="E25" s="469" t="s">
        <v>213</v>
      </c>
      <c r="F25" s="502" t="s">
        <v>159</v>
      </c>
      <c r="G25" s="543" t="s">
        <v>2594</v>
      </c>
      <c r="H25" s="16"/>
    </row>
    <row r="26" spans="2:8" ht="14" x14ac:dyDescent="0.3">
      <c r="B26" s="479"/>
      <c r="C26" s="538" t="s">
        <v>2595</v>
      </c>
      <c r="D26" s="522" t="s">
        <v>2596</v>
      </c>
      <c r="E26" s="469" t="s">
        <v>213</v>
      </c>
      <c r="F26" s="502" t="s">
        <v>159</v>
      </c>
      <c r="G26" s="543" t="s">
        <v>2594</v>
      </c>
    </row>
    <row r="27" spans="2:8" ht="14" x14ac:dyDescent="0.3">
      <c r="C27" s="538" t="s">
        <v>2597</v>
      </c>
      <c r="D27" s="522" t="s">
        <v>2598</v>
      </c>
      <c r="E27" s="469" t="s">
        <v>167</v>
      </c>
      <c r="F27" s="502" t="s">
        <v>159</v>
      </c>
      <c r="G27" s="543" t="s">
        <v>2594</v>
      </c>
    </row>
    <row r="28" spans="2:8" ht="14" x14ac:dyDescent="0.3">
      <c r="B28" s="479"/>
      <c r="C28" s="538" t="s">
        <v>2599</v>
      </c>
      <c r="D28" s="522" t="s">
        <v>2600</v>
      </c>
      <c r="E28" s="469" t="s">
        <v>178</v>
      </c>
      <c r="F28" s="502" t="s">
        <v>159</v>
      </c>
      <c r="G28" s="543" t="s">
        <v>2594</v>
      </c>
    </row>
    <row r="29" spans="2:8" ht="14" x14ac:dyDescent="0.3">
      <c r="B29" s="479"/>
      <c r="C29" s="538" t="s">
        <v>2601</v>
      </c>
      <c r="D29" s="522" t="s">
        <v>2602</v>
      </c>
      <c r="E29" s="469" t="s">
        <v>178</v>
      </c>
      <c r="F29" s="502" t="s">
        <v>159</v>
      </c>
      <c r="G29" s="543" t="s">
        <v>2594</v>
      </c>
    </row>
    <row r="30" spans="2:8" ht="14" x14ac:dyDescent="0.3">
      <c r="B30" s="479"/>
      <c r="C30" s="538" t="s">
        <v>2603</v>
      </c>
      <c r="D30" s="522" t="s">
        <v>2604</v>
      </c>
      <c r="E30" s="469" t="s">
        <v>178</v>
      </c>
      <c r="F30" s="502" t="s">
        <v>159</v>
      </c>
      <c r="G30" s="543" t="s">
        <v>2594</v>
      </c>
    </row>
    <row r="31" spans="2:8" ht="14" x14ac:dyDescent="0.3">
      <c r="B31" s="479"/>
      <c r="C31" s="538" t="s">
        <v>2605</v>
      </c>
      <c r="D31" s="522" t="s">
        <v>2606</v>
      </c>
      <c r="E31" s="469" t="s">
        <v>171</v>
      </c>
      <c r="F31" s="502" t="s">
        <v>159</v>
      </c>
      <c r="G31" s="543" t="s">
        <v>2594</v>
      </c>
    </row>
    <row r="32" spans="2:8" ht="14" x14ac:dyDescent="0.3">
      <c r="B32" s="479" t="s">
        <v>1862</v>
      </c>
      <c r="C32" s="538" t="s">
        <v>2607</v>
      </c>
      <c r="D32" s="522" t="s">
        <v>2608</v>
      </c>
      <c r="E32" s="469" t="s">
        <v>178</v>
      </c>
      <c r="F32" s="502" t="s">
        <v>159</v>
      </c>
      <c r="G32" s="543" t="s">
        <v>2594</v>
      </c>
    </row>
    <row r="33" spans="2:8" ht="14" x14ac:dyDescent="0.3">
      <c r="B33" s="479"/>
      <c r="C33" s="538" t="s">
        <v>2609</v>
      </c>
      <c r="D33" s="522" t="s">
        <v>2610</v>
      </c>
      <c r="E33" s="469" t="s">
        <v>171</v>
      </c>
      <c r="F33" s="502" t="s">
        <v>159</v>
      </c>
      <c r="G33" s="543" t="s">
        <v>2594</v>
      </c>
    </row>
    <row r="34" spans="2:8" ht="14" x14ac:dyDescent="0.3">
      <c r="B34" s="479"/>
      <c r="C34" s="538" t="s">
        <v>2611</v>
      </c>
      <c r="D34" s="522" t="s">
        <v>2612</v>
      </c>
      <c r="E34" s="469" t="s">
        <v>171</v>
      </c>
      <c r="F34" s="502" t="s">
        <v>159</v>
      </c>
      <c r="G34" s="543" t="s">
        <v>2594</v>
      </c>
    </row>
    <row r="35" spans="2:8" ht="14" x14ac:dyDescent="0.3">
      <c r="B35" s="479"/>
      <c r="C35" s="538" t="s">
        <v>2613</v>
      </c>
      <c r="D35" s="522" t="s">
        <v>2614</v>
      </c>
      <c r="E35" s="469" t="s">
        <v>290</v>
      </c>
      <c r="F35" s="502" t="s">
        <v>159</v>
      </c>
      <c r="G35" s="543" t="s">
        <v>2594</v>
      </c>
    </row>
    <row r="36" spans="2:8" ht="14" hidden="1" x14ac:dyDescent="0.3">
      <c r="C36" s="538" t="s">
        <v>2615</v>
      </c>
      <c r="D36" s="522" t="s">
        <v>2616</v>
      </c>
      <c r="E36" s="522" t="s">
        <v>171</v>
      </c>
      <c r="F36" s="522" t="s">
        <v>159</v>
      </c>
      <c r="G36" s="468" t="s">
        <v>2449</v>
      </c>
      <c r="H36" s="16" t="s">
        <v>2467</v>
      </c>
    </row>
    <row r="37" spans="2:8" ht="14" x14ac:dyDescent="0.3">
      <c r="B37" s="479"/>
      <c r="C37" s="538" t="s">
        <v>2617</v>
      </c>
      <c r="D37" s="522" t="s">
        <v>2618</v>
      </c>
      <c r="E37" s="469" t="s">
        <v>171</v>
      </c>
      <c r="F37" s="502" t="s">
        <v>159</v>
      </c>
      <c r="G37" s="543" t="s">
        <v>2594</v>
      </c>
    </row>
    <row r="38" spans="2:8" ht="14" x14ac:dyDescent="0.3">
      <c r="B38" s="479"/>
      <c r="C38" s="538" t="s">
        <v>2619</v>
      </c>
      <c r="D38" s="522" t="s">
        <v>2620</v>
      </c>
      <c r="E38" s="469" t="s">
        <v>171</v>
      </c>
      <c r="F38" s="502" t="s">
        <v>159</v>
      </c>
      <c r="G38" s="543" t="s">
        <v>2594</v>
      </c>
    </row>
    <row r="39" spans="2:8" ht="14" x14ac:dyDescent="0.3">
      <c r="B39" s="479"/>
      <c r="C39" s="538" t="s">
        <v>2621</v>
      </c>
      <c r="D39" s="522" t="s">
        <v>2622</v>
      </c>
      <c r="E39" s="469" t="s">
        <v>178</v>
      </c>
      <c r="F39" s="502" t="s">
        <v>159</v>
      </c>
      <c r="G39" s="543" t="s">
        <v>2594</v>
      </c>
    </row>
    <row r="40" spans="2:8" ht="14" x14ac:dyDescent="0.3">
      <c r="B40" s="479"/>
      <c r="C40" s="538" t="s">
        <v>2623</v>
      </c>
      <c r="D40" s="522" t="s">
        <v>2624</v>
      </c>
      <c r="E40" s="469" t="s">
        <v>171</v>
      </c>
      <c r="F40" s="502" t="s">
        <v>168</v>
      </c>
      <c r="G40" s="543" t="s">
        <v>2594</v>
      </c>
    </row>
    <row r="41" spans="2:8" ht="14" x14ac:dyDescent="0.3">
      <c r="B41" s="479"/>
      <c r="C41" s="538" t="s">
        <v>2625</v>
      </c>
      <c r="D41" s="522" t="s">
        <v>2626</v>
      </c>
      <c r="E41" s="469" t="s">
        <v>178</v>
      </c>
      <c r="F41" s="502" t="s">
        <v>246</v>
      </c>
      <c r="G41" s="543" t="s">
        <v>2594</v>
      </c>
    </row>
    <row r="42" spans="2:8" ht="14" x14ac:dyDescent="0.3">
      <c r="B42" s="479"/>
      <c r="C42" s="249" t="s">
        <v>2627</v>
      </c>
      <c r="D42" s="468" t="s">
        <v>2628</v>
      </c>
      <c r="E42" s="469" t="s">
        <v>178</v>
      </c>
      <c r="F42" s="502" t="s">
        <v>159</v>
      </c>
      <c r="G42" s="543" t="s">
        <v>2594</v>
      </c>
    </row>
    <row r="43" spans="2:8" ht="14" x14ac:dyDescent="0.3">
      <c r="B43" s="479"/>
      <c r="C43" s="249" t="s">
        <v>2629</v>
      </c>
      <c r="D43" s="468" t="s">
        <v>2630</v>
      </c>
      <c r="E43" s="469" t="s">
        <v>171</v>
      </c>
      <c r="F43" s="502" t="s">
        <v>168</v>
      </c>
      <c r="G43" s="543" t="s">
        <v>2594</v>
      </c>
    </row>
    <row r="44" spans="2:8" ht="14" x14ac:dyDescent="0.3">
      <c r="C44" s="249" t="s">
        <v>2631</v>
      </c>
      <c r="D44" s="468" t="s">
        <v>2632</v>
      </c>
      <c r="E44" s="469" t="s">
        <v>171</v>
      </c>
      <c r="F44" s="502" t="s">
        <v>159</v>
      </c>
      <c r="G44" s="543" t="s">
        <v>2594</v>
      </c>
    </row>
    <row r="45" spans="2:8" ht="14" hidden="1" x14ac:dyDescent="0.3">
      <c r="B45" s="479"/>
      <c r="C45" s="538" t="s">
        <v>2633</v>
      </c>
      <c r="D45" s="522" t="s">
        <v>2634</v>
      </c>
      <c r="E45" s="522" t="s">
        <v>213</v>
      </c>
      <c r="F45" s="502" t="s">
        <v>159</v>
      </c>
      <c r="G45" s="468" t="s">
        <v>2449</v>
      </c>
      <c r="H45" s="16" t="s">
        <v>2578</v>
      </c>
    </row>
    <row r="46" spans="2:8" ht="14" hidden="1" x14ac:dyDescent="0.3">
      <c r="B46" s="479"/>
      <c r="C46" s="538" t="s">
        <v>2635</v>
      </c>
      <c r="D46" s="522" t="s">
        <v>2636</v>
      </c>
      <c r="E46" s="522" t="s">
        <v>213</v>
      </c>
      <c r="F46" s="522" t="s">
        <v>159</v>
      </c>
      <c r="G46" s="522" t="s">
        <v>2637</v>
      </c>
    </row>
    <row r="47" spans="2:8" ht="14" hidden="1" x14ac:dyDescent="0.3">
      <c r="B47" s="479"/>
      <c r="C47" s="538" t="s">
        <v>2638</v>
      </c>
      <c r="D47" s="522" t="s">
        <v>2639</v>
      </c>
      <c r="E47" s="522" t="s">
        <v>290</v>
      </c>
      <c r="F47" s="522" t="s">
        <v>159</v>
      </c>
      <c r="G47" s="522" t="s">
        <v>2637</v>
      </c>
    </row>
    <row r="48" spans="2:8" ht="14" hidden="1" x14ac:dyDescent="0.3">
      <c r="B48" s="479"/>
      <c r="C48" s="538" t="s">
        <v>2640</v>
      </c>
      <c r="D48" s="522" t="s">
        <v>1868</v>
      </c>
      <c r="E48" s="522" t="s">
        <v>178</v>
      </c>
      <c r="F48" s="522" t="s">
        <v>159</v>
      </c>
      <c r="G48" s="522" t="s">
        <v>2637</v>
      </c>
    </row>
    <row r="49" spans="2:8" ht="14" hidden="1" x14ac:dyDescent="0.3">
      <c r="B49" s="479"/>
      <c r="C49" s="538" t="s">
        <v>2641</v>
      </c>
      <c r="D49" s="522" t="s">
        <v>2642</v>
      </c>
      <c r="E49" s="522" t="s">
        <v>178</v>
      </c>
      <c r="F49" s="522" t="s">
        <v>159</v>
      </c>
      <c r="G49" s="522" t="s">
        <v>2637</v>
      </c>
    </row>
    <row r="50" spans="2:8" ht="14" hidden="1" x14ac:dyDescent="0.3">
      <c r="B50" s="479"/>
      <c r="C50" s="538" t="s">
        <v>2643</v>
      </c>
      <c r="D50" s="522" t="s">
        <v>2644</v>
      </c>
      <c r="E50" s="522" t="s">
        <v>178</v>
      </c>
      <c r="F50" s="522" t="s">
        <v>159</v>
      </c>
      <c r="G50" s="522" t="s">
        <v>2637</v>
      </c>
    </row>
    <row r="51" spans="2:8" ht="14" hidden="1" x14ac:dyDescent="0.3">
      <c r="B51" s="479"/>
      <c r="C51" s="538" t="s">
        <v>2645</v>
      </c>
      <c r="D51" s="522" t="s">
        <v>2646</v>
      </c>
      <c r="E51" s="522" t="s">
        <v>171</v>
      </c>
      <c r="F51" s="522" t="s">
        <v>159</v>
      </c>
      <c r="G51" s="522" t="s">
        <v>2637</v>
      </c>
    </row>
    <row r="52" spans="2:8" ht="14" hidden="1" x14ac:dyDescent="0.3">
      <c r="B52" s="479"/>
      <c r="C52" s="538" t="s">
        <v>2647</v>
      </c>
      <c r="D52" s="522" t="s">
        <v>2648</v>
      </c>
      <c r="E52" s="522" t="s">
        <v>178</v>
      </c>
      <c r="F52" s="522" t="s">
        <v>159</v>
      </c>
      <c r="G52" s="522" t="s">
        <v>2637</v>
      </c>
    </row>
    <row r="53" spans="2:8" ht="14" hidden="1" x14ac:dyDescent="0.3">
      <c r="B53" s="479"/>
      <c r="C53" s="538" t="s">
        <v>2649</v>
      </c>
      <c r="D53" s="522" t="s">
        <v>2650</v>
      </c>
      <c r="E53" s="522" t="s">
        <v>171</v>
      </c>
      <c r="F53" s="522" t="s">
        <v>168</v>
      </c>
      <c r="G53" s="522" t="s">
        <v>2637</v>
      </c>
    </row>
    <row r="54" spans="2:8" ht="14" hidden="1" x14ac:dyDescent="0.3">
      <c r="B54" s="479"/>
      <c r="C54" s="538" t="s">
        <v>2651</v>
      </c>
      <c r="D54" s="522" t="s">
        <v>2652</v>
      </c>
      <c r="E54" s="522" t="s">
        <v>171</v>
      </c>
      <c r="F54" s="522" t="s">
        <v>168</v>
      </c>
      <c r="G54" s="522" t="s">
        <v>2637</v>
      </c>
    </row>
    <row r="55" spans="2:8" ht="14" hidden="1" x14ac:dyDescent="0.3">
      <c r="B55" s="479"/>
      <c r="C55" s="538" t="s">
        <v>2653</v>
      </c>
      <c r="D55" s="522" t="s">
        <v>2654</v>
      </c>
      <c r="E55" s="522" t="s">
        <v>171</v>
      </c>
      <c r="F55" s="522" t="s">
        <v>168</v>
      </c>
      <c r="G55" s="522" t="s">
        <v>2637</v>
      </c>
    </row>
    <row r="56" spans="2:8" ht="14" hidden="1" x14ac:dyDescent="0.3">
      <c r="B56" s="479"/>
      <c r="C56" s="538" t="s">
        <v>2655</v>
      </c>
      <c r="D56" s="522" t="s">
        <v>2656</v>
      </c>
      <c r="E56" s="522" t="s">
        <v>171</v>
      </c>
      <c r="F56" s="522" t="s">
        <v>159</v>
      </c>
      <c r="G56" s="522" t="s">
        <v>2637</v>
      </c>
    </row>
    <row r="57" spans="2:8" ht="14" hidden="1" x14ac:dyDescent="0.3">
      <c r="B57" s="479"/>
      <c r="C57" s="538" t="s">
        <v>2657</v>
      </c>
      <c r="D57" s="522" t="s">
        <v>2658</v>
      </c>
      <c r="E57" s="522" t="s">
        <v>171</v>
      </c>
      <c r="F57" s="522" t="s">
        <v>159</v>
      </c>
      <c r="G57" s="522" t="s">
        <v>2637</v>
      </c>
    </row>
    <row r="58" spans="2:8" ht="14" hidden="1" x14ac:dyDescent="0.3">
      <c r="B58" s="479"/>
      <c r="C58" s="285" t="s">
        <v>2659</v>
      </c>
      <c r="D58" s="468" t="s">
        <v>2660</v>
      </c>
      <c r="E58" s="522" t="s">
        <v>171</v>
      </c>
      <c r="F58" s="522" t="s">
        <v>159</v>
      </c>
      <c r="G58" s="522" t="s">
        <v>2637</v>
      </c>
    </row>
    <row r="59" spans="2:8" ht="14" hidden="1" x14ac:dyDescent="0.3">
      <c r="B59" s="479"/>
      <c r="C59" s="285" t="s">
        <v>2661</v>
      </c>
      <c r="D59" s="537" t="s">
        <v>2662</v>
      </c>
      <c r="E59" s="468"/>
      <c r="F59" s="522" t="s">
        <v>168</v>
      </c>
      <c r="G59" s="522" t="s">
        <v>2637</v>
      </c>
    </row>
    <row r="60" spans="2:8" ht="14" hidden="1" x14ac:dyDescent="0.3">
      <c r="B60" s="479" t="s">
        <v>1862</v>
      </c>
      <c r="C60" s="249" t="s">
        <v>2663</v>
      </c>
      <c r="D60" s="468" t="s">
        <v>2664</v>
      </c>
      <c r="E60" s="468" t="s">
        <v>178</v>
      </c>
      <c r="F60" s="468" t="s">
        <v>159</v>
      </c>
      <c r="G60" s="468" t="s">
        <v>2637</v>
      </c>
      <c r="H60" s="16"/>
    </row>
    <row r="61" spans="2:8" ht="14" hidden="1" x14ac:dyDescent="0.3">
      <c r="B61" s="479"/>
      <c r="C61" s="249" t="s">
        <v>2665</v>
      </c>
      <c r="D61" s="468" t="s">
        <v>1426</v>
      </c>
      <c r="E61" s="522" t="s">
        <v>167</v>
      </c>
      <c r="F61" s="522" t="s">
        <v>159</v>
      </c>
      <c r="G61" s="522" t="s">
        <v>2637</v>
      </c>
    </row>
    <row r="62" spans="2:8" ht="14" hidden="1" x14ac:dyDescent="0.3">
      <c r="C62" s="249" t="s">
        <v>2666</v>
      </c>
      <c r="D62" s="468" t="s">
        <v>2667</v>
      </c>
      <c r="E62" s="522"/>
      <c r="F62" s="522" t="s">
        <v>164</v>
      </c>
      <c r="G62" s="522" t="s">
        <v>2637</v>
      </c>
    </row>
    <row r="63" spans="2:8" ht="14" x14ac:dyDescent="0.3">
      <c r="C63" s="249" t="s">
        <v>2668</v>
      </c>
      <c r="D63" s="544" t="s">
        <v>2669</v>
      </c>
      <c r="E63" s="469" t="s">
        <v>171</v>
      </c>
      <c r="F63" s="502" t="s">
        <v>159</v>
      </c>
      <c r="G63" s="543" t="s">
        <v>2594</v>
      </c>
    </row>
    <row r="64" spans="2:8" ht="14" x14ac:dyDescent="0.3">
      <c r="D64" s="16"/>
    </row>
    <row r="65" spans="4:4" ht="14" x14ac:dyDescent="0.3">
      <c r="D65" s="16" t="s">
        <v>2670</v>
      </c>
    </row>
    <row r="66" spans="4:4" ht="14" x14ac:dyDescent="0.3">
      <c r="D66" s="16" t="s">
        <v>2671</v>
      </c>
    </row>
    <row r="68" spans="4:4" ht="14" x14ac:dyDescent="0.3">
      <c r="D68" s="16" t="s">
        <v>2672</v>
      </c>
    </row>
    <row r="70" spans="4:4" ht="14" x14ac:dyDescent="0.3">
      <c r="D70" s="16" t="s">
        <v>2673</v>
      </c>
    </row>
    <row r="72" spans="4:4" ht="14" x14ac:dyDescent="0.3">
      <c r="D72" s="16" t="s">
        <v>756</v>
      </c>
    </row>
    <row r="73" spans="4:4" ht="14" x14ac:dyDescent="0.3">
      <c r="D73" s="16" t="s">
        <v>2674</v>
      </c>
    </row>
    <row r="74" spans="4:4" ht="14" x14ac:dyDescent="0.3">
      <c r="D74" s="16" t="s">
        <v>2675</v>
      </c>
    </row>
    <row r="75" spans="4:4" ht="14" x14ac:dyDescent="0.3">
      <c r="D75" s="16" t="s">
        <v>2676</v>
      </c>
    </row>
    <row r="76" spans="4:4" ht="14" x14ac:dyDescent="0.3">
      <c r="D76" s="16" t="s">
        <v>2677</v>
      </c>
    </row>
    <row r="77" spans="4:4" ht="14" x14ac:dyDescent="0.3">
      <c r="D77" s="16" t="s">
        <v>2678</v>
      </c>
    </row>
    <row r="78" spans="4:4" ht="14" x14ac:dyDescent="0.3">
      <c r="D78" s="16" t="s">
        <v>2679</v>
      </c>
    </row>
    <row r="79" spans="4:4" ht="14" x14ac:dyDescent="0.3">
      <c r="D79" s="16" t="s">
        <v>2680</v>
      </c>
    </row>
    <row r="81" spans="4:4" ht="14" x14ac:dyDescent="0.3">
      <c r="D81" s="16" t="s">
        <v>2681</v>
      </c>
    </row>
    <row r="82" spans="4:4" ht="14" x14ac:dyDescent="0.3">
      <c r="D82" s="16" t="s">
        <v>2682</v>
      </c>
    </row>
    <row r="84" spans="4:4" ht="14" x14ac:dyDescent="0.3">
      <c r="D84" s="16" t="s">
        <v>790</v>
      </c>
    </row>
    <row r="85" spans="4:4" ht="14" x14ac:dyDescent="0.3">
      <c r="D85" s="16" t="s">
        <v>2683</v>
      </c>
    </row>
    <row r="87" spans="4:4" ht="14" x14ac:dyDescent="0.3">
      <c r="D87" s="16" t="s">
        <v>2513</v>
      </c>
    </row>
    <row r="88" spans="4:4" ht="14" x14ac:dyDescent="0.3">
      <c r="D88" s="170" t="s">
        <v>2684</v>
      </c>
    </row>
    <row r="90" spans="4:4" ht="14" x14ac:dyDescent="0.3">
      <c r="D90" s="515">
        <v>44166</v>
      </c>
    </row>
    <row r="91" spans="4:4" ht="14" x14ac:dyDescent="0.3">
      <c r="D91" s="500" t="s">
        <v>2685</v>
      </c>
    </row>
    <row r="92" spans="4:4" ht="14" x14ac:dyDescent="0.3">
      <c r="D92" s="16" t="s">
        <v>2686</v>
      </c>
    </row>
    <row r="93" spans="4:4" ht="14" x14ac:dyDescent="0.3">
      <c r="D93" s="170" t="s">
        <v>2687</v>
      </c>
    </row>
    <row r="94" spans="4:4" ht="14" x14ac:dyDescent="0.3">
      <c r="D94" s="16" t="s">
        <v>2688</v>
      </c>
    </row>
    <row r="95" spans="4:4" ht="14" x14ac:dyDescent="0.3">
      <c r="D95" s="545" t="s">
        <v>2689</v>
      </c>
    </row>
    <row r="96" spans="4:4" ht="14" x14ac:dyDescent="0.3">
      <c r="D96" s="546" t="s">
        <v>2690</v>
      </c>
    </row>
    <row r="98" spans="1:27" ht="14" x14ac:dyDescent="0.3">
      <c r="D98" s="16" t="s">
        <v>829</v>
      </c>
    </row>
    <row r="99" spans="1:27" ht="14" x14ac:dyDescent="0.3">
      <c r="D99" s="545" t="s">
        <v>2691</v>
      </c>
    </row>
    <row r="100" spans="1:27" ht="14" x14ac:dyDescent="0.3">
      <c r="D100" s="545"/>
    </row>
    <row r="102" spans="1:27" ht="14" x14ac:dyDescent="0.3">
      <c r="D102" s="16" t="s">
        <v>831</v>
      </c>
    </row>
    <row r="103" spans="1:27" ht="14" x14ac:dyDescent="0.3">
      <c r="A103" s="547"/>
      <c r="B103" s="547"/>
      <c r="C103" s="547"/>
      <c r="D103" s="547" t="s">
        <v>2692</v>
      </c>
      <c r="E103" s="547"/>
      <c r="F103" s="547"/>
      <c r="G103" s="547"/>
      <c r="H103" s="547"/>
      <c r="I103" s="547"/>
      <c r="J103" s="547"/>
      <c r="K103" s="547"/>
      <c r="L103" s="547"/>
      <c r="M103" s="547"/>
      <c r="N103" s="547"/>
      <c r="O103" s="547"/>
      <c r="P103" s="547"/>
      <c r="Q103" s="547"/>
      <c r="R103" s="547"/>
      <c r="S103" s="547"/>
      <c r="T103" s="547"/>
      <c r="U103" s="547"/>
      <c r="V103" s="547"/>
      <c r="W103" s="547"/>
      <c r="X103" s="547"/>
      <c r="Y103" s="547"/>
      <c r="Z103" s="547"/>
      <c r="AA103" s="547"/>
    </row>
    <row r="104" spans="1:27" ht="14" x14ac:dyDescent="0.3">
      <c r="D104" s="16" t="s">
        <v>2693</v>
      </c>
    </row>
    <row r="105" spans="1:27" ht="14" x14ac:dyDescent="0.3">
      <c r="D105" s="16" t="s">
        <v>2694</v>
      </c>
    </row>
    <row r="106" spans="1:27" ht="14" x14ac:dyDescent="0.3">
      <c r="D106" s="16" t="s">
        <v>2695</v>
      </c>
    </row>
    <row r="107" spans="1:27" ht="69.849999999999994" x14ac:dyDescent="0.3">
      <c r="D107" s="478" t="s">
        <v>2696</v>
      </c>
    </row>
    <row r="109" spans="1:27" ht="14" x14ac:dyDescent="0.3">
      <c r="D109" s="16" t="s">
        <v>834</v>
      </c>
    </row>
    <row r="110" spans="1:27" ht="14" x14ac:dyDescent="0.3">
      <c r="D110" s="16" t="s">
        <v>2697</v>
      </c>
    </row>
    <row r="111" spans="1:27" ht="14" x14ac:dyDescent="0.3">
      <c r="D111" s="16" t="s">
        <v>2698</v>
      </c>
    </row>
    <row r="112" spans="1:27" ht="14" x14ac:dyDescent="0.3">
      <c r="D112" s="16" t="s">
        <v>2699</v>
      </c>
    </row>
    <row r="113" spans="1:27" ht="14" x14ac:dyDescent="0.3">
      <c r="D113" s="16" t="s">
        <v>2700</v>
      </c>
    </row>
    <row r="115" spans="1:27" ht="14" x14ac:dyDescent="0.3">
      <c r="D115" s="16" t="s">
        <v>851</v>
      </c>
    </row>
    <row r="116" spans="1:27" ht="14" x14ac:dyDescent="0.3">
      <c r="D116" s="16" t="s">
        <v>2701</v>
      </c>
    </row>
    <row r="117" spans="1:27" ht="14" x14ac:dyDescent="0.3">
      <c r="D117" s="16" t="s">
        <v>2702</v>
      </c>
    </row>
    <row r="118" spans="1:27" ht="14" x14ac:dyDescent="0.3">
      <c r="D118" s="16" t="s">
        <v>2703</v>
      </c>
    </row>
    <row r="119" spans="1:27" ht="14" x14ac:dyDescent="0.3">
      <c r="D119" s="16" t="s">
        <v>2704</v>
      </c>
    </row>
    <row r="120" spans="1:27" ht="14" x14ac:dyDescent="0.3">
      <c r="D120" s="16" t="s">
        <v>2705</v>
      </c>
    </row>
    <row r="122" spans="1:27" ht="14" x14ac:dyDescent="0.3">
      <c r="D122" s="16" t="s">
        <v>863</v>
      </c>
    </row>
    <row r="123" spans="1:27" ht="14" x14ac:dyDescent="0.3">
      <c r="A123" s="547"/>
      <c r="B123" s="547"/>
      <c r="C123" s="547"/>
      <c r="D123" s="547" t="s">
        <v>2706</v>
      </c>
      <c r="E123" s="547"/>
      <c r="F123" s="547"/>
      <c r="G123" s="547"/>
      <c r="H123" s="547"/>
      <c r="I123" s="547"/>
      <c r="J123" s="547"/>
      <c r="K123" s="547"/>
      <c r="L123" s="547"/>
      <c r="M123" s="547"/>
      <c r="N123" s="547"/>
      <c r="O123" s="547"/>
      <c r="P123" s="547"/>
      <c r="Q123" s="547"/>
      <c r="R123" s="547"/>
      <c r="S123" s="547"/>
      <c r="T123" s="547"/>
      <c r="U123" s="547"/>
      <c r="V123" s="547"/>
      <c r="W123" s="547"/>
      <c r="X123" s="547"/>
      <c r="Y123" s="547"/>
      <c r="Z123" s="547"/>
      <c r="AA123" s="547"/>
    </row>
    <row r="124" spans="1:27" ht="14" x14ac:dyDescent="0.3">
      <c r="D124" s="16" t="s">
        <v>2707</v>
      </c>
    </row>
    <row r="125" spans="1:27" ht="14" x14ac:dyDescent="0.3">
      <c r="D125" s="16" t="s">
        <v>2708</v>
      </c>
    </row>
    <row r="126" spans="1:27" ht="14" x14ac:dyDescent="0.3">
      <c r="D126" s="16" t="s">
        <v>2709</v>
      </c>
    </row>
    <row r="127" spans="1:27" ht="14" x14ac:dyDescent="0.3">
      <c r="D127" s="16" t="s">
        <v>2710</v>
      </c>
    </row>
    <row r="129" spans="4:4" ht="14" x14ac:dyDescent="0.3">
      <c r="D129" s="16" t="s">
        <v>867</v>
      </c>
    </row>
    <row r="130" spans="4:4" ht="14" x14ac:dyDescent="0.3">
      <c r="D130" s="16" t="s">
        <v>2711</v>
      </c>
    </row>
    <row r="131" spans="4:4" ht="14" x14ac:dyDescent="0.3">
      <c r="D131" s="16" t="s">
        <v>2712</v>
      </c>
    </row>
    <row r="132" spans="4:4" ht="14" x14ac:dyDescent="0.3">
      <c r="D132" s="16" t="s">
        <v>2713</v>
      </c>
    </row>
    <row r="134" spans="4:4" ht="14" x14ac:dyDescent="0.3">
      <c r="D134" s="16" t="s">
        <v>2714</v>
      </c>
    </row>
    <row r="135" spans="4:4" ht="14" x14ac:dyDescent="0.3">
      <c r="D135" s="16" t="s">
        <v>2715</v>
      </c>
    </row>
    <row r="136" spans="4:4" ht="14" x14ac:dyDescent="0.3">
      <c r="D136" s="16" t="s">
        <v>2716</v>
      </c>
    </row>
    <row r="137" spans="4:4" ht="14" x14ac:dyDescent="0.3">
      <c r="D137" s="16" t="s">
        <v>2717</v>
      </c>
    </row>
    <row r="138" spans="4:4" ht="14" x14ac:dyDescent="0.3">
      <c r="D138" s="16" t="s">
        <v>2718</v>
      </c>
    </row>
    <row r="140" spans="4:4" ht="14" x14ac:dyDescent="0.3">
      <c r="D140" s="16"/>
    </row>
    <row r="141" spans="4:4" ht="14" x14ac:dyDescent="0.3">
      <c r="D141" s="16" t="s">
        <v>870</v>
      </c>
    </row>
    <row r="142" spans="4:4" ht="14" x14ac:dyDescent="0.3">
      <c r="D142" s="16" t="s">
        <v>2719</v>
      </c>
    </row>
    <row r="143" spans="4:4" ht="14" x14ac:dyDescent="0.3">
      <c r="D143" s="16" t="s">
        <v>2720</v>
      </c>
    </row>
    <row r="144" spans="4:4" ht="14" x14ac:dyDescent="0.3">
      <c r="D144" s="16" t="s">
        <v>2721</v>
      </c>
    </row>
    <row r="146" spans="4:6" ht="14" x14ac:dyDescent="0.3">
      <c r="D146" s="16" t="s">
        <v>883</v>
      </c>
    </row>
    <row r="147" spans="4:6" ht="14" x14ac:dyDescent="0.3">
      <c r="D147" s="16" t="s">
        <v>2722</v>
      </c>
    </row>
    <row r="148" spans="4:6" ht="14" x14ac:dyDescent="0.3">
      <c r="D148" s="16" t="s">
        <v>2723</v>
      </c>
    </row>
    <row r="149" spans="4:6" ht="26.9" x14ac:dyDescent="0.25">
      <c r="D149" s="479" t="s">
        <v>2724</v>
      </c>
    </row>
    <row r="151" spans="4:6" ht="14" x14ac:dyDescent="0.3">
      <c r="D151" s="16" t="s">
        <v>906</v>
      </c>
    </row>
    <row r="152" spans="4:6" ht="40.299999999999997" x14ac:dyDescent="0.25">
      <c r="D152" s="479" t="s">
        <v>2725</v>
      </c>
    </row>
    <row r="154" spans="4:6" ht="14" x14ac:dyDescent="0.3">
      <c r="D154" s="16" t="s">
        <v>2533</v>
      </c>
    </row>
    <row r="155" spans="4:6" ht="26.9" x14ac:dyDescent="0.25">
      <c r="D155" s="479" t="s">
        <v>2726</v>
      </c>
    </row>
    <row r="156" spans="4:6" ht="14" x14ac:dyDescent="0.3">
      <c r="D156" s="548" t="s">
        <v>2727</v>
      </c>
      <c r="E156" s="476"/>
      <c r="F156" s="476"/>
    </row>
    <row r="158" spans="4:6" ht="14" x14ac:dyDescent="0.3">
      <c r="D158" s="16" t="s">
        <v>1014</v>
      </c>
    </row>
    <row r="159" spans="4:6" ht="40.299999999999997" x14ac:dyDescent="0.25">
      <c r="D159" s="479" t="s">
        <v>2728</v>
      </c>
    </row>
    <row r="160" spans="4:6" ht="26.9" x14ac:dyDescent="0.25">
      <c r="D160" s="479" t="s">
        <v>2729</v>
      </c>
    </row>
    <row r="162" spans="4:4" ht="14" x14ac:dyDescent="0.3">
      <c r="D162" s="16" t="s">
        <v>1016</v>
      </c>
    </row>
    <row r="163" spans="4:4" ht="26.9" x14ac:dyDescent="0.25">
      <c r="D163" s="479" t="s">
        <v>2730</v>
      </c>
    </row>
    <row r="164" spans="4:4" ht="67.2" x14ac:dyDescent="0.25">
      <c r="D164" s="479" t="s">
        <v>2731</v>
      </c>
    </row>
    <row r="165" spans="4:4" ht="53.75" x14ac:dyDescent="0.25">
      <c r="D165" s="479" t="s">
        <v>2732</v>
      </c>
    </row>
    <row r="167" spans="4:4" ht="13.45" x14ac:dyDescent="0.25">
      <c r="D167" s="337">
        <v>44958</v>
      </c>
    </row>
    <row r="168" spans="4:4" ht="26.9" x14ac:dyDescent="0.25">
      <c r="D168" s="479" t="s">
        <v>2733</v>
      </c>
    </row>
    <row r="169" spans="4:4" ht="13.45" x14ac:dyDescent="0.25">
      <c r="D169" s="337"/>
    </row>
    <row r="170" spans="4:4" ht="13.45" x14ac:dyDescent="0.25">
      <c r="D170" s="337">
        <v>45047</v>
      </c>
    </row>
    <row r="171" spans="4:4" ht="26.9" x14ac:dyDescent="0.25">
      <c r="D171" s="479" t="s">
        <v>2734</v>
      </c>
    </row>
    <row r="172" spans="4:4" ht="13.45" x14ac:dyDescent="0.25">
      <c r="D172" s="337"/>
    </row>
    <row r="173" spans="4:4" ht="13.45" x14ac:dyDescent="0.25">
      <c r="D173" s="337">
        <v>45078</v>
      </c>
    </row>
    <row r="174" spans="4:4" ht="13.45" x14ac:dyDescent="0.25">
      <c r="D174" s="479" t="s">
        <v>2735</v>
      </c>
    </row>
    <row r="175" spans="4:4" ht="13.45" x14ac:dyDescent="0.25">
      <c r="D175" s="479" t="s">
        <v>2736</v>
      </c>
    </row>
    <row r="177" spans="3:10" ht="13.45" x14ac:dyDescent="0.25">
      <c r="D177" s="337">
        <v>45108</v>
      </c>
    </row>
    <row r="178" spans="3:10" ht="13.45" x14ac:dyDescent="0.25">
      <c r="D178" s="479" t="s">
        <v>2737</v>
      </c>
    </row>
    <row r="179" spans="3:10" ht="26.9" x14ac:dyDescent="0.25">
      <c r="D179" s="479" t="s">
        <v>2738</v>
      </c>
    </row>
    <row r="180" spans="3:10" ht="13.45" x14ac:dyDescent="0.25">
      <c r="D180" s="479" t="s">
        <v>2739</v>
      </c>
    </row>
    <row r="181" spans="3:10" ht="13.45" x14ac:dyDescent="0.25">
      <c r="D181" s="479" t="s">
        <v>2740</v>
      </c>
    </row>
    <row r="182" spans="3:10" ht="26.9" x14ac:dyDescent="0.25">
      <c r="D182" s="479" t="s">
        <v>2741</v>
      </c>
    </row>
    <row r="184" spans="3:10" ht="13.45" x14ac:dyDescent="0.25">
      <c r="D184" s="509">
        <v>45170</v>
      </c>
    </row>
    <row r="185" spans="3:10" ht="26.9" x14ac:dyDescent="0.25">
      <c r="D185" s="479" t="s">
        <v>2742</v>
      </c>
    </row>
    <row r="186" spans="3:10" ht="13.45" x14ac:dyDescent="0.25">
      <c r="D186" s="479" t="s">
        <v>2743</v>
      </c>
    </row>
    <row r="188" spans="3:10" ht="13.45" x14ac:dyDescent="0.25">
      <c r="D188" s="337">
        <v>45261</v>
      </c>
    </row>
    <row r="189" spans="3:10" ht="13.45" x14ac:dyDescent="0.25">
      <c r="D189" s="479" t="s">
        <v>2744</v>
      </c>
    </row>
    <row r="191" spans="3:10" ht="13.45" x14ac:dyDescent="0.25">
      <c r="D191" s="511">
        <v>45537</v>
      </c>
    </row>
    <row r="192" spans="3:10" ht="14" x14ac:dyDescent="0.3">
      <c r="C192" s="249" t="s">
        <v>2745</v>
      </c>
      <c r="D192" s="468" t="s">
        <v>1287</v>
      </c>
      <c r="E192" s="468" t="s">
        <v>167</v>
      </c>
      <c r="F192" s="499" t="s">
        <v>159</v>
      </c>
      <c r="G192" s="522" t="s">
        <v>2594</v>
      </c>
      <c r="H192" s="627" t="s">
        <v>2746</v>
      </c>
      <c r="I192" s="627"/>
      <c r="J192" s="627"/>
    </row>
    <row r="193" spans="3:10" ht="14" x14ac:dyDescent="0.3">
      <c r="C193" s="249" t="s">
        <v>2627</v>
      </c>
      <c r="D193" s="468" t="s">
        <v>2628</v>
      </c>
      <c r="E193" s="469" t="s">
        <v>178</v>
      </c>
      <c r="F193" s="502" t="s">
        <v>159</v>
      </c>
      <c r="G193" s="543" t="s">
        <v>2594</v>
      </c>
      <c r="H193" s="627" t="s">
        <v>2747</v>
      </c>
      <c r="I193" s="627"/>
      <c r="J193" s="627"/>
    </row>
  </sheetData>
  <autoFilter ref="C2:G63" xr:uid="{00000000-0009-0000-0000-00001D000000}">
    <filterColumn colId="4">
      <filters>
        <filter val="17ªVARA"/>
      </filters>
    </filterColumn>
  </autoFilter>
  <mergeCells count="2">
    <mergeCell ref="H192:J192"/>
    <mergeCell ref="H193:J193"/>
  </mergeCells>
  <dataValidations count="2">
    <dataValidation type="list" allowBlank="1" showInputMessage="1" showErrorMessage="1" prompt="Clique e insira um valor de a lista de itens" sqref="E24:E35 E37:E44 E63 E192:E193" xr:uid="{00000000-0002-0000-1D00-000000000000}">
      <formula1>"AJAJ,AJ-BIBLIOTECONOMIA,TJAA,AJAA,TJAS,AJOJ,AJEC,AJ-INFORMATICA,AJ-DESENVOLVIMENTO,TJ-INFORMÁTICA,AJ-INFRAESTRUTURA,AJ-MEDICINA,AJ-CONTADORIA,AJAE"</formula1>
      <formula2>0</formula2>
    </dataValidation>
    <dataValidation type="list" allowBlank="1" showInputMessage="1" showErrorMessage="1" prompt="Clique e insira um valor de a lista de itens" sqref="F24:F35 F37:F45 F63 F192:F193" xr:uid="{00000000-0002-0000-1D00-000001000000}">
      <formula1>"EFETIVO,REQUISITADO,EX. PROVISÓRIO,REMOVIDO,SEM VÍNCULO,VAGO,PROVIDO,A SER PROVIDO"</formula1>
      <formula2>0</formula2>
    </dataValidation>
  </dataValidations>
  <pageMargins left="0.51180555555555596" right="0.51180555555555596" top="0.78749999999999998" bottom="0.78749999999999998" header="0.511811023622047" footer="0.511811023622047"/>
  <pageSetup orientation="landscape" horizontalDpi="300" verticalDpi="300"/>
  <legacyDrawing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B3:I54"/>
  <sheetViews>
    <sheetView topLeftCell="C1" zoomScale="110" zoomScaleNormal="110" workbookViewId="0">
      <selection activeCell="D4" activeCellId="1" sqref="B9 D4"/>
    </sheetView>
  </sheetViews>
  <sheetFormatPr defaultColWidth="12.6328125" defaultRowHeight="14.25" customHeight="1" x14ac:dyDescent="0.25"/>
  <cols>
    <col min="4" max="4" width="38.7265625" customWidth="1"/>
  </cols>
  <sheetData>
    <row r="3" spans="2:6" ht="15.05" customHeight="1" x14ac:dyDescent="0.25">
      <c r="C3" s="212" t="s">
        <v>149</v>
      </c>
      <c r="D3" s="212" t="s">
        <v>150</v>
      </c>
      <c r="E3" s="212" t="s">
        <v>118</v>
      </c>
      <c r="F3" s="212" t="s">
        <v>970</v>
      </c>
    </row>
    <row r="4" spans="2:6" ht="14" x14ac:dyDescent="0.3">
      <c r="B4" s="476"/>
      <c r="C4" s="249" t="s">
        <v>2748</v>
      </c>
      <c r="D4" s="468" t="s">
        <v>2749</v>
      </c>
      <c r="E4" s="469" t="s">
        <v>213</v>
      </c>
      <c r="F4" s="502" t="s">
        <v>159</v>
      </c>
    </row>
    <row r="5" spans="2:6" ht="14" x14ac:dyDescent="0.3">
      <c r="B5" s="476"/>
      <c r="C5" s="249" t="s">
        <v>2750</v>
      </c>
      <c r="D5" s="468" t="s">
        <v>2751</v>
      </c>
      <c r="E5" s="469" t="s">
        <v>167</v>
      </c>
      <c r="F5" s="502" t="s">
        <v>159</v>
      </c>
    </row>
    <row r="6" spans="2:6" ht="14" x14ac:dyDescent="0.3">
      <c r="B6" s="476"/>
      <c r="C6" s="249" t="s">
        <v>2752</v>
      </c>
      <c r="D6" s="468" t="s">
        <v>2753</v>
      </c>
      <c r="E6" s="469" t="s">
        <v>171</v>
      </c>
      <c r="F6" s="502" t="s">
        <v>159</v>
      </c>
    </row>
    <row r="7" spans="2:6" ht="14" x14ac:dyDescent="0.3">
      <c r="B7" s="476"/>
      <c r="C7" s="249" t="s">
        <v>2754</v>
      </c>
      <c r="D7" s="468" t="s">
        <v>2755</v>
      </c>
      <c r="E7" s="469" t="s">
        <v>178</v>
      </c>
      <c r="F7" s="502" t="s">
        <v>159</v>
      </c>
    </row>
    <row r="8" spans="2:6" ht="14" x14ac:dyDescent="0.3">
      <c r="B8" s="476"/>
      <c r="C8" s="249" t="s">
        <v>2756</v>
      </c>
      <c r="D8" s="468" t="s">
        <v>2757</v>
      </c>
      <c r="E8" s="469" t="s">
        <v>167</v>
      </c>
      <c r="F8" s="502" t="s">
        <v>159</v>
      </c>
    </row>
    <row r="9" spans="2:6" ht="14" x14ac:dyDescent="0.3">
      <c r="B9" s="476"/>
      <c r="C9" s="249" t="s">
        <v>2758</v>
      </c>
      <c r="D9" s="468" t="s">
        <v>2759</v>
      </c>
      <c r="E9" s="469" t="s">
        <v>171</v>
      </c>
      <c r="F9" s="502" t="s">
        <v>159</v>
      </c>
    </row>
    <row r="10" spans="2:6" ht="14" x14ac:dyDescent="0.3">
      <c r="B10" s="476"/>
      <c r="C10" s="249" t="s">
        <v>2760</v>
      </c>
      <c r="D10" s="468" t="s">
        <v>2761</v>
      </c>
      <c r="E10" s="469" t="s">
        <v>171</v>
      </c>
      <c r="F10" s="502" t="s">
        <v>159</v>
      </c>
    </row>
    <row r="11" spans="2:6" ht="14" x14ac:dyDescent="0.3">
      <c r="B11" s="476"/>
      <c r="C11" s="249" t="s">
        <v>2762</v>
      </c>
      <c r="D11" s="468" t="s">
        <v>2763</v>
      </c>
      <c r="E11" s="469" t="s">
        <v>167</v>
      </c>
      <c r="F11" s="502" t="s">
        <v>159</v>
      </c>
    </row>
    <row r="12" spans="2:6" ht="14" x14ac:dyDescent="0.3">
      <c r="B12" s="477" t="s">
        <v>1862</v>
      </c>
      <c r="C12" s="249" t="s">
        <v>2764</v>
      </c>
      <c r="D12" s="468" t="s">
        <v>2765</v>
      </c>
      <c r="E12" s="469" t="s">
        <v>171</v>
      </c>
      <c r="F12" s="502" t="s">
        <v>159</v>
      </c>
    </row>
    <row r="13" spans="2:6" ht="14" x14ac:dyDescent="0.3">
      <c r="B13" s="476"/>
      <c r="C13" s="249" t="s">
        <v>2766</v>
      </c>
      <c r="D13" s="468" t="s">
        <v>2767</v>
      </c>
      <c r="E13" s="469"/>
      <c r="F13" s="502" t="s">
        <v>164</v>
      </c>
    </row>
    <row r="14" spans="2:6" ht="14" x14ac:dyDescent="0.3">
      <c r="B14" s="476"/>
      <c r="C14" s="249" t="s">
        <v>2768</v>
      </c>
      <c r="D14" s="468" t="s">
        <v>2769</v>
      </c>
      <c r="E14" s="469" t="s">
        <v>167</v>
      </c>
      <c r="F14" s="502" t="s">
        <v>159</v>
      </c>
    </row>
    <row r="15" spans="2:6" ht="14" x14ac:dyDescent="0.3">
      <c r="B15" s="476"/>
      <c r="C15" s="249" t="s">
        <v>2770</v>
      </c>
      <c r="D15" s="468" t="s">
        <v>2771</v>
      </c>
      <c r="E15" s="469" t="s">
        <v>171</v>
      </c>
      <c r="F15" s="502" t="s">
        <v>168</v>
      </c>
    </row>
    <row r="16" spans="2:6" ht="14" x14ac:dyDescent="0.3">
      <c r="B16" s="476"/>
      <c r="C16" s="249" t="s">
        <v>2772</v>
      </c>
      <c r="D16" s="468" t="s">
        <v>2773</v>
      </c>
      <c r="E16" s="469" t="s">
        <v>178</v>
      </c>
      <c r="F16" s="502" t="s">
        <v>159</v>
      </c>
    </row>
    <row r="17" spans="2:6" ht="14" x14ac:dyDescent="0.3">
      <c r="B17" s="476"/>
      <c r="C17" s="249" t="s">
        <v>2774</v>
      </c>
      <c r="D17" s="468" t="s">
        <v>2775</v>
      </c>
      <c r="E17" s="469" t="s">
        <v>171</v>
      </c>
      <c r="F17" s="502" t="s">
        <v>159</v>
      </c>
    </row>
    <row r="18" spans="2:6" ht="14" x14ac:dyDescent="0.3">
      <c r="B18" s="476"/>
      <c r="C18" s="249" t="s">
        <v>2776</v>
      </c>
      <c r="D18" s="468" t="s">
        <v>2777</v>
      </c>
      <c r="E18" s="469" t="s">
        <v>171</v>
      </c>
      <c r="F18" s="502" t="s">
        <v>168</v>
      </c>
    </row>
    <row r="19" spans="2:6" ht="14" x14ac:dyDescent="0.3">
      <c r="B19" s="476"/>
      <c r="C19" s="249" t="s">
        <v>2778</v>
      </c>
      <c r="D19" s="468" t="s">
        <v>2779</v>
      </c>
      <c r="E19" s="469" t="s">
        <v>178</v>
      </c>
      <c r="F19" s="502" t="s">
        <v>159</v>
      </c>
    </row>
    <row r="20" spans="2:6" ht="14" x14ac:dyDescent="0.3">
      <c r="C20" s="249" t="s">
        <v>1957</v>
      </c>
      <c r="D20" s="468" t="s">
        <v>1958</v>
      </c>
      <c r="E20" s="505" t="s">
        <v>171</v>
      </c>
      <c r="F20" s="506" t="s">
        <v>168</v>
      </c>
    </row>
    <row r="24" spans="2:6" ht="14" x14ac:dyDescent="0.3">
      <c r="D24" s="16" t="s">
        <v>2780</v>
      </c>
    </row>
    <row r="25" spans="2:6" ht="14" x14ac:dyDescent="0.3">
      <c r="D25" s="16" t="s">
        <v>2781</v>
      </c>
    </row>
    <row r="27" spans="2:6" ht="14" x14ac:dyDescent="0.3">
      <c r="D27" s="16" t="s">
        <v>1000</v>
      </c>
    </row>
    <row r="28" spans="2:6" ht="14" x14ac:dyDescent="0.3">
      <c r="D28" s="16" t="s">
        <v>2782</v>
      </c>
    </row>
    <row r="29" spans="2:6" ht="14" x14ac:dyDescent="0.3">
      <c r="D29" s="16" t="s">
        <v>2783</v>
      </c>
    </row>
    <row r="30" spans="2:6" ht="14" x14ac:dyDescent="0.3">
      <c r="D30" s="16" t="s">
        <v>2784</v>
      </c>
    </row>
    <row r="31" spans="2:6" ht="14" x14ac:dyDescent="0.3">
      <c r="D31" s="16" t="s">
        <v>2785</v>
      </c>
    </row>
    <row r="32" spans="2:6" ht="14" x14ac:dyDescent="0.3">
      <c r="D32" s="16" t="s">
        <v>2786</v>
      </c>
    </row>
    <row r="34" spans="4:4" ht="14" x14ac:dyDescent="0.3">
      <c r="D34" s="16" t="s">
        <v>1002</v>
      </c>
    </row>
    <row r="35" spans="4:4" ht="14" x14ac:dyDescent="0.3">
      <c r="D35" s="16" t="s">
        <v>2787</v>
      </c>
    </row>
    <row r="36" spans="4:4" ht="14" x14ac:dyDescent="0.3">
      <c r="D36" s="16" t="s">
        <v>2788</v>
      </c>
    </row>
    <row r="37" spans="4:4" ht="14" x14ac:dyDescent="0.3">
      <c r="D37" s="16" t="s">
        <v>2789</v>
      </c>
    </row>
    <row r="38" spans="4:4" ht="14" x14ac:dyDescent="0.3">
      <c r="D38" s="16" t="s">
        <v>2790</v>
      </c>
    </row>
    <row r="40" spans="4:4" ht="14" x14ac:dyDescent="0.3">
      <c r="D40" s="16" t="s">
        <v>2791</v>
      </c>
    </row>
    <row r="41" spans="4:4" ht="14" x14ac:dyDescent="0.3">
      <c r="D41" s="16" t="s">
        <v>2792</v>
      </c>
    </row>
    <row r="43" spans="4:4" ht="14" x14ac:dyDescent="0.3">
      <c r="D43" s="16" t="s">
        <v>851</v>
      </c>
    </row>
    <row r="44" spans="4:4" ht="14" x14ac:dyDescent="0.3">
      <c r="D44" s="16" t="s">
        <v>2793</v>
      </c>
    </row>
    <row r="45" spans="4:4" ht="14" x14ac:dyDescent="0.3">
      <c r="D45" s="16" t="s">
        <v>2794</v>
      </c>
    </row>
    <row r="47" spans="4:4" ht="14" x14ac:dyDescent="0.3">
      <c r="D47" s="16" t="s">
        <v>899</v>
      </c>
    </row>
    <row r="48" spans="4:4" ht="26.9" x14ac:dyDescent="0.25">
      <c r="D48" s="479" t="s">
        <v>2795</v>
      </c>
    </row>
    <row r="50" spans="4:9" ht="14" x14ac:dyDescent="0.3">
      <c r="D50" s="16" t="s">
        <v>1016</v>
      </c>
    </row>
    <row r="51" spans="4:9" ht="26.9" x14ac:dyDescent="0.25">
      <c r="D51" s="479" t="s">
        <v>2796</v>
      </c>
    </row>
    <row r="53" spans="4:9" ht="13.45" x14ac:dyDescent="0.25">
      <c r="D53" s="511">
        <v>45433</v>
      </c>
    </row>
    <row r="54" spans="4:9" ht="14" x14ac:dyDescent="0.3">
      <c r="D54" s="249" t="s">
        <v>421</v>
      </c>
      <c r="E54" s="468" t="s">
        <v>422</v>
      </c>
      <c r="F54" s="469" t="s">
        <v>178</v>
      </c>
      <c r="G54" s="502" t="s">
        <v>159</v>
      </c>
      <c r="H54" s="624" t="s">
        <v>2797</v>
      </c>
      <c r="I54" s="624"/>
    </row>
  </sheetData>
  <autoFilter ref="C3:F19" xr:uid="{00000000-0009-0000-0000-00001E000000}"/>
  <mergeCells count="1">
    <mergeCell ref="H54:I54"/>
  </mergeCells>
  <dataValidations count="2">
    <dataValidation type="list" allowBlank="1" showInputMessage="1" showErrorMessage="1" prompt="Clique e insira um valor de a lista de itens" sqref="E4:E20 F54" xr:uid="{00000000-0002-0000-1E00-000000000000}">
      <formula1>"AJAJ,AJ-BIBLIOTECONOMIA,TJAA,AJAA,TJAS,AJOJ,AJEC,AJ-INFORMATICA,AJ-DESENVOLVIMENTO,TJ-INFORMÁTICA,AJ-INFRAESTRUTURA,AJ-MEDICINA,AJ-CONTADORIA,AJAE"</formula1>
      <formula2>0</formula2>
    </dataValidation>
    <dataValidation type="list" allowBlank="1" showInputMessage="1" showErrorMessage="1" prompt="Clique e insira um valor de a lista de itens" sqref="F4:F20 G54" xr:uid="{00000000-0002-0000-1E00-000001000000}">
      <formula1>"EFETIVO,REQUISITADO,EX. PROVISÓRIO,REMOVIDO,SEM VÍNCULO,VAGO,PROVIDO,A SER PROVIDO"</formula1>
      <formula2>0</formula2>
    </dataValidation>
  </dataValidations>
  <pageMargins left="0.51180555555555596" right="0.51180555555555596" top="0.78749999999999998" bottom="0.78749999999999998" header="0.511811023622047" footer="0.511811023622047"/>
  <pageSetup orientation="landscape" horizontalDpi="300" verticalDpi="300"/>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B1:F995"/>
  <sheetViews>
    <sheetView zoomScale="110" zoomScaleNormal="110" workbookViewId="0">
      <selection activeCell="D4" activeCellId="1" sqref="B9 D4"/>
    </sheetView>
  </sheetViews>
  <sheetFormatPr defaultColWidth="12.6328125" defaultRowHeight="14.25" customHeight="1" x14ac:dyDescent="0.25"/>
  <cols>
    <col min="1" max="1" width="7.6328125" customWidth="1"/>
    <col min="2" max="2" width="10.36328125" customWidth="1"/>
    <col min="3" max="3" width="15.26953125" customWidth="1"/>
    <col min="4" max="4" width="39.6328125" customWidth="1"/>
    <col min="5" max="5" width="15.08984375" customWidth="1"/>
    <col min="6" max="6" width="12.90625" customWidth="1"/>
    <col min="7" max="26" width="7.6328125" customWidth="1"/>
  </cols>
  <sheetData>
    <row r="1" spans="2:6" ht="13.45" x14ac:dyDescent="0.25">
      <c r="E1" s="223"/>
      <c r="F1" s="223"/>
    </row>
    <row r="2" spans="2:6" ht="13.45" x14ac:dyDescent="0.25">
      <c r="E2" s="223"/>
      <c r="F2" s="223"/>
    </row>
    <row r="3" spans="2:6" ht="31.6" customHeight="1" x14ac:dyDescent="0.25">
      <c r="C3" s="212" t="s">
        <v>149</v>
      </c>
      <c r="D3" s="212" t="s">
        <v>150</v>
      </c>
      <c r="E3" s="212" t="s">
        <v>118</v>
      </c>
      <c r="F3" s="212" t="s">
        <v>970</v>
      </c>
    </row>
    <row r="4" spans="2:6" ht="14" x14ac:dyDescent="0.3">
      <c r="C4" s="249" t="s">
        <v>2798</v>
      </c>
      <c r="D4" s="468" t="s">
        <v>2799</v>
      </c>
      <c r="E4" s="469" t="s">
        <v>178</v>
      </c>
      <c r="F4" s="502" t="s">
        <v>159</v>
      </c>
    </row>
    <row r="5" spans="2:6" ht="14" x14ac:dyDescent="0.3">
      <c r="C5" s="249" t="s">
        <v>2800</v>
      </c>
      <c r="D5" s="468" t="s">
        <v>2801</v>
      </c>
      <c r="E5" s="469" t="s">
        <v>290</v>
      </c>
      <c r="F5" s="502" t="s">
        <v>159</v>
      </c>
    </row>
    <row r="6" spans="2:6" ht="14" x14ac:dyDescent="0.3">
      <c r="C6" s="249" t="s">
        <v>2802</v>
      </c>
      <c r="D6" s="468" t="s">
        <v>2803</v>
      </c>
      <c r="E6" s="469" t="s">
        <v>171</v>
      </c>
      <c r="F6" s="502" t="s">
        <v>159</v>
      </c>
    </row>
    <row r="7" spans="2:6" ht="14" x14ac:dyDescent="0.3">
      <c r="C7" s="249" t="s">
        <v>2804</v>
      </c>
      <c r="D7" s="468" t="s">
        <v>2805</v>
      </c>
      <c r="E7" s="469" t="s">
        <v>167</v>
      </c>
      <c r="F7" s="502" t="s">
        <v>159</v>
      </c>
    </row>
    <row r="8" spans="2:6" ht="14" x14ac:dyDescent="0.3">
      <c r="B8" s="479" t="s">
        <v>1862</v>
      </c>
      <c r="C8" s="249" t="s">
        <v>2806</v>
      </c>
      <c r="D8" s="468" t="s">
        <v>2807</v>
      </c>
      <c r="E8" s="469" t="s">
        <v>171</v>
      </c>
      <c r="F8" s="502" t="s">
        <v>159</v>
      </c>
    </row>
    <row r="9" spans="2:6" ht="14" x14ac:dyDescent="0.3">
      <c r="C9" s="249" t="s">
        <v>2808</v>
      </c>
      <c r="D9" s="468" t="s">
        <v>2809</v>
      </c>
      <c r="E9" s="469" t="s">
        <v>178</v>
      </c>
      <c r="F9" s="502" t="s">
        <v>159</v>
      </c>
    </row>
    <row r="10" spans="2:6" ht="14" x14ac:dyDescent="0.3">
      <c r="C10" s="249" t="s">
        <v>2810</v>
      </c>
      <c r="D10" s="468" t="s">
        <v>2811</v>
      </c>
      <c r="E10" s="469" t="s">
        <v>178</v>
      </c>
      <c r="F10" s="502" t="s">
        <v>159</v>
      </c>
    </row>
    <row r="11" spans="2:6" ht="14" x14ac:dyDescent="0.3">
      <c r="C11" s="249" t="s">
        <v>2812</v>
      </c>
      <c r="D11" s="468" t="s">
        <v>2813</v>
      </c>
      <c r="E11" s="469" t="s">
        <v>171</v>
      </c>
      <c r="F11" s="502" t="s">
        <v>164</v>
      </c>
    </row>
    <row r="12" spans="2:6" ht="14" x14ac:dyDescent="0.3">
      <c r="C12" s="249" t="s">
        <v>2814</v>
      </c>
      <c r="D12" s="468" t="s">
        <v>2815</v>
      </c>
      <c r="E12" s="469" t="s">
        <v>171</v>
      </c>
      <c r="F12" s="502" t="s">
        <v>168</v>
      </c>
    </row>
    <row r="13" spans="2:6" ht="14" x14ac:dyDescent="0.3">
      <c r="C13" s="249" t="s">
        <v>2816</v>
      </c>
      <c r="D13" s="468" t="s">
        <v>2817</v>
      </c>
      <c r="E13" s="469" t="s">
        <v>171</v>
      </c>
      <c r="F13" s="502" t="s">
        <v>159</v>
      </c>
    </row>
    <row r="14" spans="2:6" ht="14" x14ac:dyDescent="0.3">
      <c r="C14" s="249" t="s">
        <v>2818</v>
      </c>
      <c r="D14" s="468" t="s">
        <v>2819</v>
      </c>
      <c r="E14" s="469" t="s">
        <v>178</v>
      </c>
      <c r="F14" s="502" t="s">
        <v>159</v>
      </c>
    </row>
    <row r="15" spans="2:6" ht="14" x14ac:dyDescent="0.3">
      <c r="C15" s="249" t="s">
        <v>2820</v>
      </c>
      <c r="D15" s="468" t="s">
        <v>2821</v>
      </c>
      <c r="E15" s="469" t="s">
        <v>171</v>
      </c>
      <c r="F15" s="502" t="s">
        <v>168</v>
      </c>
    </row>
    <row r="16" spans="2:6" ht="14" x14ac:dyDescent="0.3">
      <c r="C16" s="249" t="s">
        <v>2822</v>
      </c>
      <c r="D16" s="468" t="s">
        <v>2823</v>
      </c>
      <c r="E16" s="469" t="s">
        <v>171</v>
      </c>
      <c r="F16" s="502" t="s">
        <v>159</v>
      </c>
    </row>
    <row r="17" spans="3:6" ht="15.75" customHeight="1" x14ac:dyDescent="0.3">
      <c r="C17" s="249" t="s">
        <v>2824</v>
      </c>
      <c r="D17" s="468" t="s">
        <v>2825</v>
      </c>
      <c r="E17" s="469" t="s">
        <v>178</v>
      </c>
      <c r="F17" s="502" t="s">
        <v>159</v>
      </c>
    </row>
    <row r="18" spans="3:6" ht="15.75" customHeight="1" x14ac:dyDescent="0.3">
      <c r="C18" s="249" t="s">
        <v>2826</v>
      </c>
      <c r="D18" s="468" t="s">
        <v>2827</v>
      </c>
      <c r="E18" s="469" t="s">
        <v>213</v>
      </c>
      <c r="F18" s="502" t="s">
        <v>159</v>
      </c>
    </row>
    <row r="19" spans="3:6" ht="15.75" customHeight="1" x14ac:dyDescent="0.3">
      <c r="C19" s="249" t="s">
        <v>2828</v>
      </c>
      <c r="D19" s="468" t="s">
        <v>2829</v>
      </c>
      <c r="E19" s="469"/>
      <c r="F19" s="502" t="s">
        <v>164</v>
      </c>
    </row>
    <row r="20" spans="3:6" ht="15.75" customHeight="1" x14ac:dyDescent="0.3">
      <c r="C20" s="249" t="s">
        <v>2830</v>
      </c>
      <c r="D20" s="468" t="s">
        <v>2831</v>
      </c>
      <c r="E20" s="469" t="s">
        <v>290</v>
      </c>
      <c r="F20" s="502" t="s">
        <v>159</v>
      </c>
    </row>
    <row r="21" spans="3:6" ht="15.75" customHeight="1" x14ac:dyDescent="0.25">
      <c r="E21" s="223"/>
      <c r="F21" s="223"/>
    </row>
    <row r="22" spans="3:6" ht="15.75" customHeight="1" x14ac:dyDescent="0.3">
      <c r="C22" s="507">
        <v>44287</v>
      </c>
      <c r="E22" s="223"/>
      <c r="F22" s="223"/>
    </row>
    <row r="23" spans="3:6" ht="15.75" customHeight="1" x14ac:dyDescent="0.3">
      <c r="C23" s="16" t="s">
        <v>2832</v>
      </c>
      <c r="E23" s="223"/>
      <c r="F23" s="223"/>
    </row>
    <row r="24" spans="3:6" ht="15.75" customHeight="1" x14ac:dyDescent="0.25">
      <c r="E24" s="223"/>
      <c r="F24" s="223"/>
    </row>
    <row r="25" spans="3:6" ht="15.75" customHeight="1" x14ac:dyDescent="0.3">
      <c r="C25" s="507">
        <v>44317</v>
      </c>
      <c r="E25" s="223"/>
      <c r="F25" s="223"/>
    </row>
    <row r="26" spans="3:6" ht="15.75" customHeight="1" x14ac:dyDescent="0.3">
      <c r="C26" s="16" t="s">
        <v>2833</v>
      </c>
      <c r="E26" s="223"/>
      <c r="F26" s="223"/>
    </row>
    <row r="27" spans="3:6" ht="15.75" customHeight="1" x14ac:dyDescent="0.25">
      <c r="E27" s="223"/>
      <c r="F27" s="223"/>
    </row>
    <row r="28" spans="3:6" ht="15.75" customHeight="1" x14ac:dyDescent="0.25">
      <c r="C28" s="549">
        <v>44927</v>
      </c>
      <c r="E28" s="223"/>
      <c r="F28" s="223"/>
    </row>
    <row r="29" spans="3:6" ht="15.75" customHeight="1" x14ac:dyDescent="0.25">
      <c r="C29" s="479" t="s">
        <v>2834</v>
      </c>
      <c r="E29" s="223"/>
      <c r="F29" s="223"/>
    </row>
    <row r="30" spans="3:6" ht="15.75" customHeight="1" x14ac:dyDescent="0.25">
      <c r="E30" s="223"/>
      <c r="F30" s="223"/>
    </row>
    <row r="31" spans="3:6" ht="15.75" customHeight="1" x14ac:dyDescent="0.25">
      <c r="C31" s="508">
        <v>45017</v>
      </c>
      <c r="E31" s="223"/>
      <c r="F31" s="223"/>
    </row>
    <row r="32" spans="3:6" ht="15.75" customHeight="1" x14ac:dyDescent="0.25">
      <c r="C32" s="479" t="s">
        <v>2835</v>
      </c>
      <c r="E32" s="223"/>
      <c r="F32" s="223"/>
    </row>
    <row r="33" spans="3:6" ht="15.75" customHeight="1" x14ac:dyDescent="0.25">
      <c r="E33" s="223"/>
      <c r="F33" s="223"/>
    </row>
    <row r="34" spans="3:6" ht="15.75" customHeight="1" x14ac:dyDescent="0.25">
      <c r="C34" s="337">
        <v>45261</v>
      </c>
      <c r="E34" s="223"/>
      <c r="F34" s="223"/>
    </row>
    <row r="35" spans="3:6" ht="15.75" customHeight="1" x14ac:dyDescent="0.25">
      <c r="C35" t="s">
        <v>2836</v>
      </c>
      <c r="E35" s="223"/>
      <c r="F35" s="223"/>
    </row>
    <row r="36" spans="3:6" ht="15.75" customHeight="1" x14ac:dyDescent="0.25">
      <c r="E36" s="223"/>
      <c r="F36" s="223"/>
    </row>
    <row r="37" spans="3:6" ht="15.75" customHeight="1" x14ac:dyDescent="0.25">
      <c r="E37" s="223"/>
      <c r="F37" s="223"/>
    </row>
    <row r="38" spans="3:6" ht="15.75" customHeight="1" x14ac:dyDescent="0.25">
      <c r="E38" s="223"/>
      <c r="F38" s="223"/>
    </row>
    <row r="39" spans="3:6" ht="15.75" customHeight="1" x14ac:dyDescent="0.25">
      <c r="E39" s="223"/>
      <c r="F39" s="223"/>
    </row>
    <row r="40" spans="3:6" ht="15.75" customHeight="1" x14ac:dyDescent="0.25">
      <c r="E40" s="223"/>
      <c r="F40" s="223"/>
    </row>
    <row r="41" spans="3:6" ht="15.75" customHeight="1" x14ac:dyDescent="0.25">
      <c r="E41" s="223"/>
      <c r="F41" s="223"/>
    </row>
    <row r="42" spans="3:6" ht="15.75" customHeight="1" x14ac:dyDescent="0.25">
      <c r="E42" s="223"/>
      <c r="F42" s="223"/>
    </row>
    <row r="43" spans="3:6" ht="15.75" customHeight="1" x14ac:dyDescent="0.25">
      <c r="E43" s="223"/>
      <c r="F43" s="223"/>
    </row>
    <row r="44" spans="3:6" ht="15.75" customHeight="1" x14ac:dyDescent="0.25">
      <c r="E44" s="223"/>
      <c r="F44" s="223"/>
    </row>
    <row r="45" spans="3:6" ht="15.75" customHeight="1" x14ac:dyDescent="0.25">
      <c r="E45" s="223"/>
      <c r="F45" s="223"/>
    </row>
    <row r="46" spans="3:6" ht="15.75" customHeight="1" x14ac:dyDescent="0.25">
      <c r="E46" s="223"/>
      <c r="F46" s="223"/>
    </row>
    <row r="47" spans="3:6" ht="15.75" customHeight="1" x14ac:dyDescent="0.25">
      <c r="E47" s="223"/>
      <c r="F47" s="223"/>
    </row>
    <row r="48" spans="3:6" ht="15.75" customHeight="1" x14ac:dyDescent="0.25">
      <c r="E48" s="223"/>
      <c r="F48" s="223"/>
    </row>
    <row r="49" spans="5:6" ht="15.75" customHeight="1" x14ac:dyDescent="0.25">
      <c r="E49" s="223"/>
      <c r="F49" s="223"/>
    </row>
    <row r="50" spans="5:6" ht="15.75" customHeight="1" x14ac:dyDescent="0.25">
      <c r="E50" s="223"/>
      <c r="F50" s="223"/>
    </row>
    <row r="51" spans="5:6" ht="15.75" customHeight="1" x14ac:dyDescent="0.25">
      <c r="E51" s="223"/>
      <c r="F51" s="223"/>
    </row>
    <row r="52" spans="5:6" ht="15.75" customHeight="1" x14ac:dyDescent="0.25">
      <c r="E52" s="223"/>
      <c r="F52" s="223"/>
    </row>
    <row r="53" spans="5:6" ht="15.75" customHeight="1" x14ac:dyDescent="0.25">
      <c r="E53" s="223"/>
      <c r="F53" s="223"/>
    </row>
    <row r="54" spans="5:6" ht="15.75" customHeight="1" x14ac:dyDescent="0.25">
      <c r="E54" s="223"/>
      <c r="F54" s="223"/>
    </row>
    <row r="55" spans="5:6" ht="15.75" customHeight="1" x14ac:dyDescent="0.25">
      <c r="E55" s="223"/>
      <c r="F55" s="223"/>
    </row>
    <row r="56" spans="5:6" ht="15.75" customHeight="1" x14ac:dyDescent="0.25">
      <c r="E56" s="223"/>
      <c r="F56" s="223"/>
    </row>
    <row r="57" spans="5:6" ht="15.75" customHeight="1" x14ac:dyDescent="0.25">
      <c r="E57" s="223"/>
      <c r="F57" s="223"/>
    </row>
    <row r="58" spans="5:6" ht="15.75" customHeight="1" x14ac:dyDescent="0.25">
      <c r="E58" s="223"/>
      <c r="F58" s="223"/>
    </row>
    <row r="59" spans="5:6" ht="15.75" customHeight="1" x14ac:dyDescent="0.25">
      <c r="E59" s="223"/>
      <c r="F59" s="223"/>
    </row>
    <row r="60" spans="5:6" ht="15.75" customHeight="1" x14ac:dyDescent="0.25">
      <c r="E60" s="223"/>
      <c r="F60" s="223"/>
    </row>
    <row r="61" spans="5:6" ht="15.75" customHeight="1" x14ac:dyDescent="0.25">
      <c r="E61" s="223"/>
      <c r="F61" s="223"/>
    </row>
    <row r="62" spans="5:6" ht="15.75" customHeight="1" x14ac:dyDescent="0.25">
      <c r="E62" s="223"/>
      <c r="F62" s="223"/>
    </row>
    <row r="63" spans="5:6" ht="15.75" customHeight="1" x14ac:dyDescent="0.25">
      <c r="E63" s="223"/>
      <c r="F63" s="223"/>
    </row>
    <row r="64" spans="5:6" ht="15.75" customHeight="1" x14ac:dyDescent="0.25">
      <c r="E64" s="223"/>
      <c r="F64" s="223"/>
    </row>
    <row r="65" spans="5:6" ht="15.75" customHeight="1" x14ac:dyDescent="0.25">
      <c r="E65" s="223"/>
      <c r="F65" s="223"/>
    </row>
    <row r="66" spans="5:6" ht="15.75" customHeight="1" x14ac:dyDescent="0.25">
      <c r="E66" s="223"/>
      <c r="F66" s="223"/>
    </row>
    <row r="67" spans="5:6" ht="15.75" customHeight="1" x14ac:dyDescent="0.25">
      <c r="E67" s="223"/>
      <c r="F67" s="223"/>
    </row>
    <row r="68" spans="5:6" ht="15.75" customHeight="1" x14ac:dyDescent="0.25">
      <c r="E68" s="223"/>
      <c r="F68" s="223"/>
    </row>
    <row r="69" spans="5:6" ht="15.75" customHeight="1" x14ac:dyDescent="0.25">
      <c r="E69" s="223"/>
      <c r="F69" s="223"/>
    </row>
    <row r="70" spans="5:6" ht="15.75" customHeight="1" x14ac:dyDescent="0.25">
      <c r="E70" s="223"/>
      <c r="F70" s="223"/>
    </row>
    <row r="71" spans="5:6" ht="15.75" customHeight="1" x14ac:dyDescent="0.25">
      <c r="E71" s="223"/>
      <c r="F71" s="223"/>
    </row>
    <row r="72" spans="5:6" ht="15.75" customHeight="1" x14ac:dyDescent="0.25">
      <c r="E72" s="223"/>
      <c r="F72" s="223"/>
    </row>
    <row r="73" spans="5:6" ht="15.75" customHeight="1" x14ac:dyDescent="0.25">
      <c r="E73" s="223"/>
      <c r="F73" s="223"/>
    </row>
    <row r="74" spans="5:6" ht="15.75" customHeight="1" x14ac:dyDescent="0.25">
      <c r="E74" s="223"/>
      <c r="F74" s="223"/>
    </row>
    <row r="75" spans="5:6" ht="15.75" customHeight="1" x14ac:dyDescent="0.25">
      <c r="E75" s="223"/>
      <c r="F75" s="223"/>
    </row>
    <row r="76" spans="5:6" ht="15.75" customHeight="1" x14ac:dyDescent="0.25">
      <c r="E76" s="223"/>
      <c r="F76" s="223"/>
    </row>
    <row r="77" spans="5:6" ht="15.75" customHeight="1" x14ac:dyDescent="0.25">
      <c r="E77" s="223"/>
      <c r="F77" s="223"/>
    </row>
    <row r="78" spans="5:6" ht="15.75" customHeight="1" x14ac:dyDescent="0.25">
      <c r="E78" s="223"/>
      <c r="F78" s="223"/>
    </row>
    <row r="79" spans="5:6" ht="15.75" customHeight="1" x14ac:dyDescent="0.25">
      <c r="E79" s="223"/>
      <c r="F79" s="223"/>
    </row>
    <row r="80" spans="5:6" ht="15.75" customHeight="1" x14ac:dyDescent="0.25">
      <c r="E80" s="223"/>
      <c r="F80" s="223"/>
    </row>
    <row r="81" spans="5:6" ht="15.75" customHeight="1" x14ac:dyDescent="0.25">
      <c r="E81" s="223"/>
      <c r="F81" s="223"/>
    </row>
    <row r="82" spans="5:6" ht="15.75" customHeight="1" x14ac:dyDescent="0.25">
      <c r="E82" s="223"/>
      <c r="F82" s="223"/>
    </row>
    <row r="83" spans="5:6" ht="15.75" customHeight="1" x14ac:dyDescent="0.25">
      <c r="E83" s="223"/>
      <c r="F83" s="223"/>
    </row>
    <row r="84" spans="5:6" ht="15.75" customHeight="1" x14ac:dyDescent="0.25">
      <c r="E84" s="223"/>
      <c r="F84" s="223"/>
    </row>
    <row r="85" spans="5:6" ht="15.75" customHeight="1" x14ac:dyDescent="0.25">
      <c r="E85" s="223"/>
      <c r="F85" s="223"/>
    </row>
    <row r="86" spans="5:6" ht="15.75" customHeight="1" x14ac:dyDescent="0.25">
      <c r="E86" s="223"/>
      <c r="F86" s="223"/>
    </row>
    <row r="87" spans="5:6" ht="15.75" customHeight="1" x14ac:dyDescent="0.25">
      <c r="E87" s="223"/>
      <c r="F87" s="223"/>
    </row>
    <row r="88" spans="5:6" ht="15.75" customHeight="1" x14ac:dyDescent="0.25">
      <c r="E88" s="223"/>
      <c r="F88" s="223"/>
    </row>
    <row r="89" spans="5:6" ht="15.75" customHeight="1" x14ac:dyDescent="0.25">
      <c r="E89" s="223"/>
      <c r="F89" s="223"/>
    </row>
    <row r="90" spans="5:6" ht="15.75" customHeight="1" x14ac:dyDescent="0.25">
      <c r="E90" s="223"/>
      <c r="F90" s="223"/>
    </row>
    <row r="91" spans="5:6" ht="15.75" customHeight="1" x14ac:dyDescent="0.25">
      <c r="E91" s="223"/>
      <c r="F91" s="223"/>
    </row>
    <row r="92" spans="5:6" ht="15.75" customHeight="1" x14ac:dyDescent="0.25">
      <c r="E92" s="223"/>
      <c r="F92" s="223"/>
    </row>
    <row r="93" spans="5:6" ht="15.75" customHeight="1" x14ac:dyDescent="0.25">
      <c r="E93" s="223"/>
      <c r="F93" s="223"/>
    </row>
    <row r="94" spans="5:6" ht="15.75" customHeight="1" x14ac:dyDescent="0.25">
      <c r="E94" s="223"/>
      <c r="F94" s="223"/>
    </row>
    <row r="95" spans="5:6" ht="15.75" customHeight="1" x14ac:dyDescent="0.25">
      <c r="E95" s="223"/>
      <c r="F95" s="223"/>
    </row>
    <row r="96" spans="5:6" ht="15.75" customHeight="1" x14ac:dyDescent="0.25">
      <c r="E96" s="223"/>
      <c r="F96" s="223"/>
    </row>
    <row r="97" spans="5:6" ht="15.75" customHeight="1" x14ac:dyDescent="0.25">
      <c r="E97" s="223"/>
      <c r="F97" s="223"/>
    </row>
    <row r="98" spans="5:6" ht="15.75" customHeight="1" x14ac:dyDescent="0.25">
      <c r="E98" s="223"/>
      <c r="F98" s="223"/>
    </row>
    <row r="99" spans="5:6" ht="15.75" customHeight="1" x14ac:dyDescent="0.25">
      <c r="E99" s="223"/>
      <c r="F99" s="223"/>
    </row>
    <row r="100" spans="5:6" ht="15.75" customHeight="1" x14ac:dyDescent="0.25">
      <c r="E100" s="223"/>
      <c r="F100" s="223"/>
    </row>
    <row r="101" spans="5:6" ht="15.75" customHeight="1" x14ac:dyDescent="0.25">
      <c r="E101" s="223"/>
      <c r="F101" s="223"/>
    </row>
    <row r="102" spans="5:6" ht="15.75" customHeight="1" x14ac:dyDescent="0.25">
      <c r="E102" s="223"/>
      <c r="F102" s="223"/>
    </row>
    <row r="103" spans="5:6" ht="15.75" customHeight="1" x14ac:dyDescent="0.25">
      <c r="E103" s="223"/>
      <c r="F103" s="223"/>
    </row>
    <row r="104" spans="5:6" ht="15.75" customHeight="1" x14ac:dyDescent="0.25">
      <c r="E104" s="223"/>
      <c r="F104" s="223"/>
    </row>
    <row r="105" spans="5:6" ht="15.75" customHeight="1" x14ac:dyDescent="0.25">
      <c r="E105" s="223"/>
      <c r="F105" s="223"/>
    </row>
    <row r="106" spans="5:6" ht="15.75" customHeight="1" x14ac:dyDescent="0.25">
      <c r="E106" s="223"/>
      <c r="F106" s="223"/>
    </row>
    <row r="107" spans="5:6" ht="15.75" customHeight="1" x14ac:dyDescent="0.25">
      <c r="E107" s="223"/>
      <c r="F107" s="223"/>
    </row>
    <row r="108" spans="5:6" ht="15.75" customHeight="1" x14ac:dyDescent="0.25">
      <c r="E108" s="223"/>
      <c r="F108" s="223"/>
    </row>
    <row r="109" spans="5:6" ht="15.75" customHeight="1" x14ac:dyDescent="0.25">
      <c r="E109" s="223"/>
      <c r="F109" s="223"/>
    </row>
    <row r="110" spans="5:6" ht="15.75" customHeight="1" x14ac:dyDescent="0.25">
      <c r="E110" s="223"/>
      <c r="F110" s="223"/>
    </row>
    <row r="111" spans="5:6" ht="15.75" customHeight="1" x14ac:dyDescent="0.25">
      <c r="E111" s="223"/>
      <c r="F111" s="223"/>
    </row>
    <row r="112" spans="5:6" ht="15.75" customHeight="1" x14ac:dyDescent="0.25">
      <c r="E112" s="223"/>
      <c r="F112" s="223"/>
    </row>
    <row r="113" spans="5:6" ht="15.75" customHeight="1" x14ac:dyDescent="0.25">
      <c r="E113" s="223"/>
      <c r="F113" s="223"/>
    </row>
    <row r="114" spans="5:6" ht="15.75" customHeight="1" x14ac:dyDescent="0.25">
      <c r="E114" s="223"/>
      <c r="F114" s="223"/>
    </row>
    <row r="115" spans="5:6" ht="15.75" customHeight="1" x14ac:dyDescent="0.25">
      <c r="E115" s="223"/>
      <c r="F115" s="223"/>
    </row>
    <row r="116" spans="5:6" ht="15.75" customHeight="1" x14ac:dyDescent="0.25">
      <c r="E116" s="223"/>
      <c r="F116" s="223"/>
    </row>
    <row r="117" spans="5:6" ht="15.75" customHeight="1" x14ac:dyDescent="0.25">
      <c r="E117" s="223"/>
      <c r="F117" s="223"/>
    </row>
    <row r="118" spans="5:6" ht="15.75" customHeight="1" x14ac:dyDescent="0.25">
      <c r="E118" s="223"/>
      <c r="F118" s="223"/>
    </row>
    <row r="119" spans="5:6" ht="15.75" customHeight="1" x14ac:dyDescent="0.25">
      <c r="E119" s="223"/>
      <c r="F119" s="223"/>
    </row>
    <row r="120" spans="5:6" ht="15.75" customHeight="1" x14ac:dyDescent="0.25">
      <c r="E120" s="223"/>
      <c r="F120" s="223"/>
    </row>
    <row r="121" spans="5:6" ht="15.75" customHeight="1" x14ac:dyDescent="0.25">
      <c r="E121" s="223"/>
      <c r="F121" s="223"/>
    </row>
    <row r="122" spans="5:6" ht="15.75" customHeight="1" x14ac:dyDescent="0.25">
      <c r="E122" s="223"/>
      <c r="F122" s="223"/>
    </row>
    <row r="123" spans="5:6" ht="15.75" customHeight="1" x14ac:dyDescent="0.25">
      <c r="E123" s="223"/>
      <c r="F123" s="223"/>
    </row>
    <row r="124" spans="5:6" ht="15.75" customHeight="1" x14ac:dyDescent="0.25">
      <c r="E124" s="223"/>
      <c r="F124" s="223"/>
    </row>
    <row r="125" spans="5:6" ht="15.75" customHeight="1" x14ac:dyDescent="0.25">
      <c r="E125" s="223"/>
      <c r="F125" s="223"/>
    </row>
    <row r="126" spans="5:6" ht="15.75" customHeight="1" x14ac:dyDescent="0.25">
      <c r="E126" s="223"/>
      <c r="F126" s="223"/>
    </row>
    <row r="127" spans="5:6" ht="15.75" customHeight="1" x14ac:dyDescent="0.25">
      <c r="E127" s="223"/>
      <c r="F127" s="223"/>
    </row>
    <row r="128" spans="5:6" ht="15.75" customHeight="1" x14ac:dyDescent="0.25">
      <c r="E128" s="223"/>
      <c r="F128" s="223"/>
    </row>
    <row r="129" spans="5:6" ht="15.75" customHeight="1" x14ac:dyDescent="0.25">
      <c r="E129" s="223"/>
      <c r="F129" s="223"/>
    </row>
    <row r="130" spans="5:6" ht="15.75" customHeight="1" x14ac:dyDescent="0.25">
      <c r="E130" s="223"/>
      <c r="F130" s="223"/>
    </row>
    <row r="131" spans="5:6" ht="15.75" customHeight="1" x14ac:dyDescent="0.25">
      <c r="E131" s="223"/>
      <c r="F131" s="223"/>
    </row>
    <row r="132" spans="5:6" ht="15.75" customHeight="1" x14ac:dyDescent="0.25">
      <c r="E132" s="223"/>
      <c r="F132" s="223"/>
    </row>
    <row r="133" spans="5:6" ht="15.75" customHeight="1" x14ac:dyDescent="0.25">
      <c r="E133" s="223"/>
      <c r="F133" s="223"/>
    </row>
    <row r="134" spans="5:6" ht="15.75" customHeight="1" x14ac:dyDescent="0.25">
      <c r="E134" s="223"/>
      <c r="F134" s="223"/>
    </row>
    <row r="135" spans="5:6" ht="15.75" customHeight="1" x14ac:dyDescent="0.25">
      <c r="E135" s="223"/>
      <c r="F135" s="223"/>
    </row>
    <row r="136" spans="5:6" ht="15.75" customHeight="1" x14ac:dyDescent="0.25">
      <c r="E136" s="223"/>
      <c r="F136" s="223"/>
    </row>
    <row r="137" spans="5:6" ht="15.75" customHeight="1" x14ac:dyDescent="0.25">
      <c r="E137" s="223"/>
      <c r="F137" s="223"/>
    </row>
    <row r="138" spans="5:6" ht="15.75" customHeight="1" x14ac:dyDescent="0.25">
      <c r="E138" s="223"/>
      <c r="F138" s="223"/>
    </row>
    <row r="139" spans="5:6" ht="15.75" customHeight="1" x14ac:dyDescent="0.25">
      <c r="E139" s="223"/>
      <c r="F139" s="223"/>
    </row>
    <row r="140" spans="5:6" ht="15.75" customHeight="1" x14ac:dyDescent="0.25">
      <c r="E140" s="223"/>
      <c r="F140" s="223"/>
    </row>
    <row r="141" spans="5:6" ht="15.75" customHeight="1" x14ac:dyDescent="0.25">
      <c r="E141" s="223"/>
      <c r="F141" s="223"/>
    </row>
    <row r="142" spans="5:6" ht="15.75" customHeight="1" x14ac:dyDescent="0.25">
      <c r="E142" s="223"/>
      <c r="F142" s="223"/>
    </row>
    <row r="143" spans="5:6" ht="15.75" customHeight="1" x14ac:dyDescent="0.25">
      <c r="E143" s="223"/>
      <c r="F143" s="223"/>
    </row>
    <row r="144" spans="5:6" ht="15.75" customHeight="1" x14ac:dyDescent="0.25">
      <c r="E144" s="223"/>
      <c r="F144" s="223"/>
    </row>
    <row r="145" spans="5:6" ht="15.75" customHeight="1" x14ac:dyDescent="0.25">
      <c r="E145" s="223"/>
      <c r="F145" s="223"/>
    </row>
    <row r="146" spans="5:6" ht="15.75" customHeight="1" x14ac:dyDescent="0.25">
      <c r="E146" s="223"/>
      <c r="F146" s="223"/>
    </row>
    <row r="147" spans="5:6" ht="15.75" customHeight="1" x14ac:dyDescent="0.25">
      <c r="E147" s="223"/>
      <c r="F147" s="223"/>
    </row>
    <row r="148" spans="5:6" ht="15.75" customHeight="1" x14ac:dyDescent="0.25">
      <c r="E148" s="223"/>
      <c r="F148" s="223"/>
    </row>
    <row r="149" spans="5:6" ht="15.75" customHeight="1" x14ac:dyDescent="0.25">
      <c r="E149" s="223"/>
      <c r="F149" s="223"/>
    </row>
    <row r="150" spans="5:6" ht="15.75" customHeight="1" x14ac:dyDescent="0.25">
      <c r="E150" s="223"/>
      <c r="F150" s="223"/>
    </row>
    <row r="151" spans="5:6" ht="15.75" customHeight="1" x14ac:dyDescent="0.25">
      <c r="E151" s="223"/>
      <c r="F151" s="223"/>
    </row>
    <row r="152" spans="5:6" ht="15.75" customHeight="1" x14ac:dyDescent="0.25">
      <c r="E152" s="223"/>
      <c r="F152" s="223"/>
    </row>
    <row r="153" spans="5:6" ht="15.75" customHeight="1" x14ac:dyDescent="0.25">
      <c r="E153" s="223"/>
      <c r="F153" s="223"/>
    </row>
    <row r="154" spans="5:6" ht="15.75" customHeight="1" x14ac:dyDescent="0.25">
      <c r="E154" s="223"/>
      <c r="F154" s="223"/>
    </row>
    <row r="155" spans="5:6" ht="15.75" customHeight="1" x14ac:dyDescent="0.25">
      <c r="E155" s="223"/>
      <c r="F155" s="223"/>
    </row>
    <row r="156" spans="5:6" ht="15.75" customHeight="1" x14ac:dyDescent="0.25">
      <c r="E156" s="223"/>
      <c r="F156" s="223"/>
    </row>
    <row r="157" spans="5:6" ht="15.75" customHeight="1" x14ac:dyDescent="0.25">
      <c r="E157" s="223"/>
      <c r="F157" s="223"/>
    </row>
    <row r="158" spans="5:6" ht="15.75" customHeight="1" x14ac:dyDescent="0.25">
      <c r="E158" s="223"/>
      <c r="F158" s="223"/>
    </row>
    <row r="159" spans="5:6" ht="15.75" customHeight="1" x14ac:dyDescent="0.25">
      <c r="E159" s="223"/>
      <c r="F159" s="223"/>
    </row>
    <row r="160" spans="5:6" ht="15.75" customHeight="1" x14ac:dyDescent="0.25">
      <c r="E160" s="223"/>
      <c r="F160" s="223"/>
    </row>
    <row r="161" spans="5:6" ht="15.75" customHeight="1" x14ac:dyDescent="0.25">
      <c r="E161" s="223"/>
      <c r="F161" s="223"/>
    </row>
    <row r="162" spans="5:6" ht="15.75" customHeight="1" x14ac:dyDescent="0.25">
      <c r="E162" s="223"/>
      <c r="F162" s="223"/>
    </row>
    <row r="163" spans="5:6" ht="15.75" customHeight="1" x14ac:dyDescent="0.25">
      <c r="E163" s="223"/>
      <c r="F163" s="223"/>
    </row>
    <row r="164" spans="5:6" ht="15.75" customHeight="1" x14ac:dyDescent="0.25">
      <c r="E164" s="223"/>
      <c r="F164" s="223"/>
    </row>
    <row r="165" spans="5:6" ht="15.75" customHeight="1" x14ac:dyDescent="0.25">
      <c r="E165" s="223"/>
      <c r="F165" s="223"/>
    </row>
    <row r="166" spans="5:6" ht="15.75" customHeight="1" x14ac:dyDescent="0.25">
      <c r="E166" s="223"/>
      <c r="F166" s="223"/>
    </row>
    <row r="167" spans="5:6" ht="15.75" customHeight="1" x14ac:dyDescent="0.25">
      <c r="E167" s="223"/>
      <c r="F167" s="223"/>
    </row>
    <row r="168" spans="5:6" ht="15.75" customHeight="1" x14ac:dyDescent="0.25">
      <c r="E168" s="223"/>
      <c r="F168" s="223"/>
    </row>
    <row r="169" spans="5:6" ht="15.75" customHeight="1" x14ac:dyDescent="0.25">
      <c r="E169" s="223"/>
      <c r="F169" s="223"/>
    </row>
    <row r="170" spans="5:6" ht="15.75" customHeight="1" x14ac:dyDescent="0.25">
      <c r="E170" s="223"/>
      <c r="F170" s="223"/>
    </row>
    <row r="171" spans="5:6" ht="15.75" customHeight="1" x14ac:dyDescent="0.25">
      <c r="E171" s="223"/>
      <c r="F171" s="223"/>
    </row>
    <row r="172" spans="5:6" ht="15.75" customHeight="1" x14ac:dyDescent="0.25">
      <c r="E172" s="223"/>
      <c r="F172" s="223"/>
    </row>
    <row r="173" spans="5:6" ht="15.75" customHeight="1" x14ac:dyDescent="0.25">
      <c r="E173" s="223"/>
      <c r="F173" s="223"/>
    </row>
    <row r="174" spans="5:6" ht="15.75" customHeight="1" x14ac:dyDescent="0.25">
      <c r="E174" s="223"/>
      <c r="F174" s="223"/>
    </row>
    <row r="175" spans="5:6" ht="15.75" customHeight="1" x14ac:dyDescent="0.25">
      <c r="E175" s="223"/>
      <c r="F175" s="223"/>
    </row>
    <row r="176" spans="5:6" ht="15.75" customHeight="1" x14ac:dyDescent="0.25">
      <c r="E176" s="223"/>
      <c r="F176" s="223"/>
    </row>
    <row r="177" spans="5:6" ht="15.75" customHeight="1" x14ac:dyDescent="0.25">
      <c r="E177" s="223"/>
      <c r="F177" s="223"/>
    </row>
    <row r="178" spans="5:6" ht="15.75" customHeight="1" x14ac:dyDescent="0.25">
      <c r="E178" s="223"/>
      <c r="F178" s="223"/>
    </row>
    <row r="179" spans="5:6" ht="15.75" customHeight="1" x14ac:dyDescent="0.25">
      <c r="E179" s="223"/>
      <c r="F179" s="223"/>
    </row>
    <row r="180" spans="5:6" ht="15.75" customHeight="1" x14ac:dyDescent="0.25">
      <c r="E180" s="223"/>
      <c r="F180" s="223"/>
    </row>
    <row r="181" spans="5:6" ht="15.75" customHeight="1" x14ac:dyDescent="0.25">
      <c r="E181" s="223"/>
      <c r="F181" s="223"/>
    </row>
    <row r="182" spans="5:6" ht="15.75" customHeight="1" x14ac:dyDescent="0.25">
      <c r="E182" s="223"/>
      <c r="F182" s="223"/>
    </row>
    <row r="183" spans="5:6" ht="15.75" customHeight="1" x14ac:dyDescent="0.25">
      <c r="E183" s="223"/>
      <c r="F183" s="223"/>
    </row>
    <row r="184" spans="5:6" ht="15.75" customHeight="1" x14ac:dyDescent="0.25">
      <c r="E184" s="223"/>
      <c r="F184" s="223"/>
    </row>
    <row r="185" spans="5:6" ht="15.75" customHeight="1" x14ac:dyDescent="0.25">
      <c r="E185" s="223"/>
      <c r="F185" s="223"/>
    </row>
    <row r="186" spans="5:6" ht="15.75" customHeight="1" x14ac:dyDescent="0.25">
      <c r="E186" s="223"/>
      <c r="F186" s="223"/>
    </row>
    <row r="187" spans="5:6" ht="15.75" customHeight="1" x14ac:dyDescent="0.25">
      <c r="E187" s="223"/>
      <c r="F187" s="223"/>
    </row>
    <row r="188" spans="5:6" ht="15.75" customHeight="1" x14ac:dyDescent="0.25">
      <c r="E188" s="223"/>
      <c r="F188" s="223"/>
    </row>
    <row r="189" spans="5:6" ht="15.75" customHeight="1" x14ac:dyDescent="0.25">
      <c r="E189" s="223"/>
      <c r="F189" s="223"/>
    </row>
    <row r="190" spans="5:6" ht="15.75" customHeight="1" x14ac:dyDescent="0.25">
      <c r="E190" s="223"/>
      <c r="F190" s="223"/>
    </row>
    <row r="191" spans="5:6" ht="15.75" customHeight="1" x14ac:dyDescent="0.25">
      <c r="E191" s="223"/>
      <c r="F191" s="223"/>
    </row>
    <row r="192" spans="5:6" ht="15.75" customHeight="1" x14ac:dyDescent="0.25">
      <c r="E192" s="223"/>
      <c r="F192" s="223"/>
    </row>
    <row r="193" spans="5:6" ht="15.75" customHeight="1" x14ac:dyDescent="0.25">
      <c r="E193" s="223"/>
      <c r="F193" s="223"/>
    </row>
    <row r="194" spans="5:6" ht="15.75" customHeight="1" x14ac:dyDescent="0.25">
      <c r="E194" s="223"/>
      <c r="F194" s="223"/>
    </row>
    <row r="195" spans="5:6" ht="15.75" customHeight="1" x14ac:dyDescent="0.25">
      <c r="E195" s="223"/>
      <c r="F195" s="223"/>
    </row>
    <row r="196" spans="5:6" ht="15.75" customHeight="1" x14ac:dyDescent="0.25">
      <c r="E196" s="223"/>
      <c r="F196" s="223"/>
    </row>
    <row r="197" spans="5:6" ht="15.75" customHeight="1" x14ac:dyDescent="0.25">
      <c r="E197" s="223"/>
      <c r="F197" s="223"/>
    </row>
    <row r="198" spans="5:6" ht="15.75" customHeight="1" x14ac:dyDescent="0.25">
      <c r="E198" s="223"/>
      <c r="F198" s="223"/>
    </row>
    <row r="199" spans="5:6" ht="15.75" customHeight="1" x14ac:dyDescent="0.25">
      <c r="E199" s="223"/>
      <c r="F199" s="223"/>
    </row>
    <row r="200" spans="5:6" ht="15.75" customHeight="1" x14ac:dyDescent="0.25">
      <c r="E200" s="223"/>
      <c r="F200" s="223"/>
    </row>
    <row r="201" spans="5:6" ht="15.75" customHeight="1" x14ac:dyDescent="0.25">
      <c r="E201" s="223"/>
      <c r="F201" s="223"/>
    </row>
    <row r="202" spans="5:6" ht="15.75" customHeight="1" x14ac:dyDescent="0.25">
      <c r="E202" s="223"/>
      <c r="F202" s="223"/>
    </row>
    <row r="203" spans="5:6" ht="15.75" customHeight="1" x14ac:dyDescent="0.25">
      <c r="E203" s="223"/>
      <c r="F203" s="223"/>
    </row>
    <row r="204" spans="5:6" ht="15.75" customHeight="1" x14ac:dyDescent="0.25">
      <c r="E204" s="223"/>
      <c r="F204" s="223"/>
    </row>
    <row r="205" spans="5:6" ht="15.75" customHeight="1" x14ac:dyDescent="0.25">
      <c r="E205" s="223"/>
      <c r="F205" s="223"/>
    </row>
    <row r="206" spans="5:6" ht="15.75" customHeight="1" x14ac:dyDescent="0.25">
      <c r="E206" s="223"/>
      <c r="F206" s="223"/>
    </row>
    <row r="207" spans="5:6" ht="15.75" customHeight="1" x14ac:dyDescent="0.25">
      <c r="E207" s="223"/>
      <c r="F207" s="223"/>
    </row>
    <row r="208" spans="5:6" ht="15.75" customHeight="1" x14ac:dyDescent="0.25">
      <c r="E208" s="223"/>
      <c r="F208" s="223"/>
    </row>
    <row r="209" spans="5:6" ht="15.75" customHeight="1" x14ac:dyDescent="0.25">
      <c r="E209" s="223"/>
      <c r="F209" s="223"/>
    </row>
    <row r="210" spans="5:6" ht="15.75" customHeight="1" x14ac:dyDescent="0.25">
      <c r="E210" s="223"/>
      <c r="F210" s="223"/>
    </row>
    <row r="211" spans="5:6" ht="15.75" customHeight="1" x14ac:dyDescent="0.25">
      <c r="E211" s="223"/>
      <c r="F211" s="223"/>
    </row>
    <row r="212" spans="5:6" ht="15.75" customHeight="1" x14ac:dyDescent="0.25">
      <c r="E212" s="223"/>
      <c r="F212" s="223"/>
    </row>
    <row r="213" spans="5:6" ht="15.75" customHeight="1" x14ac:dyDescent="0.25">
      <c r="E213" s="223"/>
      <c r="F213" s="223"/>
    </row>
    <row r="214" spans="5:6" ht="15.75" customHeight="1" x14ac:dyDescent="0.25">
      <c r="E214" s="223"/>
      <c r="F214" s="223"/>
    </row>
    <row r="215" spans="5:6" ht="15.75" customHeight="1" x14ac:dyDescent="0.25">
      <c r="E215" s="223"/>
      <c r="F215" s="223"/>
    </row>
    <row r="216" spans="5:6" ht="15.75" customHeight="1" x14ac:dyDescent="0.25">
      <c r="E216" s="223"/>
      <c r="F216" s="223"/>
    </row>
    <row r="217" spans="5:6" ht="15.75" customHeight="1" x14ac:dyDescent="0.25">
      <c r="E217" s="223"/>
      <c r="F217" s="223"/>
    </row>
    <row r="218" spans="5:6" ht="15.75" customHeight="1" x14ac:dyDescent="0.25">
      <c r="E218" s="223"/>
      <c r="F218" s="223"/>
    </row>
    <row r="219" spans="5:6" ht="15.75" customHeight="1" x14ac:dyDescent="0.25">
      <c r="E219" s="223"/>
      <c r="F219" s="223"/>
    </row>
    <row r="220" spans="5:6" ht="15.75" customHeight="1" x14ac:dyDescent="0.25">
      <c r="E220" s="223"/>
      <c r="F220" s="223"/>
    </row>
    <row r="221" spans="5:6" ht="15.75" customHeight="1" x14ac:dyDescent="0.25">
      <c r="E221" s="223"/>
      <c r="F221" s="223"/>
    </row>
    <row r="222" spans="5:6" ht="15.75" customHeight="1" x14ac:dyDescent="0.25">
      <c r="E222" s="223"/>
      <c r="F222" s="223"/>
    </row>
    <row r="223" spans="5:6" ht="15.75" customHeight="1" x14ac:dyDescent="0.25">
      <c r="E223" s="223"/>
      <c r="F223" s="223"/>
    </row>
    <row r="224" spans="5:6" ht="15.75" customHeight="1" x14ac:dyDescent="0.25">
      <c r="E224" s="223"/>
      <c r="F224" s="223"/>
    </row>
    <row r="225" spans="5:6" ht="15.75" customHeight="1" x14ac:dyDescent="0.25">
      <c r="E225" s="223"/>
      <c r="F225" s="223"/>
    </row>
    <row r="226" spans="5:6" ht="15.75" customHeight="1" x14ac:dyDescent="0.25">
      <c r="E226" s="223"/>
      <c r="F226" s="223"/>
    </row>
    <row r="227" spans="5:6" ht="15.75" customHeight="1" x14ac:dyDescent="0.25">
      <c r="E227" s="223"/>
      <c r="F227" s="223"/>
    </row>
    <row r="228" spans="5:6" ht="15.75" customHeight="1" x14ac:dyDescent="0.25">
      <c r="E228" s="223"/>
      <c r="F228" s="223"/>
    </row>
    <row r="229" spans="5:6" ht="15.75" customHeight="1" x14ac:dyDescent="0.25">
      <c r="E229" s="223"/>
      <c r="F229" s="223"/>
    </row>
    <row r="230" spans="5:6" ht="15.75" customHeight="1" x14ac:dyDescent="0.25">
      <c r="E230" s="223"/>
      <c r="F230" s="223"/>
    </row>
    <row r="231" spans="5:6" ht="15.75" customHeight="1" x14ac:dyDescent="0.25">
      <c r="E231" s="223"/>
      <c r="F231" s="223"/>
    </row>
    <row r="232" spans="5:6" ht="15.75" customHeight="1" x14ac:dyDescent="0.25">
      <c r="E232" s="223"/>
      <c r="F232" s="223"/>
    </row>
    <row r="233" spans="5:6" ht="15.75" customHeight="1" x14ac:dyDescent="0.25">
      <c r="E233" s="223"/>
      <c r="F233" s="223"/>
    </row>
    <row r="234" spans="5:6" ht="15.75" customHeight="1" x14ac:dyDescent="0.25">
      <c r="E234" s="223"/>
      <c r="F234" s="223"/>
    </row>
    <row r="235" spans="5:6" ht="15.75" customHeight="1" x14ac:dyDescent="0.25">
      <c r="E235" s="223"/>
      <c r="F235" s="223"/>
    </row>
    <row r="236" spans="5:6" ht="15.75" customHeight="1" x14ac:dyDescent="0.25">
      <c r="E236" s="223"/>
      <c r="F236" s="223"/>
    </row>
    <row r="237" spans="5:6" ht="15.75" customHeight="1" x14ac:dyDescent="0.25">
      <c r="E237" s="223"/>
      <c r="F237" s="223"/>
    </row>
    <row r="238" spans="5:6" ht="15.75" customHeight="1" x14ac:dyDescent="0.25">
      <c r="E238" s="223"/>
      <c r="F238" s="223"/>
    </row>
    <row r="239" spans="5:6" ht="15.75" customHeight="1" x14ac:dyDescent="0.25">
      <c r="E239" s="223"/>
      <c r="F239" s="223"/>
    </row>
    <row r="240" spans="5:6" ht="15.75" customHeight="1" x14ac:dyDescent="0.25">
      <c r="E240" s="223"/>
      <c r="F240" s="223"/>
    </row>
    <row r="241" spans="5:6" ht="15.75" customHeight="1" x14ac:dyDescent="0.25">
      <c r="E241" s="223"/>
      <c r="F241" s="223"/>
    </row>
    <row r="242" spans="5:6" ht="15.75" customHeight="1" x14ac:dyDescent="0.25">
      <c r="E242" s="223"/>
      <c r="F242" s="223"/>
    </row>
    <row r="243" spans="5:6" ht="15.75" customHeight="1" x14ac:dyDescent="0.25">
      <c r="E243" s="223"/>
      <c r="F243" s="223"/>
    </row>
    <row r="244" spans="5:6" ht="15.75" customHeight="1" x14ac:dyDescent="0.25">
      <c r="E244" s="223"/>
      <c r="F244" s="223"/>
    </row>
    <row r="245" spans="5:6" ht="15.75" customHeight="1" x14ac:dyDescent="0.25">
      <c r="E245" s="223"/>
      <c r="F245" s="223"/>
    </row>
    <row r="246" spans="5:6" ht="15.75" customHeight="1" x14ac:dyDescent="0.25">
      <c r="E246" s="223"/>
      <c r="F246" s="223"/>
    </row>
    <row r="247" spans="5:6" ht="15.75" customHeight="1" x14ac:dyDescent="0.25">
      <c r="E247" s="223"/>
      <c r="F247" s="223"/>
    </row>
    <row r="248" spans="5:6" ht="15.75" customHeight="1" x14ac:dyDescent="0.25">
      <c r="E248" s="223"/>
      <c r="F248" s="223"/>
    </row>
    <row r="249" spans="5:6" ht="15.75" customHeight="1" x14ac:dyDescent="0.25">
      <c r="E249" s="223"/>
      <c r="F249" s="223"/>
    </row>
    <row r="250" spans="5:6" ht="15.75" customHeight="1" x14ac:dyDescent="0.25">
      <c r="E250" s="223"/>
      <c r="F250" s="223"/>
    </row>
    <row r="251" spans="5:6" ht="15.75" customHeight="1" x14ac:dyDescent="0.25">
      <c r="E251" s="223"/>
      <c r="F251" s="223"/>
    </row>
    <row r="252" spans="5:6" ht="15.75" customHeight="1" x14ac:dyDescent="0.25">
      <c r="E252" s="223"/>
      <c r="F252" s="223"/>
    </row>
    <row r="253" spans="5:6" ht="15.75" customHeight="1" x14ac:dyDescent="0.25">
      <c r="E253" s="223"/>
      <c r="F253" s="223"/>
    </row>
    <row r="254" spans="5:6" ht="15.75" customHeight="1" x14ac:dyDescent="0.25">
      <c r="E254" s="223"/>
      <c r="F254" s="223"/>
    </row>
    <row r="255" spans="5:6" ht="15.75" customHeight="1" x14ac:dyDescent="0.25">
      <c r="E255" s="223"/>
      <c r="F255" s="223"/>
    </row>
    <row r="256" spans="5:6" ht="15.75" customHeight="1" x14ac:dyDescent="0.25">
      <c r="E256" s="223"/>
      <c r="F256" s="223"/>
    </row>
    <row r="257" spans="5:6" ht="15.75" customHeight="1" x14ac:dyDescent="0.25">
      <c r="E257" s="223"/>
      <c r="F257" s="223"/>
    </row>
    <row r="258" spans="5:6" ht="15.75" customHeight="1" x14ac:dyDescent="0.25">
      <c r="E258" s="223"/>
      <c r="F258" s="223"/>
    </row>
    <row r="259" spans="5:6" ht="15.75" customHeight="1" x14ac:dyDescent="0.25">
      <c r="E259" s="223"/>
      <c r="F259" s="223"/>
    </row>
    <row r="260" spans="5:6" ht="15.75" customHeight="1" x14ac:dyDescent="0.25">
      <c r="E260" s="223"/>
      <c r="F260" s="223"/>
    </row>
    <row r="261" spans="5:6" ht="15.75" customHeight="1" x14ac:dyDescent="0.25">
      <c r="E261" s="223"/>
      <c r="F261" s="223"/>
    </row>
    <row r="262" spans="5:6" ht="15.75" customHeight="1" x14ac:dyDescent="0.25">
      <c r="E262" s="223"/>
      <c r="F262" s="223"/>
    </row>
    <row r="263" spans="5:6" ht="15.75" customHeight="1" x14ac:dyDescent="0.25">
      <c r="E263" s="223"/>
      <c r="F263" s="223"/>
    </row>
    <row r="264" spans="5:6" ht="15.75" customHeight="1" x14ac:dyDescent="0.25">
      <c r="E264" s="223"/>
      <c r="F264" s="223"/>
    </row>
    <row r="265" spans="5:6" ht="15.75" customHeight="1" x14ac:dyDescent="0.25">
      <c r="E265" s="223"/>
      <c r="F265" s="223"/>
    </row>
    <row r="266" spans="5:6" ht="15.75" customHeight="1" x14ac:dyDescent="0.25">
      <c r="E266" s="223"/>
      <c r="F266" s="223"/>
    </row>
    <row r="267" spans="5:6" ht="15.75" customHeight="1" x14ac:dyDescent="0.25">
      <c r="E267" s="223"/>
      <c r="F267" s="223"/>
    </row>
    <row r="268" spans="5:6" ht="15.75" customHeight="1" x14ac:dyDescent="0.25">
      <c r="E268" s="223"/>
      <c r="F268" s="223"/>
    </row>
    <row r="269" spans="5:6" ht="15.75" customHeight="1" x14ac:dyDescent="0.25">
      <c r="E269" s="223"/>
      <c r="F269" s="223"/>
    </row>
    <row r="270" spans="5:6" ht="15.75" customHeight="1" x14ac:dyDescent="0.25">
      <c r="E270" s="223"/>
      <c r="F270" s="223"/>
    </row>
    <row r="271" spans="5:6" ht="15.75" customHeight="1" x14ac:dyDescent="0.25">
      <c r="E271" s="223"/>
      <c r="F271" s="223"/>
    </row>
    <row r="272" spans="5:6" ht="15.75" customHeight="1" x14ac:dyDescent="0.25">
      <c r="E272" s="223"/>
      <c r="F272" s="223"/>
    </row>
    <row r="273" spans="5:6" ht="15.75" customHeight="1" x14ac:dyDescent="0.25">
      <c r="E273" s="223"/>
      <c r="F273" s="223"/>
    </row>
    <row r="274" spans="5:6" ht="15.75" customHeight="1" x14ac:dyDescent="0.25">
      <c r="E274" s="223"/>
      <c r="F274" s="223"/>
    </row>
    <row r="275" spans="5:6" ht="15.75" customHeight="1" x14ac:dyDescent="0.25">
      <c r="E275" s="223"/>
      <c r="F275" s="223"/>
    </row>
    <row r="276" spans="5:6" ht="15.75" customHeight="1" x14ac:dyDescent="0.25">
      <c r="E276" s="223"/>
      <c r="F276" s="223"/>
    </row>
    <row r="277" spans="5:6" ht="15.75" customHeight="1" x14ac:dyDescent="0.25">
      <c r="E277" s="223"/>
      <c r="F277" s="223"/>
    </row>
    <row r="278" spans="5:6" ht="15.75" customHeight="1" x14ac:dyDescent="0.25">
      <c r="E278" s="223"/>
      <c r="F278" s="223"/>
    </row>
    <row r="279" spans="5:6" ht="15.75" customHeight="1" x14ac:dyDescent="0.25">
      <c r="E279" s="223"/>
      <c r="F279" s="223"/>
    </row>
    <row r="280" spans="5:6" ht="15.75" customHeight="1" x14ac:dyDescent="0.25">
      <c r="E280" s="223"/>
      <c r="F280" s="223"/>
    </row>
    <row r="281" spans="5:6" ht="15.75" customHeight="1" x14ac:dyDescent="0.25">
      <c r="E281" s="223"/>
      <c r="F281" s="223"/>
    </row>
    <row r="282" spans="5:6" ht="15.75" customHeight="1" x14ac:dyDescent="0.25">
      <c r="E282" s="223"/>
      <c r="F282" s="223"/>
    </row>
    <row r="283" spans="5:6" ht="15.75" customHeight="1" x14ac:dyDescent="0.25">
      <c r="E283" s="223"/>
      <c r="F283" s="223"/>
    </row>
    <row r="284" spans="5:6" ht="15.75" customHeight="1" x14ac:dyDescent="0.25">
      <c r="E284" s="223"/>
      <c r="F284" s="223"/>
    </row>
    <row r="285" spans="5:6" ht="15.75" customHeight="1" x14ac:dyDescent="0.25">
      <c r="E285" s="223"/>
      <c r="F285" s="223"/>
    </row>
    <row r="286" spans="5:6" ht="15.75" customHeight="1" x14ac:dyDescent="0.25">
      <c r="E286" s="223"/>
      <c r="F286" s="223"/>
    </row>
    <row r="287" spans="5:6" ht="15.75" customHeight="1" x14ac:dyDescent="0.25">
      <c r="E287" s="223"/>
      <c r="F287" s="223"/>
    </row>
    <row r="288" spans="5:6" ht="15.75" customHeight="1" x14ac:dyDescent="0.25">
      <c r="E288" s="223"/>
      <c r="F288" s="223"/>
    </row>
    <row r="289" spans="5:6" ht="15.75" customHeight="1" x14ac:dyDescent="0.25">
      <c r="E289" s="223"/>
      <c r="F289" s="223"/>
    </row>
    <row r="290" spans="5:6" ht="15.75" customHeight="1" x14ac:dyDescent="0.25">
      <c r="E290" s="223"/>
      <c r="F290" s="223"/>
    </row>
    <row r="291" spans="5:6" ht="15.75" customHeight="1" x14ac:dyDescent="0.25">
      <c r="E291" s="223"/>
      <c r="F291" s="223"/>
    </row>
    <row r="292" spans="5:6" ht="15.75" customHeight="1" x14ac:dyDescent="0.25">
      <c r="E292" s="223"/>
      <c r="F292" s="223"/>
    </row>
    <row r="293" spans="5:6" ht="15.75" customHeight="1" x14ac:dyDescent="0.25">
      <c r="E293" s="223"/>
      <c r="F293" s="223"/>
    </row>
    <row r="294" spans="5:6" ht="15.75" customHeight="1" x14ac:dyDescent="0.25">
      <c r="E294" s="223"/>
      <c r="F294" s="223"/>
    </row>
    <row r="295" spans="5:6" ht="15.75" customHeight="1" x14ac:dyDescent="0.25">
      <c r="E295" s="223"/>
      <c r="F295" s="223"/>
    </row>
    <row r="296" spans="5:6" ht="15.75" customHeight="1" x14ac:dyDescent="0.25">
      <c r="E296" s="223"/>
      <c r="F296" s="223"/>
    </row>
    <row r="297" spans="5:6" ht="15.75" customHeight="1" x14ac:dyDescent="0.25">
      <c r="E297" s="223"/>
      <c r="F297" s="223"/>
    </row>
    <row r="298" spans="5:6" ht="15.75" customHeight="1" x14ac:dyDescent="0.25">
      <c r="E298" s="223"/>
      <c r="F298" s="223"/>
    </row>
    <row r="299" spans="5:6" ht="15.75" customHeight="1" x14ac:dyDescent="0.25">
      <c r="E299" s="223"/>
      <c r="F299" s="223"/>
    </row>
    <row r="300" spans="5:6" ht="15.75" customHeight="1" x14ac:dyDescent="0.25">
      <c r="E300" s="223"/>
      <c r="F300" s="223"/>
    </row>
    <row r="301" spans="5:6" ht="15.75" customHeight="1" x14ac:dyDescent="0.25">
      <c r="E301" s="223"/>
      <c r="F301" s="223"/>
    </row>
    <row r="302" spans="5:6" ht="15.75" customHeight="1" x14ac:dyDescent="0.25">
      <c r="E302" s="223"/>
      <c r="F302" s="223"/>
    </row>
    <row r="303" spans="5:6" ht="15.75" customHeight="1" x14ac:dyDescent="0.25">
      <c r="E303" s="223"/>
      <c r="F303" s="223"/>
    </row>
    <row r="304" spans="5:6" ht="15.75" customHeight="1" x14ac:dyDescent="0.25">
      <c r="E304" s="223"/>
      <c r="F304" s="223"/>
    </row>
    <row r="305" spans="5:6" ht="15.75" customHeight="1" x14ac:dyDescent="0.25">
      <c r="E305" s="223"/>
      <c r="F305" s="223"/>
    </row>
    <row r="306" spans="5:6" ht="15.75" customHeight="1" x14ac:dyDescent="0.25">
      <c r="E306" s="223"/>
      <c r="F306" s="223"/>
    </row>
    <row r="307" spans="5:6" ht="15.75" customHeight="1" x14ac:dyDescent="0.25">
      <c r="E307" s="223"/>
      <c r="F307" s="223"/>
    </row>
    <row r="308" spans="5:6" ht="15.75" customHeight="1" x14ac:dyDescent="0.25">
      <c r="E308" s="223"/>
      <c r="F308" s="223"/>
    </row>
    <row r="309" spans="5:6" ht="15.75" customHeight="1" x14ac:dyDescent="0.25">
      <c r="E309" s="223"/>
      <c r="F309" s="223"/>
    </row>
    <row r="310" spans="5:6" ht="15.75" customHeight="1" x14ac:dyDescent="0.25">
      <c r="E310" s="223"/>
      <c r="F310" s="223"/>
    </row>
    <row r="311" spans="5:6" ht="15.75" customHeight="1" x14ac:dyDescent="0.25">
      <c r="E311" s="223"/>
      <c r="F311" s="223"/>
    </row>
    <row r="312" spans="5:6" ht="15.75" customHeight="1" x14ac:dyDescent="0.25">
      <c r="E312" s="223"/>
      <c r="F312" s="223"/>
    </row>
    <row r="313" spans="5:6" ht="15.75" customHeight="1" x14ac:dyDescent="0.25">
      <c r="E313" s="223"/>
      <c r="F313" s="223"/>
    </row>
    <row r="314" spans="5:6" ht="15.75" customHeight="1" x14ac:dyDescent="0.25">
      <c r="E314" s="223"/>
      <c r="F314" s="223"/>
    </row>
    <row r="315" spans="5:6" ht="15.75" customHeight="1" x14ac:dyDescent="0.25">
      <c r="E315" s="223"/>
      <c r="F315" s="223"/>
    </row>
    <row r="316" spans="5:6" ht="15.75" customHeight="1" x14ac:dyDescent="0.25">
      <c r="E316" s="223"/>
      <c r="F316" s="223"/>
    </row>
    <row r="317" spans="5:6" ht="15.75" customHeight="1" x14ac:dyDescent="0.25">
      <c r="E317" s="223"/>
      <c r="F317" s="223"/>
    </row>
    <row r="318" spans="5:6" ht="15.75" customHeight="1" x14ac:dyDescent="0.25">
      <c r="E318" s="223"/>
      <c r="F318" s="223"/>
    </row>
    <row r="319" spans="5:6" ht="15.75" customHeight="1" x14ac:dyDescent="0.25">
      <c r="E319" s="223"/>
      <c r="F319" s="223"/>
    </row>
    <row r="320" spans="5:6" ht="15.75" customHeight="1" x14ac:dyDescent="0.25">
      <c r="E320" s="223"/>
      <c r="F320" s="223"/>
    </row>
    <row r="321" spans="5:6" ht="15.75" customHeight="1" x14ac:dyDescent="0.25">
      <c r="E321" s="223"/>
      <c r="F321" s="223"/>
    </row>
    <row r="322" spans="5:6" ht="15.75" customHeight="1" x14ac:dyDescent="0.25">
      <c r="E322" s="223"/>
      <c r="F322" s="223"/>
    </row>
    <row r="323" spans="5:6" ht="15.75" customHeight="1" x14ac:dyDescent="0.25">
      <c r="E323" s="223"/>
      <c r="F323" s="223"/>
    </row>
    <row r="324" spans="5:6" ht="15.75" customHeight="1" x14ac:dyDescent="0.25">
      <c r="E324" s="223"/>
      <c r="F324" s="223"/>
    </row>
    <row r="325" spans="5:6" ht="15.75" customHeight="1" x14ac:dyDescent="0.25">
      <c r="E325" s="223"/>
      <c r="F325" s="223"/>
    </row>
    <row r="326" spans="5:6" ht="15.75" customHeight="1" x14ac:dyDescent="0.25">
      <c r="E326" s="223"/>
      <c r="F326" s="223"/>
    </row>
    <row r="327" spans="5:6" ht="15.75" customHeight="1" x14ac:dyDescent="0.25">
      <c r="E327" s="223"/>
      <c r="F327" s="223"/>
    </row>
    <row r="328" spans="5:6" ht="15.75" customHeight="1" x14ac:dyDescent="0.25">
      <c r="E328" s="223"/>
      <c r="F328" s="223"/>
    </row>
    <row r="329" spans="5:6" ht="15.75" customHeight="1" x14ac:dyDescent="0.25">
      <c r="E329" s="223"/>
      <c r="F329" s="223"/>
    </row>
    <row r="330" spans="5:6" ht="15.75" customHeight="1" x14ac:dyDescent="0.25">
      <c r="E330" s="223"/>
      <c r="F330" s="223"/>
    </row>
    <row r="331" spans="5:6" ht="15.75" customHeight="1" x14ac:dyDescent="0.25">
      <c r="E331" s="223"/>
      <c r="F331" s="223"/>
    </row>
    <row r="332" spans="5:6" ht="15.75" customHeight="1" x14ac:dyDescent="0.25">
      <c r="E332" s="223"/>
      <c r="F332" s="223"/>
    </row>
    <row r="333" spans="5:6" ht="15.75" customHeight="1" x14ac:dyDescent="0.25">
      <c r="E333" s="223"/>
      <c r="F333" s="223"/>
    </row>
    <row r="334" spans="5:6" ht="15.75" customHeight="1" x14ac:dyDescent="0.25">
      <c r="E334" s="223"/>
      <c r="F334" s="223"/>
    </row>
    <row r="335" spans="5:6" ht="15.75" customHeight="1" x14ac:dyDescent="0.25">
      <c r="E335" s="223"/>
      <c r="F335" s="223"/>
    </row>
    <row r="336" spans="5:6" ht="15.75" customHeight="1" x14ac:dyDescent="0.25">
      <c r="E336" s="223"/>
      <c r="F336" s="223"/>
    </row>
    <row r="337" spans="5:6" ht="15.75" customHeight="1" x14ac:dyDescent="0.25">
      <c r="E337" s="223"/>
      <c r="F337" s="223"/>
    </row>
    <row r="338" spans="5:6" ht="15.75" customHeight="1" x14ac:dyDescent="0.25">
      <c r="E338" s="223"/>
      <c r="F338" s="223"/>
    </row>
    <row r="339" spans="5:6" ht="15.75" customHeight="1" x14ac:dyDescent="0.25">
      <c r="E339" s="223"/>
      <c r="F339" s="223"/>
    </row>
    <row r="340" spans="5:6" ht="15.75" customHeight="1" x14ac:dyDescent="0.25">
      <c r="E340" s="223"/>
      <c r="F340" s="223"/>
    </row>
    <row r="341" spans="5:6" ht="15.75" customHeight="1" x14ac:dyDescent="0.25">
      <c r="E341" s="223"/>
      <c r="F341" s="223"/>
    </row>
    <row r="342" spans="5:6" ht="15.75" customHeight="1" x14ac:dyDescent="0.25">
      <c r="E342" s="223"/>
      <c r="F342" s="223"/>
    </row>
    <row r="343" spans="5:6" ht="15.75" customHeight="1" x14ac:dyDescent="0.25">
      <c r="E343" s="223"/>
      <c r="F343" s="223"/>
    </row>
    <row r="344" spans="5:6" ht="15.75" customHeight="1" x14ac:dyDescent="0.25">
      <c r="E344" s="223"/>
      <c r="F344" s="223"/>
    </row>
    <row r="345" spans="5:6" ht="15.75" customHeight="1" x14ac:dyDescent="0.25">
      <c r="E345" s="223"/>
      <c r="F345" s="223"/>
    </row>
    <row r="346" spans="5:6" ht="15.75" customHeight="1" x14ac:dyDescent="0.25">
      <c r="E346" s="223"/>
      <c r="F346" s="223"/>
    </row>
    <row r="347" spans="5:6" ht="15.75" customHeight="1" x14ac:dyDescent="0.25">
      <c r="E347" s="223"/>
      <c r="F347" s="223"/>
    </row>
    <row r="348" spans="5:6" ht="15.75" customHeight="1" x14ac:dyDescent="0.25">
      <c r="E348" s="223"/>
      <c r="F348" s="223"/>
    </row>
    <row r="349" spans="5:6" ht="15.75" customHeight="1" x14ac:dyDescent="0.25">
      <c r="E349" s="223"/>
      <c r="F349" s="223"/>
    </row>
    <row r="350" spans="5:6" ht="15.75" customHeight="1" x14ac:dyDescent="0.25">
      <c r="E350" s="223"/>
      <c r="F350" s="223"/>
    </row>
    <row r="351" spans="5:6" ht="15.75" customHeight="1" x14ac:dyDescent="0.25">
      <c r="E351" s="223"/>
      <c r="F351" s="223"/>
    </row>
    <row r="352" spans="5:6" ht="15.75" customHeight="1" x14ac:dyDescent="0.25">
      <c r="E352" s="223"/>
      <c r="F352" s="223"/>
    </row>
    <row r="353" spans="5:6" ht="15.75" customHeight="1" x14ac:dyDescent="0.25">
      <c r="E353" s="223"/>
      <c r="F353" s="223"/>
    </row>
    <row r="354" spans="5:6" ht="15.75" customHeight="1" x14ac:dyDescent="0.25">
      <c r="E354" s="223"/>
      <c r="F354" s="223"/>
    </row>
    <row r="355" spans="5:6" ht="15.75" customHeight="1" x14ac:dyDescent="0.25">
      <c r="E355" s="223"/>
      <c r="F355" s="223"/>
    </row>
    <row r="356" spans="5:6" ht="15.75" customHeight="1" x14ac:dyDescent="0.25">
      <c r="E356" s="223"/>
      <c r="F356" s="223"/>
    </row>
    <row r="357" spans="5:6" ht="15.75" customHeight="1" x14ac:dyDescent="0.25">
      <c r="E357" s="223"/>
      <c r="F357" s="223"/>
    </row>
    <row r="358" spans="5:6" ht="15.75" customHeight="1" x14ac:dyDescent="0.25">
      <c r="E358" s="223"/>
      <c r="F358" s="223"/>
    </row>
    <row r="359" spans="5:6" ht="15.75" customHeight="1" x14ac:dyDescent="0.25">
      <c r="E359" s="223"/>
      <c r="F359" s="223"/>
    </row>
    <row r="360" spans="5:6" ht="15.75" customHeight="1" x14ac:dyDescent="0.25">
      <c r="E360" s="223"/>
      <c r="F360" s="223"/>
    </row>
    <row r="361" spans="5:6" ht="15.75" customHeight="1" x14ac:dyDescent="0.25">
      <c r="E361" s="223"/>
      <c r="F361" s="223"/>
    </row>
    <row r="362" spans="5:6" ht="15.75" customHeight="1" x14ac:dyDescent="0.25">
      <c r="E362" s="223"/>
      <c r="F362" s="223"/>
    </row>
    <row r="363" spans="5:6" ht="15.75" customHeight="1" x14ac:dyDescent="0.25">
      <c r="E363" s="223"/>
      <c r="F363" s="223"/>
    </row>
    <row r="364" spans="5:6" ht="15.75" customHeight="1" x14ac:dyDescent="0.25">
      <c r="E364" s="223"/>
      <c r="F364" s="223"/>
    </row>
    <row r="365" spans="5:6" ht="15.75" customHeight="1" x14ac:dyDescent="0.25">
      <c r="E365" s="223"/>
      <c r="F365" s="223"/>
    </row>
    <row r="366" spans="5:6" ht="15.75" customHeight="1" x14ac:dyDescent="0.25">
      <c r="E366" s="223"/>
      <c r="F366" s="223"/>
    </row>
    <row r="367" spans="5:6" ht="15.75" customHeight="1" x14ac:dyDescent="0.25">
      <c r="E367" s="223"/>
      <c r="F367" s="223"/>
    </row>
    <row r="368" spans="5:6" ht="15.75" customHeight="1" x14ac:dyDescent="0.25">
      <c r="E368" s="223"/>
      <c r="F368" s="223"/>
    </row>
    <row r="369" spans="5:6" ht="15.75" customHeight="1" x14ac:dyDescent="0.25">
      <c r="E369" s="223"/>
      <c r="F369" s="223"/>
    </row>
    <row r="370" spans="5:6" ht="15.75" customHeight="1" x14ac:dyDescent="0.25">
      <c r="E370" s="223"/>
      <c r="F370" s="223"/>
    </row>
    <row r="371" spans="5:6" ht="15.75" customHeight="1" x14ac:dyDescent="0.25">
      <c r="E371" s="223"/>
      <c r="F371" s="223"/>
    </row>
    <row r="372" spans="5:6" ht="15.75" customHeight="1" x14ac:dyDescent="0.25">
      <c r="E372" s="223"/>
      <c r="F372" s="223"/>
    </row>
    <row r="373" spans="5:6" ht="15.75" customHeight="1" x14ac:dyDescent="0.25">
      <c r="E373" s="223"/>
      <c r="F373" s="223"/>
    </row>
    <row r="374" spans="5:6" ht="15.75" customHeight="1" x14ac:dyDescent="0.25">
      <c r="E374" s="223"/>
      <c r="F374" s="223"/>
    </row>
    <row r="375" spans="5:6" ht="15.75" customHeight="1" x14ac:dyDescent="0.25">
      <c r="E375" s="223"/>
      <c r="F375" s="223"/>
    </row>
    <row r="376" spans="5:6" ht="15.75" customHeight="1" x14ac:dyDescent="0.25">
      <c r="E376" s="223"/>
      <c r="F376" s="223"/>
    </row>
    <row r="377" spans="5:6" ht="15.75" customHeight="1" x14ac:dyDescent="0.25">
      <c r="E377" s="223"/>
      <c r="F377" s="223"/>
    </row>
    <row r="378" spans="5:6" ht="15.75" customHeight="1" x14ac:dyDescent="0.25">
      <c r="E378" s="223"/>
      <c r="F378" s="223"/>
    </row>
    <row r="379" spans="5:6" ht="15.75" customHeight="1" x14ac:dyDescent="0.25">
      <c r="E379" s="223"/>
      <c r="F379" s="223"/>
    </row>
    <row r="380" spans="5:6" ht="15.75" customHeight="1" x14ac:dyDescent="0.25">
      <c r="E380" s="223"/>
      <c r="F380" s="223"/>
    </row>
    <row r="381" spans="5:6" ht="15.75" customHeight="1" x14ac:dyDescent="0.25">
      <c r="E381" s="223"/>
      <c r="F381" s="223"/>
    </row>
    <row r="382" spans="5:6" ht="15.75" customHeight="1" x14ac:dyDescent="0.25">
      <c r="E382" s="223"/>
      <c r="F382" s="223"/>
    </row>
    <row r="383" spans="5:6" ht="15.75" customHeight="1" x14ac:dyDescent="0.25">
      <c r="E383" s="223"/>
      <c r="F383" s="223"/>
    </row>
    <row r="384" spans="5:6" ht="15.75" customHeight="1" x14ac:dyDescent="0.25">
      <c r="E384" s="223"/>
      <c r="F384" s="223"/>
    </row>
    <row r="385" spans="5:6" ht="15.75" customHeight="1" x14ac:dyDescent="0.25">
      <c r="E385" s="223"/>
      <c r="F385" s="223"/>
    </row>
    <row r="386" spans="5:6" ht="15.75" customHeight="1" x14ac:dyDescent="0.25">
      <c r="E386" s="223"/>
      <c r="F386" s="223"/>
    </row>
    <row r="387" spans="5:6" ht="15.75" customHeight="1" x14ac:dyDescent="0.25">
      <c r="E387" s="223"/>
      <c r="F387" s="223"/>
    </row>
    <row r="388" spans="5:6" ht="15.75" customHeight="1" x14ac:dyDescent="0.25">
      <c r="E388" s="223"/>
      <c r="F388" s="223"/>
    </row>
    <row r="389" spans="5:6" ht="15.75" customHeight="1" x14ac:dyDescent="0.25">
      <c r="E389" s="223"/>
      <c r="F389" s="223"/>
    </row>
    <row r="390" spans="5:6" ht="15.75" customHeight="1" x14ac:dyDescent="0.25">
      <c r="E390" s="223"/>
      <c r="F390" s="223"/>
    </row>
    <row r="391" spans="5:6" ht="15.75" customHeight="1" x14ac:dyDescent="0.25">
      <c r="E391" s="223"/>
      <c r="F391" s="223"/>
    </row>
    <row r="392" spans="5:6" ht="15.75" customHeight="1" x14ac:dyDescent="0.25">
      <c r="E392" s="223"/>
      <c r="F392" s="223"/>
    </row>
    <row r="393" spans="5:6" ht="15.75" customHeight="1" x14ac:dyDescent="0.25">
      <c r="E393" s="223"/>
      <c r="F393" s="223"/>
    </row>
    <row r="394" spans="5:6" ht="15.75" customHeight="1" x14ac:dyDescent="0.25">
      <c r="E394" s="223"/>
      <c r="F394" s="223"/>
    </row>
    <row r="395" spans="5:6" ht="15.75" customHeight="1" x14ac:dyDescent="0.25">
      <c r="E395" s="223"/>
      <c r="F395" s="223"/>
    </row>
    <row r="396" spans="5:6" ht="15.75" customHeight="1" x14ac:dyDescent="0.25">
      <c r="E396" s="223"/>
      <c r="F396" s="223"/>
    </row>
    <row r="397" spans="5:6" ht="15.75" customHeight="1" x14ac:dyDescent="0.25">
      <c r="E397" s="223"/>
      <c r="F397" s="223"/>
    </row>
    <row r="398" spans="5:6" ht="15.75" customHeight="1" x14ac:dyDescent="0.25">
      <c r="E398" s="223"/>
      <c r="F398" s="223"/>
    </row>
    <row r="399" spans="5:6" ht="15.75" customHeight="1" x14ac:dyDescent="0.25">
      <c r="E399" s="223"/>
      <c r="F399" s="223"/>
    </row>
    <row r="400" spans="5:6" ht="15.75" customHeight="1" x14ac:dyDescent="0.25">
      <c r="E400" s="223"/>
      <c r="F400" s="223"/>
    </row>
    <row r="401" spans="5:6" ht="15.75" customHeight="1" x14ac:dyDescent="0.25">
      <c r="E401" s="223"/>
      <c r="F401" s="223"/>
    </row>
    <row r="402" spans="5:6" ht="15.75" customHeight="1" x14ac:dyDescent="0.25">
      <c r="E402" s="223"/>
      <c r="F402" s="223"/>
    </row>
    <row r="403" spans="5:6" ht="15.75" customHeight="1" x14ac:dyDescent="0.25">
      <c r="E403" s="223"/>
      <c r="F403" s="223"/>
    </row>
    <row r="404" spans="5:6" ht="15.75" customHeight="1" x14ac:dyDescent="0.25">
      <c r="E404" s="223"/>
      <c r="F404" s="223"/>
    </row>
    <row r="405" spans="5:6" ht="15.75" customHeight="1" x14ac:dyDescent="0.25">
      <c r="E405" s="223"/>
      <c r="F405" s="223"/>
    </row>
    <row r="406" spans="5:6" ht="15.75" customHeight="1" x14ac:dyDescent="0.25">
      <c r="E406" s="223"/>
      <c r="F406" s="223"/>
    </row>
    <row r="407" spans="5:6" ht="15.75" customHeight="1" x14ac:dyDescent="0.25">
      <c r="E407" s="223"/>
      <c r="F407" s="223"/>
    </row>
    <row r="408" spans="5:6" ht="15.75" customHeight="1" x14ac:dyDescent="0.25">
      <c r="E408" s="223"/>
      <c r="F408" s="223"/>
    </row>
    <row r="409" spans="5:6" ht="15.75" customHeight="1" x14ac:dyDescent="0.25">
      <c r="E409" s="223"/>
      <c r="F409" s="223"/>
    </row>
    <row r="410" spans="5:6" ht="15.75" customHeight="1" x14ac:dyDescent="0.25">
      <c r="E410" s="223"/>
      <c r="F410" s="223"/>
    </row>
    <row r="411" spans="5:6" ht="15.75" customHeight="1" x14ac:dyDescent="0.25">
      <c r="E411" s="223"/>
      <c r="F411" s="223"/>
    </row>
    <row r="412" spans="5:6" ht="15.75" customHeight="1" x14ac:dyDescent="0.25">
      <c r="E412" s="223"/>
      <c r="F412" s="223"/>
    </row>
    <row r="413" spans="5:6" ht="15.75" customHeight="1" x14ac:dyDescent="0.25">
      <c r="E413" s="223"/>
      <c r="F413" s="223"/>
    </row>
    <row r="414" spans="5:6" ht="15.75" customHeight="1" x14ac:dyDescent="0.25">
      <c r="E414" s="223"/>
      <c r="F414" s="223"/>
    </row>
    <row r="415" spans="5:6" ht="15.75" customHeight="1" x14ac:dyDescent="0.25">
      <c r="E415" s="223"/>
      <c r="F415" s="223"/>
    </row>
    <row r="416" spans="5:6" ht="15.75" customHeight="1" x14ac:dyDescent="0.25">
      <c r="E416" s="223"/>
      <c r="F416" s="223"/>
    </row>
    <row r="417" spans="5:6" ht="15.75" customHeight="1" x14ac:dyDescent="0.25">
      <c r="E417" s="223"/>
      <c r="F417" s="223"/>
    </row>
    <row r="418" spans="5:6" ht="15.75" customHeight="1" x14ac:dyDescent="0.25">
      <c r="E418" s="223"/>
      <c r="F418" s="223"/>
    </row>
    <row r="419" spans="5:6" ht="15.75" customHeight="1" x14ac:dyDescent="0.25">
      <c r="E419" s="223"/>
      <c r="F419" s="223"/>
    </row>
    <row r="420" spans="5:6" ht="15.75" customHeight="1" x14ac:dyDescent="0.25">
      <c r="E420" s="223"/>
      <c r="F420" s="223"/>
    </row>
    <row r="421" spans="5:6" ht="15.75" customHeight="1" x14ac:dyDescent="0.25">
      <c r="E421" s="223"/>
      <c r="F421" s="223"/>
    </row>
    <row r="422" spans="5:6" ht="15.75" customHeight="1" x14ac:dyDescent="0.25">
      <c r="E422" s="223"/>
      <c r="F422" s="223"/>
    </row>
    <row r="423" spans="5:6" ht="15.75" customHeight="1" x14ac:dyDescent="0.25">
      <c r="E423" s="223"/>
      <c r="F423" s="223"/>
    </row>
    <row r="424" spans="5:6" ht="15.75" customHeight="1" x14ac:dyDescent="0.25">
      <c r="E424" s="223"/>
      <c r="F424" s="223"/>
    </row>
    <row r="425" spans="5:6" ht="15.75" customHeight="1" x14ac:dyDescent="0.25">
      <c r="E425" s="223"/>
      <c r="F425" s="223"/>
    </row>
    <row r="426" spans="5:6" ht="15.75" customHeight="1" x14ac:dyDescent="0.25">
      <c r="E426" s="223"/>
      <c r="F426" s="223"/>
    </row>
    <row r="427" spans="5:6" ht="15.75" customHeight="1" x14ac:dyDescent="0.25">
      <c r="E427" s="223"/>
      <c r="F427" s="223"/>
    </row>
    <row r="428" spans="5:6" ht="15.75" customHeight="1" x14ac:dyDescent="0.25">
      <c r="E428" s="223"/>
      <c r="F428" s="223"/>
    </row>
    <row r="429" spans="5:6" ht="15.75" customHeight="1" x14ac:dyDescent="0.25">
      <c r="E429" s="223"/>
      <c r="F429" s="223"/>
    </row>
    <row r="430" spans="5:6" ht="15.75" customHeight="1" x14ac:dyDescent="0.25">
      <c r="E430" s="223"/>
      <c r="F430" s="223"/>
    </row>
    <row r="431" spans="5:6" ht="15.75" customHeight="1" x14ac:dyDescent="0.25">
      <c r="E431" s="223"/>
      <c r="F431" s="223"/>
    </row>
    <row r="432" spans="5:6" ht="15.75" customHeight="1" x14ac:dyDescent="0.25">
      <c r="E432" s="223"/>
      <c r="F432" s="223"/>
    </row>
    <row r="433" spans="5:6" ht="15.75" customHeight="1" x14ac:dyDescent="0.25">
      <c r="E433" s="223"/>
      <c r="F433" s="223"/>
    </row>
    <row r="434" spans="5:6" ht="15.75" customHeight="1" x14ac:dyDescent="0.25">
      <c r="E434" s="223"/>
      <c r="F434" s="223"/>
    </row>
    <row r="435" spans="5:6" ht="15.75" customHeight="1" x14ac:dyDescent="0.25">
      <c r="E435" s="223"/>
      <c r="F435" s="223"/>
    </row>
    <row r="436" spans="5:6" ht="15.75" customHeight="1" x14ac:dyDescent="0.25">
      <c r="E436" s="223"/>
      <c r="F436" s="223"/>
    </row>
    <row r="437" spans="5:6" ht="15.75" customHeight="1" x14ac:dyDescent="0.25">
      <c r="E437" s="223"/>
      <c r="F437" s="223"/>
    </row>
    <row r="438" spans="5:6" ht="15.75" customHeight="1" x14ac:dyDescent="0.25">
      <c r="E438" s="223"/>
      <c r="F438" s="223"/>
    </row>
    <row r="439" spans="5:6" ht="15.75" customHeight="1" x14ac:dyDescent="0.25">
      <c r="E439" s="223"/>
      <c r="F439" s="223"/>
    </row>
    <row r="440" spans="5:6" ht="15.75" customHeight="1" x14ac:dyDescent="0.25">
      <c r="E440" s="223"/>
      <c r="F440" s="223"/>
    </row>
    <row r="441" spans="5:6" ht="15.75" customHeight="1" x14ac:dyDescent="0.25">
      <c r="E441" s="223"/>
      <c r="F441" s="223"/>
    </row>
    <row r="442" spans="5:6" ht="15.75" customHeight="1" x14ac:dyDescent="0.25">
      <c r="E442" s="223"/>
      <c r="F442" s="223"/>
    </row>
    <row r="443" spans="5:6" ht="15.75" customHeight="1" x14ac:dyDescent="0.25">
      <c r="E443" s="223"/>
      <c r="F443" s="223"/>
    </row>
    <row r="444" spans="5:6" ht="15.75" customHeight="1" x14ac:dyDescent="0.25">
      <c r="E444" s="223"/>
      <c r="F444" s="223"/>
    </row>
    <row r="445" spans="5:6" ht="15.75" customHeight="1" x14ac:dyDescent="0.25">
      <c r="E445" s="223"/>
      <c r="F445" s="223"/>
    </row>
    <row r="446" spans="5:6" ht="15.75" customHeight="1" x14ac:dyDescent="0.25">
      <c r="E446" s="223"/>
      <c r="F446" s="223"/>
    </row>
    <row r="447" spans="5:6" ht="15.75" customHeight="1" x14ac:dyDescent="0.25">
      <c r="E447" s="223"/>
      <c r="F447" s="223"/>
    </row>
    <row r="448" spans="5:6" ht="15.75" customHeight="1" x14ac:dyDescent="0.25">
      <c r="E448" s="223"/>
      <c r="F448" s="223"/>
    </row>
    <row r="449" spans="5:6" ht="15.75" customHeight="1" x14ac:dyDescent="0.25">
      <c r="E449" s="223"/>
      <c r="F449" s="223"/>
    </row>
    <row r="450" spans="5:6" ht="15.75" customHeight="1" x14ac:dyDescent="0.25">
      <c r="E450" s="223"/>
      <c r="F450" s="223"/>
    </row>
    <row r="451" spans="5:6" ht="15.75" customHeight="1" x14ac:dyDescent="0.25">
      <c r="E451" s="223"/>
      <c r="F451" s="223"/>
    </row>
    <row r="452" spans="5:6" ht="15.75" customHeight="1" x14ac:dyDescent="0.25">
      <c r="E452" s="223"/>
      <c r="F452" s="223"/>
    </row>
    <row r="453" spans="5:6" ht="15.75" customHeight="1" x14ac:dyDescent="0.25">
      <c r="E453" s="223"/>
      <c r="F453" s="223"/>
    </row>
    <row r="454" spans="5:6" ht="15.75" customHeight="1" x14ac:dyDescent="0.25">
      <c r="E454" s="223"/>
      <c r="F454" s="223"/>
    </row>
    <row r="455" spans="5:6" ht="15.75" customHeight="1" x14ac:dyDescent="0.25">
      <c r="E455" s="223"/>
      <c r="F455" s="223"/>
    </row>
    <row r="456" spans="5:6" ht="15.75" customHeight="1" x14ac:dyDescent="0.25">
      <c r="E456" s="223"/>
      <c r="F456" s="223"/>
    </row>
    <row r="457" spans="5:6" ht="15.75" customHeight="1" x14ac:dyDescent="0.25">
      <c r="E457" s="223"/>
      <c r="F457" s="223"/>
    </row>
    <row r="458" spans="5:6" ht="15.75" customHeight="1" x14ac:dyDescent="0.25">
      <c r="E458" s="223"/>
      <c r="F458" s="223"/>
    </row>
    <row r="459" spans="5:6" ht="15.75" customHeight="1" x14ac:dyDescent="0.25">
      <c r="E459" s="223"/>
      <c r="F459" s="223"/>
    </row>
    <row r="460" spans="5:6" ht="15.75" customHeight="1" x14ac:dyDescent="0.25">
      <c r="E460" s="223"/>
      <c r="F460" s="223"/>
    </row>
    <row r="461" spans="5:6" ht="15.75" customHeight="1" x14ac:dyDescent="0.25">
      <c r="E461" s="223"/>
      <c r="F461" s="223"/>
    </row>
    <row r="462" spans="5:6" ht="15.75" customHeight="1" x14ac:dyDescent="0.25">
      <c r="E462" s="223"/>
      <c r="F462" s="223"/>
    </row>
    <row r="463" spans="5:6" ht="15.75" customHeight="1" x14ac:dyDescent="0.25">
      <c r="E463" s="223"/>
      <c r="F463" s="223"/>
    </row>
    <row r="464" spans="5:6" ht="15.75" customHeight="1" x14ac:dyDescent="0.25">
      <c r="E464" s="223"/>
      <c r="F464" s="223"/>
    </row>
    <row r="465" spans="5:6" ht="15.75" customHeight="1" x14ac:dyDescent="0.25">
      <c r="E465" s="223"/>
      <c r="F465" s="223"/>
    </row>
    <row r="466" spans="5:6" ht="15.75" customHeight="1" x14ac:dyDescent="0.25">
      <c r="E466" s="223"/>
      <c r="F466" s="223"/>
    </row>
    <row r="467" spans="5:6" ht="15.75" customHeight="1" x14ac:dyDescent="0.25">
      <c r="E467" s="223"/>
      <c r="F467" s="223"/>
    </row>
    <row r="468" spans="5:6" ht="15.75" customHeight="1" x14ac:dyDescent="0.25">
      <c r="E468" s="223"/>
      <c r="F468" s="223"/>
    </row>
    <row r="469" spans="5:6" ht="15.75" customHeight="1" x14ac:dyDescent="0.25">
      <c r="E469" s="223"/>
      <c r="F469" s="223"/>
    </row>
    <row r="470" spans="5:6" ht="15.75" customHeight="1" x14ac:dyDescent="0.25">
      <c r="E470" s="223"/>
      <c r="F470" s="223"/>
    </row>
    <row r="471" spans="5:6" ht="15.75" customHeight="1" x14ac:dyDescent="0.25">
      <c r="E471" s="223"/>
      <c r="F471" s="223"/>
    </row>
    <row r="472" spans="5:6" ht="15.75" customHeight="1" x14ac:dyDescent="0.25">
      <c r="E472" s="223"/>
      <c r="F472" s="223"/>
    </row>
    <row r="473" spans="5:6" ht="15.75" customHeight="1" x14ac:dyDescent="0.25">
      <c r="E473" s="223"/>
      <c r="F473" s="223"/>
    </row>
    <row r="474" spans="5:6" ht="15.75" customHeight="1" x14ac:dyDescent="0.25">
      <c r="E474" s="223"/>
      <c r="F474" s="223"/>
    </row>
    <row r="475" spans="5:6" ht="15.75" customHeight="1" x14ac:dyDescent="0.25">
      <c r="E475" s="223"/>
      <c r="F475" s="223"/>
    </row>
    <row r="476" spans="5:6" ht="15.75" customHeight="1" x14ac:dyDescent="0.25">
      <c r="E476" s="223"/>
      <c r="F476" s="223"/>
    </row>
    <row r="477" spans="5:6" ht="15.75" customHeight="1" x14ac:dyDescent="0.25">
      <c r="E477" s="223"/>
      <c r="F477" s="223"/>
    </row>
    <row r="478" spans="5:6" ht="15.75" customHeight="1" x14ac:dyDescent="0.25">
      <c r="E478" s="223"/>
      <c r="F478" s="223"/>
    </row>
    <row r="479" spans="5:6" ht="15.75" customHeight="1" x14ac:dyDescent="0.25">
      <c r="E479" s="223"/>
      <c r="F479" s="223"/>
    </row>
    <row r="480" spans="5:6" ht="15.75" customHeight="1" x14ac:dyDescent="0.25">
      <c r="E480" s="223"/>
      <c r="F480" s="223"/>
    </row>
    <row r="481" spans="5:6" ht="15.75" customHeight="1" x14ac:dyDescent="0.25">
      <c r="E481" s="223"/>
      <c r="F481" s="223"/>
    </row>
    <row r="482" spans="5:6" ht="15.75" customHeight="1" x14ac:dyDescent="0.25">
      <c r="E482" s="223"/>
      <c r="F482" s="223"/>
    </row>
    <row r="483" spans="5:6" ht="15.75" customHeight="1" x14ac:dyDescent="0.25">
      <c r="E483" s="223"/>
      <c r="F483" s="223"/>
    </row>
    <row r="484" spans="5:6" ht="15.75" customHeight="1" x14ac:dyDescent="0.25">
      <c r="E484" s="223"/>
      <c r="F484" s="223"/>
    </row>
    <row r="485" spans="5:6" ht="15.75" customHeight="1" x14ac:dyDescent="0.25">
      <c r="E485" s="223"/>
      <c r="F485" s="223"/>
    </row>
    <row r="486" spans="5:6" ht="15.75" customHeight="1" x14ac:dyDescent="0.25">
      <c r="E486" s="223"/>
      <c r="F486" s="223"/>
    </row>
    <row r="487" spans="5:6" ht="15.75" customHeight="1" x14ac:dyDescent="0.25">
      <c r="E487" s="223"/>
      <c r="F487" s="223"/>
    </row>
    <row r="488" spans="5:6" ht="15.75" customHeight="1" x14ac:dyDescent="0.25">
      <c r="E488" s="223"/>
      <c r="F488" s="223"/>
    </row>
    <row r="489" spans="5:6" ht="15.75" customHeight="1" x14ac:dyDescent="0.25">
      <c r="E489" s="223"/>
      <c r="F489" s="223"/>
    </row>
    <row r="490" spans="5:6" ht="15.75" customHeight="1" x14ac:dyDescent="0.25">
      <c r="E490" s="223"/>
      <c r="F490" s="223"/>
    </row>
    <row r="491" spans="5:6" ht="15.75" customHeight="1" x14ac:dyDescent="0.25">
      <c r="E491" s="223"/>
      <c r="F491" s="223"/>
    </row>
    <row r="492" spans="5:6" ht="15.75" customHeight="1" x14ac:dyDescent="0.25">
      <c r="E492" s="223"/>
      <c r="F492" s="223"/>
    </row>
    <row r="493" spans="5:6" ht="15.75" customHeight="1" x14ac:dyDescent="0.25">
      <c r="E493" s="223"/>
      <c r="F493" s="223"/>
    </row>
    <row r="494" spans="5:6" ht="15.75" customHeight="1" x14ac:dyDescent="0.25">
      <c r="E494" s="223"/>
      <c r="F494" s="223"/>
    </row>
    <row r="495" spans="5:6" ht="15.75" customHeight="1" x14ac:dyDescent="0.25">
      <c r="E495" s="223"/>
      <c r="F495" s="223"/>
    </row>
    <row r="496" spans="5:6" ht="15.75" customHeight="1" x14ac:dyDescent="0.25">
      <c r="E496" s="223"/>
      <c r="F496" s="223"/>
    </row>
    <row r="497" spans="5:6" ht="15.75" customHeight="1" x14ac:dyDescent="0.25">
      <c r="E497" s="223"/>
      <c r="F497" s="223"/>
    </row>
    <row r="498" spans="5:6" ht="15.75" customHeight="1" x14ac:dyDescent="0.25">
      <c r="E498" s="223"/>
      <c r="F498" s="223"/>
    </row>
    <row r="499" spans="5:6" ht="15.75" customHeight="1" x14ac:dyDescent="0.25">
      <c r="E499" s="223"/>
      <c r="F499" s="223"/>
    </row>
    <row r="500" spans="5:6" ht="15.75" customHeight="1" x14ac:dyDescent="0.25">
      <c r="E500" s="223"/>
      <c r="F500" s="223"/>
    </row>
    <row r="501" spans="5:6" ht="15.75" customHeight="1" x14ac:dyDescent="0.25">
      <c r="E501" s="223"/>
      <c r="F501" s="223"/>
    </row>
    <row r="502" spans="5:6" ht="15.75" customHeight="1" x14ac:dyDescent="0.25">
      <c r="E502" s="223"/>
      <c r="F502" s="223"/>
    </row>
    <row r="503" spans="5:6" ht="15.75" customHeight="1" x14ac:dyDescent="0.25">
      <c r="E503" s="223"/>
      <c r="F503" s="223"/>
    </row>
    <row r="504" spans="5:6" ht="15.75" customHeight="1" x14ac:dyDescent="0.25">
      <c r="E504" s="223"/>
      <c r="F504" s="223"/>
    </row>
    <row r="505" spans="5:6" ht="15.75" customHeight="1" x14ac:dyDescent="0.25">
      <c r="E505" s="223"/>
      <c r="F505" s="223"/>
    </row>
    <row r="506" spans="5:6" ht="15.75" customHeight="1" x14ac:dyDescent="0.25">
      <c r="E506" s="223"/>
      <c r="F506" s="223"/>
    </row>
    <row r="507" spans="5:6" ht="15.75" customHeight="1" x14ac:dyDescent="0.25">
      <c r="E507" s="223"/>
      <c r="F507" s="223"/>
    </row>
    <row r="508" spans="5:6" ht="15.75" customHeight="1" x14ac:dyDescent="0.25">
      <c r="E508" s="223"/>
      <c r="F508" s="223"/>
    </row>
    <row r="509" spans="5:6" ht="15.75" customHeight="1" x14ac:dyDescent="0.25">
      <c r="E509" s="223"/>
      <c r="F509" s="223"/>
    </row>
    <row r="510" spans="5:6" ht="15.75" customHeight="1" x14ac:dyDescent="0.25">
      <c r="E510" s="223"/>
      <c r="F510" s="223"/>
    </row>
    <row r="511" spans="5:6" ht="15.75" customHeight="1" x14ac:dyDescent="0.25">
      <c r="E511" s="223"/>
      <c r="F511" s="223"/>
    </row>
    <row r="512" spans="5:6" ht="15.75" customHeight="1" x14ac:dyDescent="0.25">
      <c r="E512" s="223"/>
      <c r="F512" s="223"/>
    </row>
    <row r="513" spans="5:6" ht="15.75" customHeight="1" x14ac:dyDescent="0.25">
      <c r="E513" s="223"/>
      <c r="F513" s="223"/>
    </row>
    <row r="514" spans="5:6" ht="15.75" customHeight="1" x14ac:dyDescent="0.25">
      <c r="E514" s="223"/>
      <c r="F514" s="223"/>
    </row>
    <row r="515" spans="5:6" ht="15.75" customHeight="1" x14ac:dyDescent="0.25">
      <c r="E515" s="223"/>
      <c r="F515" s="223"/>
    </row>
    <row r="516" spans="5:6" ht="15.75" customHeight="1" x14ac:dyDescent="0.25">
      <c r="E516" s="223"/>
      <c r="F516" s="223"/>
    </row>
    <row r="517" spans="5:6" ht="15.75" customHeight="1" x14ac:dyDescent="0.25">
      <c r="E517" s="223"/>
      <c r="F517" s="223"/>
    </row>
    <row r="518" spans="5:6" ht="15.75" customHeight="1" x14ac:dyDescent="0.25">
      <c r="E518" s="223"/>
      <c r="F518" s="223"/>
    </row>
    <row r="519" spans="5:6" ht="15.75" customHeight="1" x14ac:dyDescent="0.25">
      <c r="E519" s="223"/>
      <c r="F519" s="223"/>
    </row>
    <row r="520" spans="5:6" ht="15.75" customHeight="1" x14ac:dyDescent="0.25">
      <c r="E520" s="223"/>
      <c r="F520" s="223"/>
    </row>
    <row r="521" spans="5:6" ht="15.75" customHeight="1" x14ac:dyDescent="0.25">
      <c r="E521" s="223"/>
      <c r="F521" s="223"/>
    </row>
    <row r="522" spans="5:6" ht="15.75" customHeight="1" x14ac:dyDescent="0.25">
      <c r="E522" s="223"/>
      <c r="F522" s="223"/>
    </row>
    <row r="523" spans="5:6" ht="15.75" customHeight="1" x14ac:dyDescent="0.25">
      <c r="E523" s="223"/>
      <c r="F523" s="223"/>
    </row>
    <row r="524" spans="5:6" ht="15.75" customHeight="1" x14ac:dyDescent="0.25">
      <c r="E524" s="223"/>
      <c r="F524" s="223"/>
    </row>
    <row r="525" spans="5:6" ht="15.75" customHeight="1" x14ac:dyDescent="0.25">
      <c r="E525" s="223"/>
      <c r="F525" s="223"/>
    </row>
    <row r="526" spans="5:6" ht="15.75" customHeight="1" x14ac:dyDescent="0.25">
      <c r="E526" s="223"/>
      <c r="F526" s="223"/>
    </row>
    <row r="527" spans="5:6" ht="15.75" customHeight="1" x14ac:dyDescent="0.25">
      <c r="E527" s="223"/>
      <c r="F527" s="223"/>
    </row>
    <row r="528" spans="5:6" ht="15.75" customHeight="1" x14ac:dyDescent="0.25">
      <c r="E528" s="223"/>
      <c r="F528" s="223"/>
    </row>
    <row r="529" spans="5:6" ht="15.75" customHeight="1" x14ac:dyDescent="0.25">
      <c r="E529" s="223"/>
      <c r="F529" s="223"/>
    </row>
    <row r="530" spans="5:6" ht="15.75" customHeight="1" x14ac:dyDescent="0.25">
      <c r="E530" s="223"/>
      <c r="F530" s="223"/>
    </row>
    <row r="531" spans="5:6" ht="15.75" customHeight="1" x14ac:dyDescent="0.25">
      <c r="E531" s="223"/>
      <c r="F531" s="223"/>
    </row>
    <row r="532" spans="5:6" ht="15.75" customHeight="1" x14ac:dyDescent="0.25">
      <c r="E532" s="223"/>
      <c r="F532" s="223"/>
    </row>
    <row r="533" spans="5:6" ht="15.75" customHeight="1" x14ac:dyDescent="0.25">
      <c r="E533" s="223"/>
      <c r="F533" s="223"/>
    </row>
    <row r="534" spans="5:6" ht="15.75" customHeight="1" x14ac:dyDescent="0.25">
      <c r="E534" s="223"/>
      <c r="F534" s="223"/>
    </row>
    <row r="535" spans="5:6" ht="15.75" customHeight="1" x14ac:dyDescent="0.25">
      <c r="E535" s="223"/>
      <c r="F535" s="223"/>
    </row>
    <row r="536" spans="5:6" ht="15.75" customHeight="1" x14ac:dyDescent="0.25">
      <c r="E536" s="223"/>
      <c r="F536" s="223"/>
    </row>
    <row r="537" spans="5:6" ht="15.75" customHeight="1" x14ac:dyDescent="0.25">
      <c r="E537" s="223"/>
      <c r="F537" s="223"/>
    </row>
    <row r="538" spans="5:6" ht="15.75" customHeight="1" x14ac:dyDescent="0.25">
      <c r="E538" s="223"/>
      <c r="F538" s="223"/>
    </row>
    <row r="539" spans="5:6" ht="15.75" customHeight="1" x14ac:dyDescent="0.25">
      <c r="E539" s="223"/>
      <c r="F539" s="223"/>
    </row>
    <row r="540" spans="5:6" ht="15.75" customHeight="1" x14ac:dyDescent="0.25">
      <c r="E540" s="223"/>
      <c r="F540" s="223"/>
    </row>
    <row r="541" spans="5:6" ht="15.75" customHeight="1" x14ac:dyDescent="0.25">
      <c r="E541" s="223"/>
      <c r="F541" s="223"/>
    </row>
    <row r="542" spans="5:6" ht="15.75" customHeight="1" x14ac:dyDescent="0.25">
      <c r="E542" s="223"/>
      <c r="F542" s="223"/>
    </row>
    <row r="543" spans="5:6" ht="15.75" customHeight="1" x14ac:dyDescent="0.25">
      <c r="E543" s="223"/>
      <c r="F543" s="223"/>
    </row>
    <row r="544" spans="5:6" ht="15.75" customHeight="1" x14ac:dyDescent="0.25">
      <c r="E544" s="223"/>
      <c r="F544" s="223"/>
    </row>
    <row r="545" spans="5:6" ht="15.75" customHeight="1" x14ac:dyDescent="0.25">
      <c r="E545" s="223"/>
      <c r="F545" s="223"/>
    </row>
    <row r="546" spans="5:6" ht="15.75" customHeight="1" x14ac:dyDescent="0.25">
      <c r="E546" s="223"/>
      <c r="F546" s="223"/>
    </row>
    <row r="547" spans="5:6" ht="15.75" customHeight="1" x14ac:dyDescent="0.25">
      <c r="E547" s="223"/>
      <c r="F547" s="223"/>
    </row>
    <row r="548" spans="5:6" ht="15.75" customHeight="1" x14ac:dyDescent="0.25">
      <c r="E548" s="223"/>
      <c r="F548" s="223"/>
    </row>
    <row r="549" spans="5:6" ht="15.75" customHeight="1" x14ac:dyDescent="0.25">
      <c r="E549" s="223"/>
      <c r="F549" s="223"/>
    </row>
    <row r="550" spans="5:6" ht="15.75" customHeight="1" x14ac:dyDescent="0.25">
      <c r="E550" s="223"/>
      <c r="F550" s="223"/>
    </row>
    <row r="551" spans="5:6" ht="15.75" customHeight="1" x14ac:dyDescent="0.25">
      <c r="E551" s="223"/>
      <c r="F551" s="223"/>
    </row>
    <row r="552" spans="5:6" ht="15.75" customHeight="1" x14ac:dyDescent="0.25">
      <c r="E552" s="223"/>
      <c r="F552" s="223"/>
    </row>
    <row r="553" spans="5:6" ht="15.75" customHeight="1" x14ac:dyDescent="0.25">
      <c r="E553" s="223"/>
      <c r="F553" s="223"/>
    </row>
    <row r="554" spans="5:6" ht="15.75" customHeight="1" x14ac:dyDescent="0.25">
      <c r="E554" s="223"/>
      <c r="F554" s="223"/>
    </row>
    <row r="555" spans="5:6" ht="15.75" customHeight="1" x14ac:dyDescent="0.25">
      <c r="E555" s="223"/>
      <c r="F555" s="223"/>
    </row>
    <row r="556" spans="5:6" ht="15.75" customHeight="1" x14ac:dyDescent="0.25">
      <c r="E556" s="223"/>
      <c r="F556" s="223"/>
    </row>
    <row r="557" spans="5:6" ht="15.75" customHeight="1" x14ac:dyDescent="0.25">
      <c r="E557" s="223"/>
      <c r="F557" s="223"/>
    </row>
    <row r="558" spans="5:6" ht="15.75" customHeight="1" x14ac:dyDescent="0.25">
      <c r="E558" s="223"/>
      <c r="F558" s="223"/>
    </row>
    <row r="559" spans="5:6" ht="15.75" customHeight="1" x14ac:dyDescent="0.25">
      <c r="E559" s="223"/>
      <c r="F559" s="223"/>
    </row>
    <row r="560" spans="5:6" ht="15.75" customHeight="1" x14ac:dyDescent="0.25">
      <c r="E560" s="223"/>
      <c r="F560" s="223"/>
    </row>
    <row r="561" spans="5:6" ht="15.75" customHeight="1" x14ac:dyDescent="0.25">
      <c r="E561" s="223"/>
      <c r="F561" s="223"/>
    </row>
    <row r="562" spans="5:6" ht="15.75" customHeight="1" x14ac:dyDescent="0.25">
      <c r="E562" s="223"/>
      <c r="F562" s="223"/>
    </row>
    <row r="563" spans="5:6" ht="15.75" customHeight="1" x14ac:dyDescent="0.25">
      <c r="E563" s="223"/>
      <c r="F563" s="223"/>
    </row>
    <row r="564" spans="5:6" ht="15.75" customHeight="1" x14ac:dyDescent="0.25">
      <c r="E564" s="223"/>
      <c r="F564" s="223"/>
    </row>
    <row r="565" spans="5:6" ht="15.75" customHeight="1" x14ac:dyDescent="0.25">
      <c r="E565" s="223"/>
      <c r="F565" s="223"/>
    </row>
    <row r="566" spans="5:6" ht="15.75" customHeight="1" x14ac:dyDescent="0.25">
      <c r="E566" s="223"/>
      <c r="F566" s="223"/>
    </row>
    <row r="567" spans="5:6" ht="15.75" customHeight="1" x14ac:dyDescent="0.25">
      <c r="E567" s="223"/>
      <c r="F567" s="223"/>
    </row>
    <row r="568" spans="5:6" ht="15.75" customHeight="1" x14ac:dyDescent="0.25">
      <c r="E568" s="223"/>
      <c r="F568" s="223"/>
    </row>
    <row r="569" spans="5:6" ht="15.75" customHeight="1" x14ac:dyDescent="0.25">
      <c r="E569" s="223"/>
      <c r="F569" s="223"/>
    </row>
    <row r="570" spans="5:6" ht="15.75" customHeight="1" x14ac:dyDescent="0.25">
      <c r="E570" s="223"/>
      <c r="F570" s="223"/>
    </row>
    <row r="571" spans="5:6" ht="15.75" customHeight="1" x14ac:dyDescent="0.25">
      <c r="E571" s="223"/>
      <c r="F571" s="223"/>
    </row>
    <row r="572" spans="5:6" ht="15.75" customHeight="1" x14ac:dyDescent="0.25">
      <c r="E572" s="223"/>
      <c r="F572" s="223"/>
    </row>
    <row r="573" spans="5:6" ht="15.75" customHeight="1" x14ac:dyDescent="0.25">
      <c r="E573" s="223"/>
      <c r="F573" s="223"/>
    </row>
    <row r="574" spans="5:6" ht="15.75" customHeight="1" x14ac:dyDescent="0.25">
      <c r="E574" s="223"/>
      <c r="F574" s="223"/>
    </row>
    <row r="575" spans="5:6" ht="15.75" customHeight="1" x14ac:dyDescent="0.25">
      <c r="E575" s="223"/>
      <c r="F575" s="223"/>
    </row>
    <row r="576" spans="5:6" ht="15.75" customHeight="1" x14ac:dyDescent="0.25">
      <c r="E576" s="223"/>
      <c r="F576" s="223"/>
    </row>
    <row r="577" spans="5:6" ht="15.75" customHeight="1" x14ac:dyDescent="0.25">
      <c r="E577" s="223"/>
      <c r="F577" s="223"/>
    </row>
    <row r="578" spans="5:6" ht="15.75" customHeight="1" x14ac:dyDescent="0.25">
      <c r="E578" s="223"/>
      <c r="F578" s="223"/>
    </row>
    <row r="579" spans="5:6" ht="15.75" customHeight="1" x14ac:dyDescent="0.25">
      <c r="E579" s="223"/>
      <c r="F579" s="223"/>
    </row>
    <row r="580" spans="5:6" ht="15.75" customHeight="1" x14ac:dyDescent="0.25">
      <c r="E580" s="223"/>
      <c r="F580" s="223"/>
    </row>
    <row r="581" spans="5:6" ht="15.75" customHeight="1" x14ac:dyDescent="0.25">
      <c r="E581" s="223"/>
      <c r="F581" s="223"/>
    </row>
    <row r="582" spans="5:6" ht="15.75" customHeight="1" x14ac:dyDescent="0.25">
      <c r="E582" s="223"/>
      <c r="F582" s="223"/>
    </row>
    <row r="583" spans="5:6" ht="15.75" customHeight="1" x14ac:dyDescent="0.25">
      <c r="E583" s="223"/>
      <c r="F583" s="223"/>
    </row>
    <row r="584" spans="5:6" ht="15.75" customHeight="1" x14ac:dyDescent="0.25">
      <c r="E584" s="223"/>
      <c r="F584" s="223"/>
    </row>
    <row r="585" spans="5:6" ht="15.75" customHeight="1" x14ac:dyDescent="0.25">
      <c r="E585" s="223"/>
      <c r="F585" s="223"/>
    </row>
    <row r="586" spans="5:6" ht="15.75" customHeight="1" x14ac:dyDescent="0.25">
      <c r="E586" s="223"/>
      <c r="F586" s="223"/>
    </row>
    <row r="587" spans="5:6" ht="15.75" customHeight="1" x14ac:dyDescent="0.25">
      <c r="E587" s="223"/>
      <c r="F587" s="223"/>
    </row>
    <row r="588" spans="5:6" ht="15.75" customHeight="1" x14ac:dyDescent="0.25">
      <c r="E588" s="223"/>
      <c r="F588" s="223"/>
    </row>
    <row r="589" spans="5:6" ht="15.75" customHeight="1" x14ac:dyDescent="0.25">
      <c r="E589" s="223"/>
      <c r="F589" s="223"/>
    </row>
    <row r="590" spans="5:6" ht="15.75" customHeight="1" x14ac:dyDescent="0.25">
      <c r="E590" s="223"/>
      <c r="F590" s="223"/>
    </row>
    <row r="591" spans="5:6" ht="15.75" customHeight="1" x14ac:dyDescent="0.25">
      <c r="E591" s="223"/>
      <c r="F591" s="223"/>
    </row>
    <row r="592" spans="5:6" ht="15.75" customHeight="1" x14ac:dyDescent="0.25">
      <c r="E592" s="223"/>
      <c r="F592" s="223"/>
    </row>
    <row r="593" spans="5:6" ht="15.75" customHeight="1" x14ac:dyDescent="0.25">
      <c r="E593" s="223"/>
      <c r="F593" s="223"/>
    </row>
    <row r="594" spans="5:6" ht="15.75" customHeight="1" x14ac:dyDescent="0.25">
      <c r="E594" s="223"/>
      <c r="F594" s="223"/>
    </row>
    <row r="595" spans="5:6" ht="15.75" customHeight="1" x14ac:dyDescent="0.25">
      <c r="E595" s="223"/>
      <c r="F595" s="223"/>
    </row>
    <row r="596" spans="5:6" ht="15.75" customHeight="1" x14ac:dyDescent="0.25">
      <c r="E596" s="223"/>
      <c r="F596" s="223"/>
    </row>
    <row r="597" spans="5:6" ht="15.75" customHeight="1" x14ac:dyDescent="0.25">
      <c r="E597" s="223"/>
      <c r="F597" s="223"/>
    </row>
    <row r="598" spans="5:6" ht="15.75" customHeight="1" x14ac:dyDescent="0.25">
      <c r="E598" s="223"/>
      <c r="F598" s="223"/>
    </row>
    <row r="599" spans="5:6" ht="15.75" customHeight="1" x14ac:dyDescent="0.25">
      <c r="E599" s="223"/>
      <c r="F599" s="223"/>
    </row>
    <row r="600" spans="5:6" ht="15.75" customHeight="1" x14ac:dyDescent="0.25">
      <c r="E600" s="223"/>
      <c r="F600" s="223"/>
    </row>
    <row r="601" spans="5:6" ht="15.75" customHeight="1" x14ac:dyDescent="0.25">
      <c r="E601" s="223"/>
      <c r="F601" s="223"/>
    </row>
    <row r="602" spans="5:6" ht="15.75" customHeight="1" x14ac:dyDescent="0.25">
      <c r="E602" s="223"/>
      <c r="F602" s="223"/>
    </row>
    <row r="603" spans="5:6" ht="15.75" customHeight="1" x14ac:dyDescent="0.25">
      <c r="E603" s="223"/>
      <c r="F603" s="223"/>
    </row>
    <row r="604" spans="5:6" ht="15.75" customHeight="1" x14ac:dyDescent="0.25">
      <c r="E604" s="223"/>
      <c r="F604" s="223"/>
    </row>
    <row r="605" spans="5:6" ht="15.75" customHeight="1" x14ac:dyDescent="0.25">
      <c r="E605" s="223"/>
      <c r="F605" s="223"/>
    </row>
    <row r="606" spans="5:6" ht="15.75" customHeight="1" x14ac:dyDescent="0.25">
      <c r="E606" s="223"/>
      <c r="F606" s="223"/>
    </row>
    <row r="607" spans="5:6" ht="15.75" customHeight="1" x14ac:dyDescent="0.25">
      <c r="E607" s="223"/>
      <c r="F607" s="223"/>
    </row>
    <row r="608" spans="5:6" ht="15.75" customHeight="1" x14ac:dyDescent="0.25">
      <c r="E608" s="223"/>
      <c r="F608" s="223"/>
    </row>
    <row r="609" spans="5:6" ht="15.75" customHeight="1" x14ac:dyDescent="0.25">
      <c r="E609" s="223"/>
      <c r="F609" s="223"/>
    </row>
    <row r="610" spans="5:6" ht="15.75" customHeight="1" x14ac:dyDescent="0.25">
      <c r="E610" s="223"/>
      <c r="F610" s="223"/>
    </row>
    <row r="611" spans="5:6" ht="15.75" customHeight="1" x14ac:dyDescent="0.25">
      <c r="E611" s="223"/>
      <c r="F611" s="223"/>
    </row>
    <row r="612" spans="5:6" ht="15.75" customHeight="1" x14ac:dyDescent="0.25">
      <c r="E612" s="223"/>
      <c r="F612" s="223"/>
    </row>
    <row r="613" spans="5:6" ht="15.75" customHeight="1" x14ac:dyDescent="0.25">
      <c r="E613" s="223"/>
      <c r="F613" s="223"/>
    </row>
    <row r="614" spans="5:6" ht="15.75" customHeight="1" x14ac:dyDescent="0.25">
      <c r="E614" s="223"/>
      <c r="F614" s="223"/>
    </row>
    <row r="615" spans="5:6" ht="15.75" customHeight="1" x14ac:dyDescent="0.25">
      <c r="E615" s="223"/>
      <c r="F615" s="223"/>
    </row>
    <row r="616" spans="5:6" ht="15.75" customHeight="1" x14ac:dyDescent="0.25">
      <c r="E616" s="223"/>
      <c r="F616" s="223"/>
    </row>
    <row r="617" spans="5:6" ht="15.75" customHeight="1" x14ac:dyDescent="0.25">
      <c r="E617" s="223"/>
      <c r="F617" s="223"/>
    </row>
    <row r="618" spans="5:6" ht="15.75" customHeight="1" x14ac:dyDescent="0.25">
      <c r="E618" s="223"/>
      <c r="F618" s="223"/>
    </row>
    <row r="619" spans="5:6" ht="15.75" customHeight="1" x14ac:dyDescent="0.25">
      <c r="E619" s="223"/>
      <c r="F619" s="223"/>
    </row>
    <row r="620" spans="5:6" ht="15.75" customHeight="1" x14ac:dyDescent="0.25">
      <c r="E620" s="223"/>
      <c r="F620" s="223"/>
    </row>
    <row r="621" spans="5:6" ht="15.75" customHeight="1" x14ac:dyDescent="0.25">
      <c r="E621" s="223"/>
      <c r="F621" s="223"/>
    </row>
    <row r="622" spans="5:6" ht="15.75" customHeight="1" x14ac:dyDescent="0.25">
      <c r="E622" s="223"/>
      <c r="F622" s="223"/>
    </row>
    <row r="623" spans="5:6" ht="15.75" customHeight="1" x14ac:dyDescent="0.25">
      <c r="E623" s="223"/>
      <c r="F623" s="223"/>
    </row>
    <row r="624" spans="5:6" ht="15.75" customHeight="1" x14ac:dyDescent="0.25">
      <c r="E624" s="223"/>
      <c r="F624" s="223"/>
    </row>
    <row r="625" spans="5:6" ht="15.75" customHeight="1" x14ac:dyDescent="0.25">
      <c r="E625" s="223"/>
      <c r="F625" s="223"/>
    </row>
    <row r="626" spans="5:6" ht="15.75" customHeight="1" x14ac:dyDescent="0.25">
      <c r="E626" s="223"/>
      <c r="F626" s="223"/>
    </row>
    <row r="627" spans="5:6" ht="15.75" customHeight="1" x14ac:dyDescent="0.25">
      <c r="E627" s="223"/>
      <c r="F627" s="223"/>
    </row>
    <row r="628" spans="5:6" ht="15.75" customHeight="1" x14ac:dyDescent="0.25">
      <c r="E628" s="223"/>
      <c r="F628" s="223"/>
    </row>
    <row r="629" spans="5:6" ht="15.75" customHeight="1" x14ac:dyDescent="0.25">
      <c r="E629" s="223"/>
      <c r="F629" s="223"/>
    </row>
    <row r="630" spans="5:6" ht="15.75" customHeight="1" x14ac:dyDescent="0.25">
      <c r="E630" s="223"/>
      <c r="F630" s="223"/>
    </row>
    <row r="631" spans="5:6" ht="15.75" customHeight="1" x14ac:dyDescent="0.25">
      <c r="E631" s="223"/>
      <c r="F631" s="223"/>
    </row>
    <row r="632" spans="5:6" ht="15.75" customHeight="1" x14ac:dyDescent="0.25">
      <c r="E632" s="223"/>
      <c r="F632" s="223"/>
    </row>
    <row r="633" spans="5:6" ht="15.75" customHeight="1" x14ac:dyDescent="0.25">
      <c r="E633" s="223"/>
      <c r="F633" s="223"/>
    </row>
    <row r="634" spans="5:6" ht="15.75" customHeight="1" x14ac:dyDescent="0.25">
      <c r="E634" s="223"/>
      <c r="F634" s="223"/>
    </row>
    <row r="635" spans="5:6" ht="15.75" customHeight="1" x14ac:dyDescent="0.25">
      <c r="E635" s="223"/>
      <c r="F635" s="223"/>
    </row>
    <row r="636" spans="5:6" ht="15.75" customHeight="1" x14ac:dyDescent="0.25">
      <c r="E636" s="223"/>
      <c r="F636" s="223"/>
    </row>
    <row r="637" spans="5:6" ht="15.75" customHeight="1" x14ac:dyDescent="0.25">
      <c r="E637" s="223"/>
      <c r="F637" s="223"/>
    </row>
    <row r="638" spans="5:6" ht="15.75" customHeight="1" x14ac:dyDescent="0.25">
      <c r="E638" s="223"/>
      <c r="F638" s="223"/>
    </row>
    <row r="639" spans="5:6" ht="15.75" customHeight="1" x14ac:dyDescent="0.25">
      <c r="E639" s="223"/>
      <c r="F639" s="223"/>
    </row>
    <row r="640" spans="5:6" ht="15.75" customHeight="1" x14ac:dyDescent="0.25">
      <c r="E640" s="223"/>
      <c r="F640" s="223"/>
    </row>
    <row r="641" spans="5:6" ht="15.75" customHeight="1" x14ac:dyDescent="0.25">
      <c r="E641" s="223"/>
      <c r="F641" s="223"/>
    </row>
    <row r="642" spans="5:6" ht="15.75" customHeight="1" x14ac:dyDescent="0.25">
      <c r="E642" s="223"/>
      <c r="F642" s="223"/>
    </row>
    <row r="643" spans="5:6" ht="15.75" customHeight="1" x14ac:dyDescent="0.25">
      <c r="E643" s="223"/>
      <c r="F643" s="223"/>
    </row>
    <row r="644" spans="5:6" ht="15.75" customHeight="1" x14ac:dyDescent="0.25">
      <c r="E644" s="223"/>
      <c r="F644" s="223"/>
    </row>
    <row r="645" spans="5:6" ht="15.75" customHeight="1" x14ac:dyDescent="0.25">
      <c r="E645" s="223"/>
      <c r="F645" s="223"/>
    </row>
    <row r="646" spans="5:6" ht="15.75" customHeight="1" x14ac:dyDescent="0.25">
      <c r="E646" s="223"/>
      <c r="F646" s="223"/>
    </row>
    <row r="647" spans="5:6" ht="15.75" customHeight="1" x14ac:dyDescent="0.25">
      <c r="E647" s="223"/>
      <c r="F647" s="223"/>
    </row>
    <row r="648" spans="5:6" ht="15.75" customHeight="1" x14ac:dyDescent="0.25">
      <c r="E648" s="223"/>
      <c r="F648" s="223"/>
    </row>
    <row r="649" spans="5:6" ht="15.75" customHeight="1" x14ac:dyDescent="0.25">
      <c r="E649" s="223"/>
      <c r="F649" s="223"/>
    </row>
    <row r="650" spans="5:6" ht="15.75" customHeight="1" x14ac:dyDescent="0.25">
      <c r="E650" s="223"/>
      <c r="F650" s="223"/>
    </row>
    <row r="651" spans="5:6" ht="15.75" customHeight="1" x14ac:dyDescent="0.25">
      <c r="E651" s="223"/>
      <c r="F651" s="223"/>
    </row>
    <row r="652" spans="5:6" ht="15.75" customHeight="1" x14ac:dyDescent="0.25">
      <c r="E652" s="223"/>
      <c r="F652" s="223"/>
    </row>
    <row r="653" spans="5:6" ht="15.75" customHeight="1" x14ac:dyDescent="0.25">
      <c r="E653" s="223"/>
      <c r="F653" s="223"/>
    </row>
    <row r="654" spans="5:6" ht="15.75" customHeight="1" x14ac:dyDescent="0.25">
      <c r="E654" s="223"/>
      <c r="F654" s="223"/>
    </row>
    <row r="655" spans="5:6" ht="15.75" customHeight="1" x14ac:dyDescent="0.25">
      <c r="E655" s="223"/>
      <c r="F655" s="223"/>
    </row>
    <row r="656" spans="5:6" ht="15.75" customHeight="1" x14ac:dyDescent="0.25">
      <c r="E656" s="223"/>
      <c r="F656" s="223"/>
    </row>
    <row r="657" spans="5:6" ht="15.75" customHeight="1" x14ac:dyDescent="0.25">
      <c r="E657" s="223"/>
      <c r="F657" s="223"/>
    </row>
    <row r="658" spans="5:6" ht="15.75" customHeight="1" x14ac:dyDescent="0.25">
      <c r="E658" s="223"/>
      <c r="F658" s="223"/>
    </row>
    <row r="659" spans="5:6" ht="15.75" customHeight="1" x14ac:dyDescent="0.25">
      <c r="E659" s="223"/>
      <c r="F659" s="223"/>
    </row>
    <row r="660" spans="5:6" ht="15.75" customHeight="1" x14ac:dyDescent="0.25">
      <c r="E660" s="223"/>
      <c r="F660" s="223"/>
    </row>
    <row r="661" spans="5:6" ht="15.75" customHeight="1" x14ac:dyDescent="0.25">
      <c r="E661" s="223"/>
      <c r="F661" s="223"/>
    </row>
    <row r="662" spans="5:6" ht="15.75" customHeight="1" x14ac:dyDescent="0.25">
      <c r="E662" s="223"/>
      <c r="F662" s="223"/>
    </row>
    <row r="663" spans="5:6" ht="15.75" customHeight="1" x14ac:dyDescent="0.25">
      <c r="E663" s="223"/>
      <c r="F663" s="223"/>
    </row>
    <row r="664" spans="5:6" ht="15.75" customHeight="1" x14ac:dyDescent="0.25">
      <c r="E664" s="223"/>
      <c r="F664" s="223"/>
    </row>
    <row r="665" spans="5:6" ht="15.75" customHeight="1" x14ac:dyDescent="0.25">
      <c r="E665" s="223"/>
      <c r="F665" s="223"/>
    </row>
    <row r="666" spans="5:6" ht="15.75" customHeight="1" x14ac:dyDescent="0.25">
      <c r="E666" s="223"/>
      <c r="F666" s="223"/>
    </row>
    <row r="667" spans="5:6" ht="15.75" customHeight="1" x14ac:dyDescent="0.25">
      <c r="E667" s="223"/>
      <c r="F667" s="223"/>
    </row>
    <row r="668" spans="5:6" ht="15.75" customHeight="1" x14ac:dyDescent="0.25">
      <c r="E668" s="223"/>
      <c r="F668" s="223"/>
    </row>
    <row r="669" spans="5:6" ht="15.75" customHeight="1" x14ac:dyDescent="0.25">
      <c r="E669" s="223"/>
      <c r="F669" s="223"/>
    </row>
    <row r="670" spans="5:6" ht="15.75" customHeight="1" x14ac:dyDescent="0.25">
      <c r="E670" s="223"/>
      <c r="F670" s="223"/>
    </row>
    <row r="671" spans="5:6" ht="15.75" customHeight="1" x14ac:dyDescent="0.25">
      <c r="E671" s="223"/>
      <c r="F671" s="223"/>
    </row>
    <row r="672" spans="5:6" ht="15.75" customHeight="1" x14ac:dyDescent="0.25">
      <c r="E672" s="223"/>
      <c r="F672" s="223"/>
    </row>
    <row r="673" spans="5:6" ht="15.75" customHeight="1" x14ac:dyDescent="0.25">
      <c r="E673" s="223"/>
      <c r="F673" s="223"/>
    </row>
    <row r="674" spans="5:6" ht="15.75" customHeight="1" x14ac:dyDescent="0.25">
      <c r="E674" s="223"/>
      <c r="F674" s="223"/>
    </row>
    <row r="675" spans="5:6" ht="15.75" customHeight="1" x14ac:dyDescent="0.25">
      <c r="E675" s="223"/>
      <c r="F675" s="223"/>
    </row>
    <row r="676" spans="5:6" ht="15.75" customHeight="1" x14ac:dyDescent="0.25">
      <c r="E676" s="223"/>
      <c r="F676" s="223"/>
    </row>
    <row r="677" spans="5:6" ht="15.75" customHeight="1" x14ac:dyDescent="0.25">
      <c r="E677" s="223"/>
      <c r="F677" s="223"/>
    </row>
    <row r="678" spans="5:6" ht="15.75" customHeight="1" x14ac:dyDescent="0.25">
      <c r="E678" s="223"/>
      <c r="F678" s="223"/>
    </row>
    <row r="679" spans="5:6" ht="15.75" customHeight="1" x14ac:dyDescent="0.25">
      <c r="E679" s="223"/>
      <c r="F679" s="223"/>
    </row>
    <row r="680" spans="5:6" ht="15.75" customHeight="1" x14ac:dyDescent="0.25">
      <c r="E680" s="223"/>
      <c r="F680" s="223"/>
    </row>
    <row r="681" spans="5:6" ht="15.75" customHeight="1" x14ac:dyDescent="0.25">
      <c r="E681" s="223"/>
      <c r="F681" s="223"/>
    </row>
    <row r="682" spans="5:6" ht="15.75" customHeight="1" x14ac:dyDescent="0.25">
      <c r="E682" s="223"/>
      <c r="F682" s="223"/>
    </row>
    <row r="683" spans="5:6" ht="15.75" customHeight="1" x14ac:dyDescent="0.25">
      <c r="E683" s="223"/>
      <c r="F683" s="223"/>
    </row>
    <row r="684" spans="5:6" ht="15.75" customHeight="1" x14ac:dyDescent="0.25">
      <c r="E684" s="223"/>
      <c r="F684" s="223"/>
    </row>
    <row r="685" spans="5:6" ht="15.75" customHeight="1" x14ac:dyDescent="0.25">
      <c r="E685" s="223"/>
      <c r="F685" s="223"/>
    </row>
    <row r="686" spans="5:6" ht="15.75" customHeight="1" x14ac:dyDescent="0.25">
      <c r="E686" s="223"/>
      <c r="F686" s="223"/>
    </row>
    <row r="687" spans="5:6" ht="15.75" customHeight="1" x14ac:dyDescent="0.25">
      <c r="E687" s="223"/>
      <c r="F687" s="223"/>
    </row>
    <row r="688" spans="5:6" ht="15.75" customHeight="1" x14ac:dyDescent="0.25">
      <c r="E688" s="223"/>
      <c r="F688" s="223"/>
    </row>
    <row r="689" spans="5:6" ht="15.75" customHeight="1" x14ac:dyDescent="0.25">
      <c r="E689" s="223"/>
      <c r="F689" s="223"/>
    </row>
    <row r="690" spans="5:6" ht="15.75" customHeight="1" x14ac:dyDescent="0.25">
      <c r="E690" s="223"/>
      <c r="F690" s="223"/>
    </row>
    <row r="691" spans="5:6" ht="15.75" customHeight="1" x14ac:dyDescent="0.25">
      <c r="E691" s="223"/>
      <c r="F691" s="223"/>
    </row>
    <row r="692" spans="5:6" ht="15.75" customHeight="1" x14ac:dyDescent="0.25">
      <c r="E692" s="223"/>
      <c r="F692" s="223"/>
    </row>
    <row r="693" spans="5:6" ht="15.75" customHeight="1" x14ac:dyDescent="0.25">
      <c r="E693" s="223"/>
      <c r="F693" s="223"/>
    </row>
    <row r="694" spans="5:6" ht="15.75" customHeight="1" x14ac:dyDescent="0.25">
      <c r="E694" s="223"/>
      <c r="F694" s="223"/>
    </row>
    <row r="695" spans="5:6" ht="15.75" customHeight="1" x14ac:dyDescent="0.25">
      <c r="E695" s="223"/>
      <c r="F695" s="223"/>
    </row>
    <row r="696" spans="5:6" ht="15.75" customHeight="1" x14ac:dyDescent="0.25">
      <c r="E696" s="223"/>
      <c r="F696" s="223"/>
    </row>
    <row r="697" spans="5:6" ht="15.75" customHeight="1" x14ac:dyDescent="0.25">
      <c r="E697" s="223"/>
      <c r="F697" s="223"/>
    </row>
    <row r="698" spans="5:6" ht="15.75" customHeight="1" x14ac:dyDescent="0.25">
      <c r="E698" s="223"/>
      <c r="F698" s="223"/>
    </row>
    <row r="699" spans="5:6" ht="15.75" customHeight="1" x14ac:dyDescent="0.25">
      <c r="E699" s="223"/>
      <c r="F699" s="223"/>
    </row>
    <row r="700" spans="5:6" ht="15.75" customHeight="1" x14ac:dyDescent="0.25">
      <c r="E700" s="223"/>
      <c r="F700" s="223"/>
    </row>
    <row r="701" spans="5:6" ht="15.75" customHeight="1" x14ac:dyDescent="0.25">
      <c r="E701" s="223"/>
      <c r="F701" s="223"/>
    </row>
    <row r="702" spans="5:6" ht="15.75" customHeight="1" x14ac:dyDescent="0.25">
      <c r="E702" s="223"/>
      <c r="F702" s="223"/>
    </row>
    <row r="703" spans="5:6" ht="15.75" customHeight="1" x14ac:dyDescent="0.25">
      <c r="E703" s="223"/>
      <c r="F703" s="223"/>
    </row>
    <row r="704" spans="5:6" ht="15.75" customHeight="1" x14ac:dyDescent="0.25">
      <c r="E704" s="223"/>
      <c r="F704" s="223"/>
    </row>
    <row r="705" spans="5:6" ht="15.75" customHeight="1" x14ac:dyDescent="0.25">
      <c r="E705" s="223"/>
      <c r="F705" s="223"/>
    </row>
    <row r="706" spans="5:6" ht="15.75" customHeight="1" x14ac:dyDescent="0.25">
      <c r="E706" s="223"/>
      <c r="F706" s="223"/>
    </row>
    <row r="707" spans="5:6" ht="15.75" customHeight="1" x14ac:dyDescent="0.25">
      <c r="E707" s="223"/>
      <c r="F707" s="223"/>
    </row>
    <row r="708" spans="5:6" ht="15.75" customHeight="1" x14ac:dyDescent="0.25">
      <c r="E708" s="223"/>
      <c r="F708" s="223"/>
    </row>
    <row r="709" spans="5:6" ht="15.75" customHeight="1" x14ac:dyDescent="0.25">
      <c r="E709" s="223"/>
      <c r="F709" s="223"/>
    </row>
    <row r="710" spans="5:6" ht="15.75" customHeight="1" x14ac:dyDescent="0.25">
      <c r="E710" s="223"/>
      <c r="F710" s="223"/>
    </row>
    <row r="711" spans="5:6" ht="15.75" customHeight="1" x14ac:dyDescent="0.25">
      <c r="E711" s="223"/>
      <c r="F711" s="223"/>
    </row>
    <row r="712" spans="5:6" ht="15.75" customHeight="1" x14ac:dyDescent="0.25">
      <c r="E712" s="223"/>
      <c r="F712" s="223"/>
    </row>
    <row r="713" spans="5:6" ht="15.75" customHeight="1" x14ac:dyDescent="0.25">
      <c r="E713" s="223"/>
      <c r="F713" s="223"/>
    </row>
    <row r="714" spans="5:6" ht="15.75" customHeight="1" x14ac:dyDescent="0.25">
      <c r="E714" s="223"/>
      <c r="F714" s="223"/>
    </row>
    <row r="715" spans="5:6" ht="15.75" customHeight="1" x14ac:dyDescent="0.25">
      <c r="E715" s="223"/>
      <c r="F715" s="223"/>
    </row>
    <row r="716" spans="5:6" ht="15.75" customHeight="1" x14ac:dyDescent="0.25">
      <c r="E716" s="223"/>
      <c r="F716" s="223"/>
    </row>
    <row r="717" spans="5:6" ht="15.75" customHeight="1" x14ac:dyDescent="0.25">
      <c r="E717" s="223"/>
      <c r="F717" s="223"/>
    </row>
    <row r="718" spans="5:6" ht="15.75" customHeight="1" x14ac:dyDescent="0.25">
      <c r="E718" s="223"/>
      <c r="F718" s="223"/>
    </row>
    <row r="719" spans="5:6" ht="15.75" customHeight="1" x14ac:dyDescent="0.25">
      <c r="E719" s="223"/>
      <c r="F719" s="223"/>
    </row>
    <row r="720" spans="5:6" ht="15.75" customHeight="1" x14ac:dyDescent="0.25">
      <c r="E720" s="223"/>
      <c r="F720" s="223"/>
    </row>
    <row r="721" spans="5:6" ht="15.75" customHeight="1" x14ac:dyDescent="0.25">
      <c r="E721" s="223"/>
      <c r="F721" s="223"/>
    </row>
    <row r="722" spans="5:6" ht="15.75" customHeight="1" x14ac:dyDescent="0.25">
      <c r="E722" s="223"/>
      <c r="F722" s="223"/>
    </row>
    <row r="723" spans="5:6" ht="15.75" customHeight="1" x14ac:dyDescent="0.25">
      <c r="E723" s="223"/>
      <c r="F723" s="223"/>
    </row>
    <row r="724" spans="5:6" ht="15.75" customHeight="1" x14ac:dyDescent="0.25">
      <c r="E724" s="223"/>
      <c r="F724" s="223"/>
    </row>
    <row r="725" spans="5:6" ht="15.75" customHeight="1" x14ac:dyDescent="0.25">
      <c r="E725" s="223"/>
      <c r="F725" s="223"/>
    </row>
    <row r="726" spans="5:6" ht="15.75" customHeight="1" x14ac:dyDescent="0.25">
      <c r="E726" s="223"/>
      <c r="F726" s="223"/>
    </row>
    <row r="727" spans="5:6" ht="15.75" customHeight="1" x14ac:dyDescent="0.25">
      <c r="E727" s="223"/>
      <c r="F727" s="223"/>
    </row>
    <row r="728" spans="5:6" ht="15.75" customHeight="1" x14ac:dyDescent="0.25">
      <c r="E728" s="223"/>
      <c r="F728" s="223"/>
    </row>
    <row r="729" spans="5:6" ht="15.75" customHeight="1" x14ac:dyDescent="0.25">
      <c r="E729" s="223"/>
      <c r="F729" s="223"/>
    </row>
    <row r="730" spans="5:6" ht="15.75" customHeight="1" x14ac:dyDescent="0.25">
      <c r="E730" s="223"/>
      <c r="F730" s="223"/>
    </row>
    <row r="731" spans="5:6" ht="15.75" customHeight="1" x14ac:dyDescent="0.25">
      <c r="E731" s="223"/>
      <c r="F731" s="223"/>
    </row>
    <row r="732" spans="5:6" ht="15.75" customHeight="1" x14ac:dyDescent="0.25">
      <c r="E732" s="223"/>
      <c r="F732" s="223"/>
    </row>
    <row r="733" spans="5:6" ht="15.75" customHeight="1" x14ac:dyDescent="0.25">
      <c r="E733" s="223"/>
      <c r="F733" s="223"/>
    </row>
    <row r="734" spans="5:6" ht="15.75" customHeight="1" x14ac:dyDescent="0.25">
      <c r="E734" s="223"/>
      <c r="F734" s="223"/>
    </row>
    <row r="735" spans="5:6" ht="15.75" customHeight="1" x14ac:dyDescent="0.25">
      <c r="E735" s="223"/>
      <c r="F735" s="223"/>
    </row>
    <row r="736" spans="5:6" ht="15.75" customHeight="1" x14ac:dyDescent="0.25">
      <c r="E736" s="223"/>
      <c r="F736" s="223"/>
    </row>
    <row r="737" spans="5:6" ht="15.75" customHeight="1" x14ac:dyDescent="0.25">
      <c r="E737" s="223"/>
      <c r="F737" s="223"/>
    </row>
    <row r="738" spans="5:6" ht="15.75" customHeight="1" x14ac:dyDescent="0.25">
      <c r="E738" s="223"/>
      <c r="F738" s="223"/>
    </row>
    <row r="739" spans="5:6" ht="15.75" customHeight="1" x14ac:dyDescent="0.25">
      <c r="E739" s="223"/>
      <c r="F739" s="223"/>
    </row>
    <row r="740" spans="5:6" ht="15.75" customHeight="1" x14ac:dyDescent="0.25">
      <c r="E740" s="223"/>
      <c r="F740" s="223"/>
    </row>
    <row r="741" spans="5:6" ht="15.75" customHeight="1" x14ac:dyDescent="0.25">
      <c r="E741" s="223"/>
      <c r="F741" s="223"/>
    </row>
    <row r="742" spans="5:6" ht="15.75" customHeight="1" x14ac:dyDescent="0.25">
      <c r="E742" s="223"/>
      <c r="F742" s="223"/>
    </row>
    <row r="743" spans="5:6" ht="15.75" customHeight="1" x14ac:dyDescent="0.25">
      <c r="E743" s="223"/>
      <c r="F743" s="223"/>
    </row>
    <row r="744" spans="5:6" ht="15.75" customHeight="1" x14ac:dyDescent="0.25">
      <c r="E744" s="223"/>
      <c r="F744" s="223"/>
    </row>
    <row r="745" spans="5:6" ht="15.75" customHeight="1" x14ac:dyDescent="0.25">
      <c r="E745" s="223"/>
      <c r="F745" s="223"/>
    </row>
    <row r="746" spans="5:6" ht="15.75" customHeight="1" x14ac:dyDescent="0.25">
      <c r="E746" s="223"/>
      <c r="F746" s="223"/>
    </row>
    <row r="747" spans="5:6" ht="15.75" customHeight="1" x14ac:dyDescent="0.25">
      <c r="E747" s="223"/>
      <c r="F747" s="223"/>
    </row>
    <row r="748" spans="5:6" ht="15.75" customHeight="1" x14ac:dyDescent="0.25">
      <c r="E748" s="223"/>
      <c r="F748" s="223"/>
    </row>
    <row r="749" spans="5:6" ht="15.75" customHeight="1" x14ac:dyDescent="0.25">
      <c r="E749" s="223"/>
      <c r="F749" s="223"/>
    </row>
    <row r="750" spans="5:6" ht="15.75" customHeight="1" x14ac:dyDescent="0.25">
      <c r="E750" s="223"/>
      <c r="F750" s="223"/>
    </row>
    <row r="751" spans="5:6" ht="15.75" customHeight="1" x14ac:dyDescent="0.25">
      <c r="E751" s="223"/>
      <c r="F751" s="223"/>
    </row>
    <row r="752" spans="5:6" ht="15.75" customHeight="1" x14ac:dyDescent="0.25">
      <c r="E752" s="223"/>
      <c r="F752" s="223"/>
    </row>
    <row r="753" spans="5:6" ht="15.75" customHeight="1" x14ac:dyDescent="0.25">
      <c r="E753" s="223"/>
      <c r="F753" s="223"/>
    </row>
    <row r="754" spans="5:6" ht="15.75" customHeight="1" x14ac:dyDescent="0.25">
      <c r="E754" s="223"/>
      <c r="F754" s="223"/>
    </row>
    <row r="755" spans="5:6" ht="15.75" customHeight="1" x14ac:dyDescent="0.25">
      <c r="E755" s="223"/>
      <c r="F755" s="223"/>
    </row>
    <row r="756" spans="5:6" ht="15.75" customHeight="1" x14ac:dyDescent="0.25">
      <c r="E756" s="223"/>
      <c r="F756" s="223"/>
    </row>
    <row r="757" spans="5:6" ht="15.75" customHeight="1" x14ac:dyDescent="0.25">
      <c r="E757" s="223"/>
      <c r="F757" s="223"/>
    </row>
    <row r="758" spans="5:6" ht="15.75" customHeight="1" x14ac:dyDescent="0.25">
      <c r="E758" s="223"/>
      <c r="F758" s="223"/>
    </row>
    <row r="759" spans="5:6" ht="15.75" customHeight="1" x14ac:dyDescent="0.25">
      <c r="E759" s="223"/>
      <c r="F759" s="223"/>
    </row>
    <row r="760" spans="5:6" ht="15.75" customHeight="1" x14ac:dyDescent="0.25">
      <c r="E760" s="223"/>
      <c r="F760" s="223"/>
    </row>
    <row r="761" spans="5:6" ht="15.75" customHeight="1" x14ac:dyDescent="0.25">
      <c r="E761" s="223"/>
      <c r="F761" s="223"/>
    </row>
    <row r="762" spans="5:6" ht="15.75" customHeight="1" x14ac:dyDescent="0.25">
      <c r="E762" s="223"/>
      <c r="F762" s="223"/>
    </row>
    <row r="763" spans="5:6" ht="15.75" customHeight="1" x14ac:dyDescent="0.25">
      <c r="E763" s="223"/>
      <c r="F763" s="223"/>
    </row>
    <row r="764" spans="5:6" ht="15.75" customHeight="1" x14ac:dyDescent="0.25">
      <c r="E764" s="223"/>
      <c r="F764" s="223"/>
    </row>
    <row r="765" spans="5:6" ht="15.75" customHeight="1" x14ac:dyDescent="0.25">
      <c r="E765" s="223"/>
      <c r="F765" s="223"/>
    </row>
    <row r="766" spans="5:6" ht="15.75" customHeight="1" x14ac:dyDescent="0.25">
      <c r="E766" s="223"/>
      <c r="F766" s="223"/>
    </row>
    <row r="767" spans="5:6" ht="15.75" customHeight="1" x14ac:dyDescent="0.25">
      <c r="E767" s="223"/>
      <c r="F767" s="223"/>
    </row>
    <row r="768" spans="5:6" ht="15.75" customHeight="1" x14ac:dyDescent="0.25">
      <c r="E768" s="223"/>
      <c r="F768" s="223"/>
    </row>
    <row r="769" spans="5:6" ht="15.75" customHeight="1" x14ac:dyDescent="0.25">
      <c r="E769" s="223"/>
      <c r="F769" s="223"/>
    </row>
    <row r="770" spans="5:6" ht="15.75" customHeight="1" x14ac:dyDescent="0.25">
      <c r="E770" s="223"/>
      <c r="F770" s="223"/>
    </row>
    <row r="771" spans="5:6" ht="15.75" customHeight="1" x14ac:dyDescent="0.25">
      <c r="E771" s="223"/>
      <c r="F771" s="223"/>
    </row>
    <row r="772" spans="5:6" ht="15.75" customHeight="1" x14ac:dyDescent="0.25">
      <c r="E772" s="223"/>
      <c r="F772" s="223"/>
    </row>
    <row r="773" spans="5:6" ht="15.75" customHeight="1" x14ac:dyDescent="0.25">
      <c r="E773" s="223"/>
      <c r="F773" s="223"/>
    </row>
    <row r="774" spans="5:6" ht="15.75" customHeight="1" x14ac:dyDescent="0.25">
      <c r="E774" s="223"/>
      <c r="F774" s="223"/>
    </row>
    <row r="775" spans="5:6" ht="15.75" customHeight="1" x14ac:dyDescent="0.25">
      <c r="E775" s="223"/>
      <c r="F775" s="223"/>
    </row>
    <row r="776" spans="5:6" ht="15.75" customHeight="1" x14ac:dyDescent="0.25">
      <c r="E776" s="223"/>
      <c r="F776" s="223"/>
    </row>
    <row r="777" spans="5:6" ht="15.75" customHeight="1" x14ac:dyDescent="0.25">
      <c r="E777" s="223"/>
      <c r="F777" s="223"/>
    </row>
    <row r="778" spans="5:6" ht="15.75" customHeight="1" x14ac:dyDescent="0.25">
      <c r="E778" s="223"/>
      <c r="F778" s="223"/>
    </row>
    <row r="779" spans="5:6" ht="15.75" customHeight="1" x14ac:dyDescent="0.25">
      <c r="E779" s="223"/>
      <c r="F779" s="223"/>
    </row>
    <row r="780" spans="5:6" ht="15.75" customHeight="1" x14ac:dyDescent="0.25">
      <c r="E780" s="223"/>
      <c r="F780" s="223"/>
    </row>
    <row r="781" spans="5:6" ht="15.75" customHeight="1" x14ac:dyDescent="0.25">
      <c r="E781" s="223"/>
      <c r="F781" s="223"/>
    </row>
    <row r="782" spans="5:6" ht="15.75" customHeight="1" x14ac:dyDescent="0.25">
      <c r="E782" s="223"/>
      <c r="F782" s="223"/>
    </row>
    <row r="783" spans="5:6" ht="15.75" customHeight="1" x14ac:dyDescent="0.25">
      <c r="E783" s="223"/>
      <c r="F783" s="223"/>
    </row>
    <row r="784" spans="5:6" ht="15.75" customHeight="1" x14ac:dyDescent="0.25">
      <c r="E784" s="223"/>
      <c r="F784" s="223"/>
    </row>
    <row r="785" spans="5:6" ht="15.75" customHeight="1" x14ac:dyDescent="0.25">
      <c r="E785" s="223"/>
      <c r="F785" s="223"/>
    </row>
    <row r="786" spans="5:6" ht="15.75" customHeight="1" x14ac:dyDescent="0.25">
      <c r="E786" s="223"/>
      <c r="F786" s="223"/>
    </row>
    <row r="787" spans="5:6" ht="15.75" customHeight="1" x14ac:dyDescent="0.25">
      <c r="E787" s="223"/>
      <c r="F787" s="223"/>
    </row>
    <row r="788" spans="5:6" ht="15.75" customHeight="1" x14ac:dyDescent="0.25">
      <c r="E788" s="223"/>
      <c r="F788" s="223"/>
    </row>
    <row r="789" spans="5:6" ht="15.75" customHeight="1" x14ac:dyDescent="0.25">
      <c r="E789" s="223"/>
      <c r="F789" s="223"/>
    </row>
    <row r="790" spans="5:6" ht="15.75" customHeight="1" x14ac:dyDescent="0.25">
      <c r="E790" s="223"/>
      <c r="F790" s="223"/>
    </row>
    <row r="791" spans="5:6" ht="15.75" customHeight="1" x14ac:dyDescent="0.25">
      <c r="E791" s="223"/>
      <c r="F791" s="223"/>
    </row>
    <row r="792" spans="5:6" ht="15.75" customHeight="1" x14ac:dyDescent="0.25">
      <c r="E792" s="223"/>
      <c r="F792" s="223"/>
    </row>
    <row r="793" spans="5:6" ht="15.75" customHeight="1" x14ac:dyDescent="0.25">
      <c r="E793" s="223"/>
      <c r="F793" s="223"/>
    </row>
    <row r="794" spans="5:6" ht="15.75" customHeight="1" x14ac:dyDescent="0.25">
      <c r="E794" s="223"/>
      <c r="F794" s="223"/>
    </row>
    <row r="795" spans="5:6" ht="15.75" customHeight="1" x14ac:dyDescent="0.25">
      <c r="E795" s="223"/>
      <c r="F795" s="223"/>
    </row>
    <row r="796" spans="5:6" ht="15.75" customHeight="1" x14ac:dyDescent="0.25">
      <c r="E796" s="223"/>
      <c r="F796" s="223"/>
    </row>
    <row r="797" spans="5:6" ht="15.75" customHeight="1" x14ac:dyDescent="0.25">
      <c r="E797" s="223"/>
      <c r="F797" s="223"/>
    </row>
    <row r="798" spans="5:6" ht="15.75" customHeight="1" x14ac:dyDescent="0.25">
      <c r="E798" s="223"/>
      <c r="F798" s="223"/>
    </row>
    <row r="799" spans="5:6" ht="15.75" customHeight="1" x14ac:dyDescent="0.25">
      <c r="E799" s="223"/>
      <c r="F799" s="223"/>
    </row>
    <row r="800" spans="5:6" ht="15.75" customHeight="1" x14ac:dyDescent="0.25">
      <c r="E800" s="223"/>
      <c r="F800" s="223"/>
    </row>
    <row r="801" spans="5:6" ht="15.75" customHeight="1" x14ac:dyDescent="0.25">
      <c r="E801" s="223"/>
      <c r="F801" s="223"/>
    </row>
    <row r="802" spans="5:6" ht="15.75" customHeight="1" x14ac:dyDescent="0.25">
      <c r="E802" s="223"/>
      <c r="F802" s="223"/>
    </row>
    <row r="803" spans="5:6" ht="15.75" customHeight="1" x14ac:dyDescent="0.25">
      <c r="E803" s="223"/>
      <c r="F803" s="223"/>
    </row>
    <row r="804" spans="5:6" ht="15.75" customHeight="1" x14ac:dyDescent="0.25">
      <c r="E804" s="223"/>
      <c r="F804" s="223"/>
    </row>
    <row r="805" spans="5:6" ht="15.75" customHeight="1" x14ac:dyDescent="0.25">
      <c r="E805" s="223"/>
      <c r="F805" s="223"/>
    </row>
    <row r="806" spans="5:6" ht="15.75" customHeight="1" x14ac:dyDescent="0.25">
      <c r="E806" s="223"/>
      <c r="F806" s="223"/>
    </row>
    <row r="807" spans="5:6" ht="15.75" customHeight="1" x14ac:dyDescent="0.25">
      <c r="E807" s="223"/>
      <c r="F807" s="223"/>
    </row>
    <row r="808" spans="5:6" ht="15.75" customHeight="1" x14ac:dyDescent="0.25">
      <c r="E808" s="223"/>
      <c r="F808" s="223"/>
    </row>
    <row r="809" spans="5:6" ht="15.75" customHeight="1" x14ac:dyDescent="0.25">
      <c r="E809" s="223"/>
      <c r="F809" s="223"/>
    </row>
    <row r="810" spans="5:6" ht="15.75" customHeight="1" x14ac:dyDescent="0.25">
      <c r="E810" s="223"/>
      <c r="F810" s="223"/>
    </row>
    <row r="811" spans="5:6" ht="15.75" customHeight="1" x14ac:dyDescent="0.25">
      <c r="E811" s="223"/>
      <c r="F811" s="223"/>
    </row>
    <row r="812" spans="5:6" ht="15.75" customHeight="1" x14ac:dyDescent="0.25">
      <c r="E812" s="223"/>
      <c r="F812" s="223"/>
    </row>
    <row r="813" spans="5:6" ht="15.75" customHeight="1" x14ac:dyDescent="0.25">
      <c r="E813" s="223"/>
      <c r="F813" s="223"/>
    </row>
    <row r="814" spans="5:6" ht="15.75" customHeight="1" x14ac:dyDescent="0.25">
      <c r="E814" s="223"/>
      <c r="F814" s="223"/>
    </row>
    <row r="815" spans="5:6" ht="15.75" customHeight="1" x14ac:dyDescent="0.25">
      <c r="E815" s="223"/>
      <c r="F815" s="223"/>
    </row>
    <row r="816" spans="5:6" ht="15.75" customHeight="1" x14ac:dyDescent="0.25">
      <c r="E816" s="223"/>
      <c r="F816" s="223"/>
    </row>
    <row r="817" spans="5:6" ht="15.75" customHeight="1" x14ac:dyDescent="0.25">
      <c r="E817" s="223"/>
      <c r="F817" s="223"/>
    </row>
    <row r="818" spans="5:6" ht="15.75" customHeight="1" x14ac:dyDescent="0.25">
      <c r="E818" s="223"/>
      <c r="F818" s="223"/>
    </row>
    <row r="819" spans="5:6" ht="15.75" customHeight="1" x14ac:dyDescent="0.25">
      <c r="E819" s="223"/>
      <c r="F819" s="223"/>
    </row>
    <row r="820" spans="5:6" ht="15.75" customHeight="1" x14ac:dyDescent="0.25">
      <c r="E820" s="223"/>
      <c r="F820" s="223"/>
    </row>
    <row r="821" spans="5:6" ht="15.75" customHeight="1" x14ac:dyDescent="0.25">
      <c r="E821" s="223"/>
      <c r="F821" s="223"/>
    </row>
    <row r="822" spans="5:6" ht="15.75" customHeight="1" x14ac:dyDescent="0.25">
      <c r="E822" s="223"/>
      <c r="F822" s="223"/>
    </row>
    <row r="823" spans="5:6" ht="15.75" customHeight="1" x14ac:dyDescent="0.25">
      <c r="E823" s="223"/>
      <c r="F823" s="223"/>
    </row>
    <row r="824" spans="5:6" ht="15.75" customHeight="1" x14ac:dyDescent="0.25">
      <c r="E824" s="223"/>
      <c r="F824" s="223"/>
    </row>
    <row r="825" spans="5:6" ht="15.75" customHeight="1" x14ac:dyDescent="0.25">
      <c r="E825" s="223"/>
      <c r="F825" s="223"/>
    </row>
    <row r="826" spans="5:6" ht="15.75" customHeight="1" x14ac:dyDescent="0.25">
      <c r="E826" s="223"/>
      <c r="F826" s="223"/>
    </row>
    <row r="827" spans="5:6" ht="15.75" customHeight="1" x14ac:dyDescent="0.25">
      <c r="E827" s="223"/>
      <c r="F827" s="223"/>
    </row>
    <row r="828" spans="5:6" ht="15.75" customHeight="1" x14ac:dyDescent="0.25">
      <c r="E828" s="223"/>
      <c r="F828" s="223"/>
    </row>
    <row r="829" spans="5:6" ht="15.75" customHeight="1" x14ac:dyDescent="0.25">
      <c r="E829" s="223"/>
      <c r="F829" s="223"/>
    </row>
    <row r="830" spans="5:6" ht="15.75" customHeight="1" x14ac:dyDescent="0.25">
      <c r="E830" s="223"/>
      <c r="F830" s="223"/>
    </row>
    <row r="831" spans="5:6" ht="15.75" customHeight="1" x14ac:dyDescent="0.25">
      <c r="E831" s="223"/>
      <c r="F831" s="223"/>
    </row>
    <row r="832" spans="5:6" ht="15.75" customHeight="1" x14ac:dyDescent="0.25">
      <c r="E832" s="223"/>
      <c r="F832" s="223"/>
    </row>
    <row r="833" spans="5:6" ht="15.75" customHeight="1" x14ac:dyDescent="0.25">
      <c r="E833" s="223"/>
      <c r="F833" s="223"/>
    </row>
    <row r="834" spans="5:6" ht="15.75" customHeight="1" x14ac:dyDescent="0.25">
      <c r="E834" s="223"/>
      <c r="F834" s="223"/>
    </row>
    <row r="835" spans="5:6" ht="15.75" customHeight="1" x14ac:dyDescent="0.25">
      <c r="E835" s="223"/>
      <c r="F835" s="223"/>
    </row>
    <row r="836" spans="5:6" ht="15.75" customHeight="1" x14ac:dyDescent="0.25">
      <c r="E836" s="223"/>
      <c r="F836" s="223"/>
    </row>
    <row r="837" spans="5:6" ht="15.75" customHeight="1" x14ac:dyDescent="0.25">
      <c r="E837" s="223"/>
      <c r="F837" s="223"/>
    </row>
    <row r="838" spans="5:6" ht="15.75" customHeight="1" x14ac:dyDescent="0.25">
      <c r="E838" s="223"/>
      <c r="F838" s="223"/>
    </row>
    <row r="839" spans="5:6" ht="15.75" customHeight="1" x14ac:dyDescent="0.25">
      <c r="E839" s="223"/>
      <c r="F839" s="223"/>
    </row>
    <row r="840" spans="5:6" ht="15.75" customHeight="1" x14ac:dyDescent="0.25">
      <c r="E840" s="223"/>
      <c r="F840" s="223"/>
    </row>
    <row r="841" spans="5:6" ht="15.75" customHeight="1" x14ac:dyDescent="0.25">
      <c r="E841" s="223"/>
      <c r="F841" s="223"/>
    </row>
    <row r="842" spans="5:6" ht="15.75" customHeight="1" x14ac:dyDescent="0.25">
      <c r="E842" s="223"/>
      <c r="F842" s="223"/>
    </row>
    <row r="843" spans="5:6" ht="15.75" customHeight="1" x14ac:dyDescent="0.25">
      <c r="E843" s="223"/>
      <c r="F843" s="223"/>
    </row>
    <row r="844" spans="5:6" ht="15.75" customHeight="1" x14ac:dyDescent="0.25">
      <c r="E844" s="223"/>
      <c r="F844" s="223"/>
    </row>
    <row r="845" spans="5:6" ht="15.75" customHeight="1" x14ac:dyDescent="0.25">
      <c r="E845" s="223"/>
      <c r="F845" s="223"/>
    </row>
    <row r="846" spans="5:6" ht="15.75" customHeight="1" x14ac:dyDescent="0.25">
      <c r="E846" s="223"/>
      <c r="F846" s="223"/>
    </row>
    <row r="847" spans="5:6" ht="15.75" customHeight="1" x14ac:dyDescent="0.25">
      <c r="E847" s="223"/>
      <c r="F847" s="223"/>
    </row>
    <row r="848" spans="5:6" ht="15.75" customHeight="1" x14ac:dyDescent="0.25">
      <c r="E848" s="223"/>
      <c r="F848" s="223"/>
    </row>
    <row r="849" spans="5:6" ht="15.75" customHeight="1" x14ac:dyDescent="0.25">
      <c r="E849" s="223"/>
      <c r="F849" s="223"/>
    </row>
    <row r="850" spans="5:6" ht="15.75" customHeight="1" x14ac:dyDescent="0.25">
      <c r="E850" s="223"/>
      <c r="F850" s="223"/>
    </row>
    <row r="851" spans="5:6" ht="15.75" customHeight="1" x14ac:dyDescent="0.25">
      <c r="E851" s="223"/>
      <c r="F851" s="223"/>
    </row>
    <row r="852" spans="5:6" ht="15.75" customHeight="1" x14ac:dyDescent="0.25">
      <c r="E852" s="223"/>
      <c r="F852" s="223"/>
    </row>
    <row r="853" spans="5:6" ht="15.75" customHeight="1" x14ac:dyDescent="0.25">
      <c r="E853" s="223"/>
      <c r="F853" s="223"/>
    </row>
    <row r="854" spans="5:6" ht="15.75" customHeight="1" x14ac:dyDescent="0.25">
      <c r="E854" s="223"/>
      <c r="F854" s="223"/>
    </row>
    <row r="855" spans="5:6" ht="15.75" customHeight="1" x14ac:dyDescent="0.25">
      <c r="E855" s="223"/>
      <c r="F855" s="223"/>
    </row>
    <row r="856" spans="5:6" ht="15.75" customHeight="1" x14ac:dyDescent="0.25">
      <c r="E856" s="223"/>
      <c r="F856" s="223"/>
    </row>
    <row r="857" spans="5:6" ht="15.75" customHeight="1" x14ac:dyDescent="0.25">
      <c r="E857" s="223"/>
      <c r="F857" s="223"/>
    </row>
    <row r="858" spans="5:6" ht="15.75" customHeight="1" x14ac:dyDescent="0.25">
      <c r="E858" s="223"/>
      <c r="F858" s="223"/>
    </row>
    <row r="859" spans="5:6" ht="15.75" customHeight="1" x14ac:dyDescent="0.25">
      <c r="E859" s="223"/>
      <c r="F859" s="223"/>
    </row>
    <row r="860" spans="5:6" ht="15.75" customHeight="1" x14ac:dyDescent="0.25">
      <c r="E860" s="223"/>
      <c r="F860" s="223"/>
    </row>
    <row r="861" spans="5:6" ht="15.75" customHeight="1" x14ac:dyDescent="0.25">
      <c r="E861" s="223"/>
      <c r="F861" s="223"/>
    </row>
    <row r="862" spans="5:6" ht="15.75" customHeight="1" x14ac:dyDescent="0.25">
      <c r="E862" s="223"/>
      <c r="F862" s="223"/>
    </row>
    <row r="863" spans="5:6" ht="15.75" customHeight="1" x14ac:dyDescent="0.25">
      <c r="E863" s="223"/>
      <c r="F863" s="223"/>
    </row>
    <row r="864" spans="5:6" ht="15.75" customHeight="1" x14ac:dyDescent="0.25">
      <c r="E864" s="223"/>
      <c r="F864" s="223"/>
    </row>
    <row r="865" spans="5:6" ht="15.75" customHeight="1" x14ac:dyDescent="0.25">
      <c r="E865" s="223"/>
      <c r="F865" s="223"/>
    </row>
    <row r="866" spans="5:6" ht="15.75" customHeight="1" x14ac:dyDescent="0.25">
      <c r="E866" s="223"/>
      <c r="F866" s="223"/>
    </row>
    <row r="867" spans="5:6" ht="15.75" customHeight="1" x14ac:dyDescent="0.25">
      <c r="E867" s="223"/>
      <c r="F867" s="223"/>
    </row>
    <row r="868" spans="5:6" ht="15.75" customHeight="1" x14ac:dyDescent="0.25">
      <c r="E868" s="223"/>
      <c r="F868" s="223"/>
    </row>
    <row r="869" spans="5:6" ht="15.75" customHeight="1" x14ac:dyDescent="0.25">
      <c r="E869" s="223"/>
      <c r="F869" s="223"/>
    </row>
    <row r="870" spans="5:6" ht="15.75" customHeight="1" x14ac:dyDescent="0.25">
      <c r="E870" s="223"/>
      <c r="F870" s="223"/>
    </row>
    <row r="871" spans="5:6" ht="15.75" customHeight="1" x14ac:dyDescent="0.25">
      <c r="E871" s="223"/>
      <c r="F871" s="223"/>
    </row>
    <row r="872" spans="5:6" ht="15.75" customHeight="1" x14ac:dyDescent="0.25">
      <c r="E872" s="223"/>
      <c r="F872" s="223"/>
    </row>
    <row r="873" spans="5:6" ht="15.75" customHeight="1" x14ac:dyDescent="0.25">
      <c r="E873" s="223"/>
      <c r="F873" s="223"/>
    </row>
    <row r="874" spans="5:6" ht="15.75" customHeight="1" x14ac:dyDescent="0.25">
      <c r="E874" s="223"/>
      <c r="F874" s="223"/>
    </row>
    <row r="875" spans="5:6" ht="15.75" customHeight="1" x14ac:dyDescent="0.25">
      <c r="E875" s="223"/>
      <c r="F875" s="223"/>
    </row>
    <row r="876" spans="5:6" ht="15.75" customHeight="1" x14ac:dyDescent="0.25">
      <c r="E876" s="223"/>
      <c r="F876" s="223"/>
    </row>
    <row r="877" spans="5:6" ht="15.75" customHeight="1" x14ac:dyDescent="0.25">
      <c r="E877" s="223"/>
      <c r="F877" s="223"/>
    </row>
    <row r="878" spans="5:6" ht="15.75" customHeight="1" x14ac:dyDescent="0.25">
      <c r="E878" s="223"/>
      <c r="F878" s="223"/>
    </row>
    <row r="879" spans="5:6" ht="15.75" customHeight="1" x14ac:dyDescent="0.25">
      <c r="E879" s="223"/>
      <c r="F879" s="223"/>
    </row>
    <row r="880" spans="5:6" ht="15.75" customHeight="1" x14ac:dyDescent="0.25">
      <c r="E880" s="223"/>
      <c r="F880" s="223"/>
    </row>
    <row r="881" spans="5:6" ht="15.75" customHeight="1" x14ac:dyDescent="0.25">
      <c r="E881" s="223"/>
      <c r="F881" s="223"/>
    </row>
    <row r="882" spans="5:6" ht="15.75" customHeight="1" x14ac:dyDescent="0.25">
      <c r="E882" s="223"/>
      <c r="F882" s="223"/>
    </row>
    <row r="883" spans="5:6" ht="15.75" customHeight="1" x14ac:dyDescent="0.25">
      <c r="E883" s="223"/>
      <c r="F883" s="223"/>
    </row>
    <row r="884" spans="5:6" ht="15.75" customHeight="1" x14ac:dyDescent="0.25">
      <c r="E884" s="223"/>
      <c r="F884" s="223"/>
    </row>
    <row r="885" spans="5:6" ht="15.75" customHeight="1" x14ac:dyDescent="0.25">
      <c r="E885" s="223"/>
      <c r="F885" s="223"/>
    </row>
    <row r="886" spans="5:6" ht="15.75" customHeight="1" x14ac:dyDescent="0.25">
      <c r="E886" s="223"/>
      <c r="F886" s="223"/>
    </row>
    <row r="887" spans="5:6" ht="15.75" customHeight="1" x14ac:dyDescent="0.25">
      <c r="E887" s="223"/>
      <c r="F887" s="223"/>
    </row>
    <row r="888" spans="5:6" ht="15.75" customHeight="1" x14ac:dyDescent="0.25">
      <c r="E888" s="223"/>
      <c r="F888" s="223"/>
    </row>
    <row r="889" spans="5:6" ht="15.75" customHeight="1" x14ac:dyDescent="0.25">
      <c r="E889" s="223"/>
      <c r="F889" s="223"/>
    </row>
    <row r="890" spans="5:6" ht="15.75" customHeight="1" x14ac:dyDescent="0.25">
      <c r="E890" s="223"/>
      <c r="F890" s="223"/>
    </row>
    <row r="891" spans="5:6" ht="15.75" customHeight="1" x14ac:dyDescent="0.25">
      <c r="E891" s="223"/>
      <c r="F891" s="223"/>
    </row>
    <row r="892" spans="5:6" ht="15.75" customHeight="1" x14ac:dyDescent="0.25">
      <c r="E892" s="223"/>
      <c r="F892" s="223"/>
    </row>
    <row r="893" spans="5:6" ht="15.75" customHeight="1" x14ac:dyDescent="0.25">
      <c r="E893" s="223"/>
      <c r="F893" s="223"/>
    </row>
    <row r="894" spans="5:6" ht="15.75" customHeight="1" x14ac:dyDescent="0.25">
      <c r="E894" s="223"/>
      <c r="F894" s="223"/>
    </row>
    <row r="895" spans="5:6" ht="15.75" customHeight="1" x14ac:dyDescent="0.25">
      <c r="E895" s="223"/>
      <c r="F895" s="223"/>
    </row>
    <row r="896" spans="5:6" ht="15.75" customHeight="1" x14ac:dyDescent="0.25">
      <c r="E896" s="223"/>
      <c r="F896" s="223"/>
    </row>
    <row r="897" spans="5:6" ht="15.75" customHeight="1" x14ac:dyDescent="0.25">
      <c r="E897" s="223"/>
      <c r="F897" s="223"/>
    </row>
    <row r="898" spans="5:6" ht="15.75" customHeight="1" x14ac:dyDescent="0.25">
      <c r="E898" s="223"/>
      <c r="F898" s="223"/>
    </row>
    <row r="899" spans="5:6" ht="15.75" customHeight="1" x14ac:dyDescent="0.25">
      <c r="E899" s="223"/>
      <c r="F899" s="223"/>
    </row>
    <row r="900" spans="5:6" ht="15.75" customHeight="1" x14ac:dyDescent="0.25">
      <c r="E900" s="223"/>
      <c r="F900" s="223"/>
    </row>
    <row r="901" spans="5:6" ht="15.75" customHeight="1" x14ac:dyDescent="0.25">
      <c r="E901" s="223"/>
      <c r="F901" s="223"/>
    </row>
    <row r="902" spans="5:6" ht="15.75" customHeight="1" x14ac:dyDescent="0.25">
      <c r="E902" s="223"/>
      <c r="F902" s="223"/>
    </row>
    <row r="903" spans="5:6" ht="15.75" customHeight="1" x14ac:dyDescent="0.25">
      <c r="E903" s="223"/>
      <c r="F903" s="223"/>
    </row>
    <row r="904" spans="5:6" ht="15.75" customHeight="1" x14ac:dyDescent="0.25">
      <c r="E904" s="223"/>
      <c r="F904" s="223"/>
    </row>
    <row r="905" spans="5:6" ht="15.75" customHeight="1" x14ac:dyDescent="0.25">
      <c r="E905" s="223"/>
      <c r="F905" s="223"/>
    </row>
    <row r="906" spans="5:6" ht="15.75" customHeight="1" x14ac:dyDescent="0.25">
      <c r="E906" s="223"/>
      <c r="F906" s="223"/>
    </row>
    <row r="907" spans="5:6" ht="15.75" customHeight="1" x14ac:dyDescent="0.25">
      <c r="E907" s="223"/>
      <c r="F907" s="223"/>
    </row>
    <row r="908" spans="5:6" ht="15.75" customHeight="1" x14ac:dyDescent="0.25">
      <c r="E908" s="223"/>
      <c r="F908" s="223"/>
    </row>
    <row r="909" spans="5:6" ht="15.75" customHeight="1" x14ac:dyDescent="0.25">
      <c r="E909" s="223"/>
      <c r="F909" s="223"/>
    </row>
    <row r="910" spans="5:6" ht="15.75" customHeight="1" x14ac:dyDescent="0.25">
      <c r="E910" s="223"/>
      <c r="F910" s="223"/>
    </row>
    <row r="911" spans="5:6" ht="15.75" customHeight="1" x14ac:dyDescent="0.25">
      <c r="E911" s="223"/>
      <c r="F911" s="223"/>
    </row>
    <row r="912" spans="5:6" ht="15.75" customHeight="1" x14ac:dyDescent="0.25">
      <c r="E912" s="223"/>
      <c r="F912" s="223"/>
    </row>
    <row r="913" spans="5:6" ht="15.75" customHeight="1" x14ac:dyDescent="0.25">
      <c r="E913" s="223"/>
      <c r="F913" s="223"/>
    </row>
    <row r="914" spans="5:6" ht="15.75" customHeight="1" x14ac:dyDescent="0.25">
      <c r="E914" s="223"/>
      <c r="F914" s="223"/>
    </row>
    <row r="915" spans="5:6" ht="15.75" customHeight="1" x14ac:dyDescent="0.25">
      <c r="E915" s="223"/>
      <c r="F915" s="223"/>
    </row>
    <row r="916" spans="5:6" ht="15.75" customHeight="1" x14ac:dyDescent="0.25">
      <c r="E916" s="223"/>
      <c r="F916" s="223"/>
    </row>
    <row r="917" spans="5:6" ht="15.75" customHeight="1" x14ac:dyDescent="0.25">
      <c r="E917" s="223"/>
      <c r="F917" s="223"/>
    </row>
    <row r="918" spans="5:6" ht="15.75" customHeight="1" x14ac:dyDescent="0.25">
      <c r="E918" s="223"/>
      <c r="F918" s="223"/>
    </row>
    <row r="919" spans="5:6" ht="15.75" customHeight="1" x14ac:dyDescent="0.25">
      <c r="E919" s="223"/>
      <c r="F919" s="223"/>
    </row>
    <row r="920" spans="5:6" ht="15.75" customHeight="1" x14ac:dyDescent="0.25">
      <c r="E920" s="223"/>
      <c r="F920" s="223"/>
    </row>
    <row r="921" spans="5:6" ht="15.75" customHeight="1" x14ac:dyDescent="0.25">
      <c r="E921" s="223"/>
      <c r="F921" s="223"/>
    </row>
    <row r="922" spans="5:6" ht="15.75" customHeight="1" x14ac:dyDescent="0.25">
      <c r="E922" s="223"/>
      <c r="F922" s="223"/>
    </row>
    <row r="923" spans="5:6" ht="15.75" customHeight="1" x14ac:dyDescent="0.25">
      <c r="E923" s="223"/>
      <c r="F923" s="223"/>
    </row>
    <row r="924" spans="5:6" ht="15.75" customHeight="1" x14ac:dyDescent="0.25">
      <c r="E924" s="223"/>
      <c r="F924" s="223"/>
    </row>
    <row r="925" spans="5:6" ht="15.75" customHeight="1" x14ac:dyDescent="0.25">
      <c r="E925" s="223"/>
      <c r="F925" s="223"/>
    </row>
    <row r="926" spans="5:6" ht="15.75" customHeight="1" x14ac:dyDescent="0.25">
      <c r="E926" s="223"/>
      <c r="F926" s="223"/>
    </row>
    <row r="927" spans="5:6" ht="15.75" customHeight="1" x14ac:dyDescent="0.25">
      <c r="E927" s="223"/>
      <c r="F927" s="223"/>
    </row>
    <row r="928" spans="5:6" ht="15.75" customHeight="1" x14ac:dyDescent="0.25">
      <c r="E928" s="223"/>
      <c r="F928" s="223"/>
    </row>
    <row r="929" spans="5:6" ht="15.75" customHeight="1" x14ac:dyDescent="0.25">
      <c r="E929" s="223"/>
      <c r="F929" s="223"/>
    </row>
    <row r="930" spans="5:6" ht="15.75" customHeight="1" x14ac:dyDescent="0.25">
      <c r="E930" s="223"/>
      <c r="F930" s="223"/>
    </row>
    <row r="931" spans="5:6" ht="15.75" customHeight="1" x14ac:dyDescent="0.25">
      <c r="E931" s="223"/>
      <c r="F931" s="223"/>
    </row>
    <row r="932" spans="5:6" ht="15.75" customHeight="1" x14ac:dyDescent="0.25">
      <c r="E932" s="223"/>
      <c r="F932" s="223"/>
    </row>
    <row r="933" spans="5:6" ht="15.75" customHeight="1" x14ac:dyDescent="0.25">
      <c r="E933" s="223"/>
      <c r="F933" s="223"/>
    </row>
    <row r="934" spans="5:6" ht="15.75" customHeight="1" x14ac:dyDescent="0.25">
      <c r="E934" s="223"/>
      <c r="F934" s="223"/>
    </row>
    <row r="935" spans="5:6" ht="15.75" customHeight="1" x14ac:dyDescent="0.25">
      <c r="E935" s="223"/>
      <c r="F935" s="223"/>
    </row>
    <row r="936" spans="5:6" ht="15.75" customHeight="1" x14ac:dyDescent="0.25">
      <c r="E936" s="223"/>
      <c r="F936" s="223"/>
    </row>
    <row r="937" spans="5:6" ht="15.75" customHeight="1" x14ac:dyDescent="0.25">
      <c r="E937" s="223"/>
      <c r="F937" s="223"/>
    </row>
    <row r="938" spans="5:6" ht="15.75" customHeight="1" x14ac:dyDescent="0.25">
      <c r="E938" s="223"/>
      <c r="F938" s="223"/>
    </row>
    <row r="939" spans="5:6" ht="15.75" customHeight="1" x14ac:dyDescent="0.25">
      <c r="E939" s="223"/>
      <c r="F939" s="223"/>
    </row>
    <row r="940" spans="5:6" ht="15.75" customHeight="1" x14ac:dyDescent="0.25">
      <c r="E940" s="223"/>
      <c r="F940" s="223"/>
    </row>
    <row r="941" spans="5:6" ht="15.75" customHeight="1" x14ac:dyDescent="0.25">
      <c r="E941" s="223"/>
      <c r="F941" s="223"/>
    </row>
    <row r="942" spans="5:6" ht="15.75" customHeight="1" x14ac:dyDescent="0.25">
      <c r="E942" s="223"/>
      <c r="F942" s="223"/>
    </row>
    <row r="943" spans="5:6" ht="15.75" customHeight="1" x14ac:dyDescent="0.25">
      <c r="E943" s="223"/>
      <c r="F943" s="223"/>
    </row>
    <row r="944" spans="5:6" ht="15.75" customHeight="1" x14ac:dyDescent="0.25">
      <c r="E944" s="223"/>
      <c r="F944" s="223"/>
    </row>
    <row r="945" spans="5:6" ht="15.75" customHeight="1" x14ac:dyDescent="0.25">
      <c r="E945" s="223"/>
      <c r="F945" s="223"/>
    </row>
    <row r="946" spans="5:6" ht="15.75" customHeight="1" x14ac:dyDescent="0.25">
      <c r="E946" s="223"/>
      <c r="F946" s="223"/>
    </row>
    <row r="947" spans="5:6" ht="15.75" customHeight="1" x14ac:dyDescent="0.25">
      <c r="E947" s="223"/>
      <c r="F947" s="223"/>
    </row>
    <row r="948" spans="5:6" ht="15.75" customHeight="1" x14ac:dyDescent="0.25">
      <c r="E948" s="223"/>
      <c r="F948" s="223"/>
    </row>
    <row r="949" spans="5:6" ht="15.75" customHeight="1" x14ac:dyDescent="0.25">
      <c r="E949" s="223"/>
      <c r="F949" s="223"/>
    </row>
    <row r="950" spans="5:6" ht="15.75" customHeight="1" x14ac:dyDescent="0.25">
      <c r="E950" s="223"/>
      <c r="F950" s="223"/>
    </row>
    <row r="951" spans="5:6" ht="15.75" customHeight="1" x14ac:dyDescent="0.25">
      <c r="E951" s="223"/>
      <c r="F951" s="223"/>
    </row>
    <row r="952" spans="5:6" ht="15.75" customHeight="1" x14ac:dyDescent="0.25">
      <c r="E952" s="223"/>
      <c r="F952" s="223"/>
    </row>
    <row r="953" spans="5:6" ht="15.75" customHeight="1" x14ac:dyDescent="0.25">
      <c r="E953" s="223"/>
      <c r="F953" s="223"/>
    </row>
    <row r="954" spans="5:6" ht="15.75" customHeight="1" x14ac:dyDescent="0.25">
      <c r="E954" s="223"/>
      <c r="F954" s="223"/>
    </row>
    <row r="955" spans="5:6" ht="15.75" customHeight="1" x14ac:dyDescent="0.25">
      <c r="E955" s="223"/>
      <c r="F955" s="223"/>
    </row>
    <row r="956" spans="5:6" ht="15.75" customHeight="1" x14ac:dyDescent="0.25">
      <c r="E956" s="223"/>
      <c r="F956" s="223"/>
    </row>
    <row r="957" spans="5:6" ht="15.75" customHeight="1" x14ac:dyDescent="0.25">
      <c r="E957" s="223"/>
      <c r="F957" s="223"/>
    </row>
    <row r="958" spans="5:6" ht="15.75" customHeight="1" x14ac:dyDescent="0.25">
      <c r="E958" s="223"/>
      <c r="F958" s="223"/>
    </row>
    <row r="959" spans="5:6" ht="15.75" customHeight="1" x14ac:dyDescent="0.25">
      <c r="E959" s="223"/>
      <c r="F959" s="223"/>
    </row>
    <row r="960" spans="5:6" ht="15.75" customHeight="1" x14ac:dyDescent="0.25">
      <c r="E960" s="223"/>
      <c r="F960" s="223"/>
    </row>
    <row r="961" spans="5:6" ht="15.75" customHeight="1" x14ac:dyDescent="0.25">
      <c r="E961" s="223"/>
      <c r="F961" s="223"/>
    </row>
    <row r="962" spans="5:6" ht="15.75" customHeight="1" x14ac:dyDescent="0.25">
      <c r="E962" s="223"/>
      <c r="F962" s="223"/>
    </row>
    <row r="963" spans="5:6" ht="15.75" customHeight="1" x14ac:dyDescent="0.25">
      <c r="E963" s="223"/>
      <c r="F963" s="223"/>
    </row>
    <row r="964" spans="5:6" ht="15.75" customHeight="1" x14ac:dyDescent="0.25">
      <c r="E964" s="223"/>
      <c r="F964" s="223"/>
    </row>
    <row r="965" spans="5:6" ht="15.75" customHeight="1" x14ac:dyDescent="0.25">
      <c r="E965" s="223"/>
      <c r="F965" s="223"/>
    </row>
    <row r="966" spans="5:6" ht="15.75" customHeight="1" x14ac:dyDescent="0.25">
      <c r="E966" s="223"/>
      <c r="F966" s="223"/>
    </row>
    <row r="967" spans="5:6" ht="15.75" customHeight="1" x14ac:dyDescent="0.25">
      <c r="E967" s="223"/>
      <c r="F967" s="223"/>
    </row>
    <row r="968" spans="5:6" ht="15.75" customHeight="1" x14ac:dyDescent="0.25">
      <c r="E968" s="223"/>
      <c r="F968" s="223"/>
    </row>
    <row r="969" spans="5:6" ht="15.75" customHeight="1" x14ac:dyDescent="0.25">
      <c r="E969" s="223"/>
      <c r="F969" s="223"/>
    </row>
    <row r="970" spans="5:6" ht="15.75" customHeight="1" x14ac:dyDescent="0.25">
      <c r="E970" s="223"/>
      <c r="F970" s="223"/>
    </row>
    <row r="971" spans="5:6" ht="15.75" customHeight="1" x14ac:dyDescent="0.25">
      <c r="E971" s="223"/>
      <c r="F971" s="223"/>
    </row>
    <row r="972" spans="5:6" ht="15.75" customHeight="1" x14ac:dyDescent="0.25">
      <c r="E972" s="223"/>
      <c r="F972" s="223"/>
    </row>
    <row r="973" spans="5:6" ht="15.75" customHeight="1" x14ac:dyDescent="0.25">
      <c r="E973" s="223"/>
      <c r="F973" s="223"/>
    </row>
    <row r="974" spans="5:6" ht="15.75" customHeight="1" x14ac:dyDescent="0.25">
      <c r="E974" s="223"/>
      <c r="F974" s="223"/>
    </row>
    <row r="975" spans="5:6" ht="15.75" customHeight="1" x14ac:dyDescent="0.25">
      <c r="E975" s="223"/>
      <c r="F975" s="223"/>
    </row>
    <row r="976" spans="5:6" ht="15.75" customHeight="1" x14ac:dyDescent="0.25">
      <c r="E976" s="223"/>
      <c r="F976" s="223"/>
    </row>
    <row r="977" spans="5:6" ht="15.75" customHeight="1" x14ac:dyDescent="0.25">
      <c r="E977" s="223"/>
      <c r="F977" s="223"/>
    </row>
    <row r="978" spans="5:6" ht="15.75" customHeight="1" x14ac:dyDescent="0.25">
      <c r="E978" s="223"/>
      <c r="F978" s="223"/>
    </row>
    <row r="979" spans="5:6" ht="15.75" customHeight="1" x14ac:dyDescent="0.25">
      <c r="E979" s="223"/>
      <c r="F979" s="223"/>
    </row>
    <row r="980" spans="5:6" ht="15.75" customHeight="1" x14ac:dyDescent="0.25">
      <c r="E980" s="223"/>
      <c r="F980" s="223"/>
    </row>
    <row r="981" spans="5:6" ht="15.75" customHeight="1" x14ac:dyDescent="0.25">
      <c r="E981" s="223"/>
      <c r="F981" s="223"/>
    </row>
    <row r="982" spans="5:6" ht="15.75" customHeight="1" x14ac:dyDescent="0.25">
      <c r="E982" s="223"/>
      <c r="F982" s="223"/>
    </row>
    <row r="983" spans="5:6" ht="15.75" customHeight="1" x14ac:dyDescent="0.25">
      <c r="E983" s="223"/>
      <c r="F983" s="223"/>
    </row>
    <row r="984" spans="5:6" ht="15.75" customHeight="1" x14ac:dyDescent="0.25">
      <c r="E984" s="223"/>
      <c r="F984" s="223"/>
    </row>
    <row r="985" spans="5:6" ht="15.75" customHeight="1" x14ac:dyDescent="0.25">
      <c r="E985" s="223"/>
      <c r="F985" s="223"/>
    </row>
    <row r="986" spans="5:6" ht="15.75" customHeight="1" x14ac:dyDescent="0.25">
      <c r="E986" s="223"/>
      <c r="F986" s="223"/>
    </row>
    <row r="987" spans="5:6" ht="15.75" customHeight="1" x14ac:dyDescent="0.25">
      <c r="E987" s="223"/>
      <c r="F987" s="223"/>
    </row>
    <row r="988" spans="5:6" ht="15.75" customHeight="1" x14ac:dyDescent="0.25">
      <c r="E988" s="223"/>
      <c r="F988" s="223"/>
    </row>
    <row r="989" spans="5:6" ht="15.75" customHeight="1" x14ac:dyDescent="0.25">
      <c r="E989" s="223"/>
      <c r="F989" s="223"/>
    </row>
    <row r="990" spans="5:6" ht="15.75" customHeight="1" x14ac:dyDescent="0.25">
      <c r="E990" s="223"/>
      <c r="F990" s="223"/>
    </row>
    <row r="991" spans="5:6" ht="15.75" customHeight="1" x14ac:dyDescent="0.25">
      <c r="E991" s="223"/>
      <c r="F991" s="223"/>
    </row>
    <row r="992" spans="5:6" ht="15.75" customHeight="1" x14ac:dyDescent="0.25">
      <c r="E992" s="223"/>
      <c r="F992" s="223"/>
    </row>
    <row r="993" spans="5:6" ht="15.75" customHeight="1" x14ac:dyDescent="0.25">
      <c r="E993" s="223"/>
      <c r="F993" s="223"/>
    </row>
    <row r="994" spans="5:6" ht="15.75" customHeight="1" x14ac:dyDescent="0.25">
      <c r="E994" s="223"/>
      <c r="F994" s="223"/>
    </row>
    <row r="995" spans="5:6" ht="15.75" customHeight="1" x14ac:dyDescent="0.25">
      <c r="E995" s="223"/>
      <c r="F995" s="223"/>
    </row>
  </sheetData>
  <autoFilter ref="C3:F20" xr:uid="{00000000-0009-0000-0000-00001F000000}"/>
  <dataValidations count="2">
    <dataValidation type="list" allowBlank="1" showInputMessage="1" showErrorMessage="1" prompt="Clique e insira um valor de a lista de itens" sqref="E4:E20" xr:uid="{00000000-0002-0000-1F00-000000000000}">
      <formula1>"AJAJ,AJ-BIBLIOTECONOMIA,TJAA,AJAA,TJAS,AJOJ,AJEC,AJ-INFORMATICA,AJ-DESENVOLVIMENTO,TJ-INFORMÁTICA,AJ-INFRAESTRUTURA,AJ-MEDICINA,AJ-CONTADORIA,AJAE"</formula1>
      <formula2>0</formula2>
    </dataValidation>
    <dataValidation type="list" allowBlank="1" showInputMessage="1" showErrorMessage="1" prompt="Clique e digite um valor da lista de itens" sqref="F4:F20" xr:uid="{00000000-0002-0000-1F00-000001000000}">
      <formula1>"EFETIVO,REQUISITADO,EX. PROVISÓRIO,REMOVIDO,SEM VÍNCULO,VAGO,PROVIDO,A SER PROVIDO,DESLIGADO"</formula1>
      <formula2>0</formula2>
    </dataValidation>
  </dataValidations>
  <pageMargins left="0.51180555555555596" right="0.51180555555555596" top="0.78749999999999998" bottom="0.78749999999999998" header="0.511811023622047" footer="0.511811023622047"/>
  <pageSetup orientation="portrait" horizontalDpi="300" verticalDpi="30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3:Z48"/>
  <sheetViews>
    <sheetView topLeftCell="D1" zoomScale="110" zoomScaleNormal="110" workbookViewId="0">
      <selection activeCell="D20" activeCellId="1" sqref="B9 D20"/>
    </sheetView>
  </sheetViews>
  <sheetFormatPr defaultColWidth="12.6328125" defaultRowHeight="14.25" customHeight="1" x14ac:dyDescent="0.25"/>
  <cols>
    <col min="4" max="4" width="29.90625" customWidth="1"/>
  </cols>
  <sheetData>
    <row r="3" spans="2:8" ht="18.8" customHeight="1" x14ac:dyDescent="0.25">
      <c r="C3" s="212" t="s">
        <v>149</v>
      </c>
      <c r="D3" s="212" t="s">
        <v>150</v>
      </c>
      <c r="E3" s="212" t="s">
        <v>118</v>
      </c>
      <c r="F3" s="212" t="s">
        <v>970</v>
      </c>
      <c r="G3" s="212" t="s">
        <v>1651</v>
      </c>
    </row>
    <row r="4" spans="2:8" ht="14" x14ac:dyDescent="0.3">
      <c r="B4" s="476"/>
      <c r="C4" s="249" t="s">
        <v>2837</v>
      </c>
      <c r="D4" s="468" t="s">
        <v>2838</v>
      </c>
      <c r="E4" s="469" t="s">
        <v>290</v>
      </c>
      <c r="F4" s="502" t="s">
        <v>159</v>
      </c>
      <c r="G4" s="468" t="s">
        <v>2839</v>
      </c>
    </row>
    <row r="5" spans="2:8" ht="14" x14ac:dyDescent="0.3">
      <c r="B5" s="476"/>
      <c r="C5" s="249" t="s">
        <v>2840</v>
      </c>
      <c r="D5" s="468" t="s">
        <v>2841</v>
      </c>
      <c r="E5" s="469" t="s">
        <v>290</v>
      </c>
      <c r="F5" s="502" t="s">
        <v>159</v>
      </c>
      <c r="G5" s="468" t="s">
        <v>2839</v>
      </c>
    </row>
    <row r="6" spans="2:8" ht="14" x14ac:dyDescent="0.3">
      <c r="B6" s="476"/>
      <c r="C6" s="249" t="s">
        <v>2842</v>
      </c>
      <c r="D6" s="468" t="s">
        <v>1323</v>
      </c>
      <c r="E6" s="469" t="s">
        <v>171</v>
      </c>
      <c r="F6" s="502" t="s">
        <v>159</v>
      </c>
      <c r="G6" s="468" t="s">
        <v>2839</v>
      </c>
    </row>
    <row r="7" spans="2:8" ht="14" x14ac:dyDescent="0.3">
      <c r="B7" s="476"/>
      <c r="C7" s="249" t="s">
        <v>2843</v>
      </c>
      <c r="D7" s="468" t="s">
        <v>2844</v>
      </c>
      <c r="E7" s="469" t="s">
        <v>171</v>
      </c>
      <c r="F7" s="502" t="s">
        <v>159</v>
      </c>
      <c r="G7" s="468" t="s">
        <v>2839</v>
      </c>
    </row>
    <row r="8" spans="2:8" ht="14" x14ac:dyDescent="0.3">
      <c r="B8" s="476"/>
      <c r="C8" s="249" t="s">
        <v>2845</v>
      </c>
      <c r="D8" s="468" t="s">
        <v>2846</v>
      </c>
      <c r="E8" s="469" t="s">
        <v>178</v>
      </c>
      <c r="F8" s="502" t="s">
        <v>159</v>
      </c>
      <c r="G8" s="468" t="s">
        <v>2839</v>
      </c>
    </row>
    <row r="9" spans="2:8" ht="14" x14ac:dyDescent="0.3">
      <c r="B9" s="476"/>
      <c r="C9" s="249" t="s">
        <v>2847</v>
      </c>
      <c r="D9" s="468" t="s">
        <v>2848</v>
      </c>
      <c r="E9" s="469" t="s">
        <v>171</v>
      </c>
      <c r="F9" s="502" t="s">
        <v>159</v>
      </c>
      <c r="G9" s="468" t="s">
        <v>2839</v>
      </c>
    </row>
    <row r="10" spans="2:8" ht="14" x14ac:dyDescent="0.3">
      <c r="C10" s="249" t="s">
        <v>2849</v>
      </c>
      <c r="D10" s="468" t="s">
        <v>2850</v>
      </c>
      <c r="E10" s="469" t="s">
        <v>178</v>
      </c>
      <c r="F10" s="502" t="s">
        <v>159</v>
      </c>
      <c r="G10" s="468" t="s">
        <v>2449</v>
      </c>
      <c r="H10" s="16" t="s">
        <v>2450</v>
      </c>
    </row>
    <row r="11" spans="2:8" ht="14" x14ac:dyDescent="0.3">
      <c r="B11" s="476"/>
      <c r="C11" s="249" t="s">
        <v>2851</v>
      </c>
      <c r="D11" s="468" t="s">
        <v>2852</v>
      </c>
      <c r="E11" s="469" t="s">
        <v>178</v>
      </c>
      <c r="F11" s="502" t="s">
        <v>159</v>
      </c>
      <c r="G11" s="468" t="s">
        <v>2839</v>
      </c>
    </row>
    <row r="12" spans="2:8" ht="14" x14ac:dyDescent="0.3">
      <c r="B12" s="477" t="s">
        <v>1853</v>
      </c>
      <c r="C12" s="249" t="s">
        <v>2853</v>
      </c>
      <c r="D12" s="468" t="s">
        <v>2854</v>
      </c>
      <c r="E12" s="469" t="s">
        <v>178</v>
      </c>
      <c r="F12" s="502" t="s">
        <v>164</v>
      </c>
      <c r="G12" s="468" t="s">
        <v>2839</v>
      </c>
    </row>
    <row r="13" spans="2:8" ht="14" x14ac:dyDescent="0.3">
      <c r="B13" s="476"/>
      <c r="C13" s="249" t="s">
        <v>2855</v>
      </c>
      <c r="D13" s="468" t="s">
        <v>2856</v>
      </c>
      <c r="E13" s="469" t="s">
        <v>178</v>
      </c>
      <c r="F13" s="502" t="s">
        <v>159</v>
      </c>
      <c r="G13" s="468" t="s">
        <v>2839</v>
      </c>
    </row>
    <row r="14" spans="2:8" ht="14" x14ac:dyDescent="0.3">
      <c r="C14" s="249" t="s">
        <v>2857</v>
      </c>
      <c r="D14" s="468" t="s">
        <v>2858</v>
      </c>
      <c r="E14" s="469" t="s">
        <v>171</v>
      </c>
      <c r="F14" s="502" t="s">
        <v>159</v>
      </c>
      <c r="G14" s="468" t="s">
        <v>2449</v>
      </c>
      <c r="H14" s="16" t="s">
        <v>2510</v>
      </c>
    </row>
    <row r="15" spans="2:8" ht="14" x14ac:dyDescent="0.3">
      <c r="B15" s="476"/>
      <c r="C15" s="249" t="s">
        <v>2859</v>
      </c>
      <c r="D15" s="468" t="s">
        <v>2860</v>
      </c>
      <c r="E15" s="469" t="s">
        <v>171</v>
      </c>
      <c r="F15" s="502" t="s">
        <v>159</v>
      </c>
      <c r="G15" s="468" t="s">
        <v>2839</v>
      </c>
    </row>
    <row r="16" spans="2:8" ht="14" x14ac:dyDescent="0.3">
      <c r="B16" s="476"/>
      <c r="C16" s="249" t="s">
        <v>2861</v>
      </c>
      <c r="D16" s="468" t="s">
        <v>2862</v>
      </c>
      <c r="E16" s="469" t="s">
        <v>167</v>
      </c>
      <c r="F16" s="502" t="s">
        <v>159</v>
      </c>
      <c r="G16" s="468" t="s">
        <v>2839</v>
      </c>
    </row>
    <row r="17" spans="2:8" ht="14" x14ac:dyDescent="0.3">
      <c r="B17" s="476"/>
      <c r="C17" s="249" t="s">
        <v>2863</v>
      </c>
      <c r="D17" s="468" t="s">
        <v>2864</v>
      </c>
      <c r="E17" s="469" t="s">
        <v>171</v>
      </c>
      <c r="F17" s="502" t="s">
        <v>159</v>
      </c>
      <c r="G17" s="468" t="s">
        <v>2839</v>
      </c>
    </row>
    <row r="18" spans="2:8" ht="14" x14ac:dyDescent="0.3">
      <c r="B18" s="476"/>
      <c r="C18" s="249" t="s">
        <v>2865</v>
      </c>
      <c r="D18" s="468" t="s">
        <v>2866</v>
      </c>
      <c r="E18" s="469" t="s">
        <v>171</v>
      </c>
      <c r="F18" s="502" t="s">
        <v>159</v>
      </c>
      <c r="G18" s="468" t="s">
        <v>2839</v>
      </c>
    </row>
    <row r="19" spans="2:8" ht="14" x14ac:dyDescent="0.3">
      <c r="C19" s="249" t="s">
        <v>2867</v>
      </c>
      <c r="D19" s="468" t="s">
        <v>2868</v>
      </c>
      <c r="E19" s="469" t="s">
        <v>213</v>
      </c>
      <c r="F19" s="502" t="s">
        <v>159</v>
      </c>
      <c r="G19" s="468" t="s">
        <v>2449</v>
      </c>
      <c r="H19" s="16" t="s">
        <v>2467</v>
      </c>
    </row>
    <row r="20" spans="2:8" ht="14" x14ac:dyDescent="0.3">
      <c r="B20" s="476"/>
      <c r="C20" s="249" t="s">
        <v>2869</v>
      </c>
      <c r="D20" s="468" t="s">
        <v>2870</v>
      </c>
      <c r="E20" s="469" t="s">
        <v>213</v>
      </c>
      <c r="F20" s="502" t="s">
        <v>159</v>
      </c>
      <c r="G20" s="468" t="s">
        <v>2839</v>
      </c>
      <c r="H20" s="16"/>
    </row>
    <row r="21" spans="2:8" ht="14" x14ac:dyDescent="0.3">
      <c r="B21" s="476"/>
      <c r="C21" s="249" t="s">
        <v>2871</v>
      </c>
      <c r="D21" s="468" t="s">
        <v>2872</v>
      </c>
      <c r="E21" s="469" t="s">
        <v>171</v>
      </c>
      <c r="F21" s="502" t="s">
        <v>159</v>
      </c>
      <c r="G21" s="468" t="s">
        <v>2839</v>
      </c>
      <c r="H21" s="16"/>
    </row>
    <row r="22" spans="2:8" ht="14" x14ac:dyDescent="0.3">
      <c r="B22" s="476"/>
      <c r="C22" s="249" t="s">
        <v>2873</v>
      </c>
      <c r="D22" s="468" t="s">
        <v>2874</v>
      </c>
      <c r="E22" s="469" t="s">
        <v>178</v>
      </c>
      <c r="F22" s="502" t="s">
        <v>159</v>
      </c>
      <c r="G22" s="468" t="s">
        <v>2839</v>
      </c>
    </row>
    <row r="25" spans="2:8" ht="14" x14ac:dyDescent="0.3">
      <c r="D25" s="16" t="s">
        <v>2875</v>
      </c>
    </row>
    <row r="27" spans="2:8" ht="14" x14ac:dyDescent="0.3">
      <c r="D27" s="16" t="s">
        <v>2876</v>
      </c>
    </row>
    <row r="28" spans="2:8" ht="14" x14ac:dyDescent="0.3">
      <c r="D28" s="16" t="s">
        <v>2877</v>
      </c>
    </row>
    <row r="30" spans="2:8" ht="14" x14ac:dyDescent="0.3">
      <c r="D30" s="515">
        <v>44166</v>
      </c>
    </row>
    <row r="31" spans="2:8" ht="14" x14ac:dyDescent="0.3">
      <c r="D31" s="16" t="s">
        <v>2878</v>
      </c>
    </row>
    <row r="33" spans="1:26" ht="14" x14ac:dyDescent="0.3">
      <c r="D33" s="515">
        <v>44317</v>
      </c>
    </row>
    <row r="34" spans="1:26" ht="14" x14ac:dyDescent="0.3">
      <c r="A34" s="547"/>
      <c r="B34" s="547"/>
      <c r="C34" s="547"/>
      <c r="D34" s="547" t="s">
        <v>2879</v>
      </c>
      <c r="E34" s="547"/>
      <c r="F34" s="547"/>
      <c r="G34" s="547"/>
      <c r="H34" s="547"/>
      <c r="I34" s="547"/>
      <c r="J34" s="547"/>
      <c r="K34" s="547"/>
      <c r="L34" s="547"/>
      <c r="M34" s="547"/>
      <c r="N34" s="547"/>
      <c r="O34" s="547"/>
      <c r="P34" s="547"/>
      <c r="Q34" s="547"/>
      <c r="R34" s="547"/>
      <c r="S34" s="547"/>
      <c r="T34" s="547"/>
      <c r="U34" s="547"/>
      <c r="V34" s="547"/>
      <c r="W34" s="547"/>
      <c r="X34" s="547"/>
      <c r="Y34" s="547"/>
      <c r="Z34" s="547"/>
    </row>
    <row r="36" spans="1:26" ht="14" x14ac:dyDescent="0.3">
      <c r="D36" s="515">
        <v>44501</v>
      </c>
    </row>
    <row r="37" spans="1:26" ht="14" x14ac:dyDescent="0.3">
      <c r="D37" s="547" t="s">
        <v>2880</v>
      </c>
    </row>
    <row r="39" spans="1:26" ht="14" x14ac:dyDescent="0.3">
      <c r="D39" s="515">
        <v>44562</v>
      </c>
    </row>
    <row r="40" spans="1:26" ht="14" x14ac:dyDescent="0.3">
      <c r="D40" s="16" t="s">
        <v>2881</v>
      </c>
    </row>
    <row r="41" spans="1:26" ht="14" x14ac:dyDescent="0.3">
      <c r="D41" s="16" t="s">
        <v>2882</v>
      </c>
    </row>
    <row r="42" spans="1:26" ht="14" x14ac:dyDescent="0.3">
      <c r="D42" s="16" t="s">
        <v>2883</v>
      </c>
    </row>
    <row r="43" spans="1:26" ht="14" x14ac:dyDescent="0.3">
      <c r="D43" s="16" t="s">
        <v>2884</v>
      </c>
    </row>
    <row r="44" spans="1:26" ht="14" x14ac:dyDescent="0.3">
      <c r="D44" s="16" t="s">
        <v>2885</v>
      </c>
    </row>
    <row r="45" spans="1:26" ht="14" x14ac:dyDescent="0.3">
      <c r="D45" s="547" t="s">
        <v>2886</v>
      </c>
      <c r="E45" s="547"/>
      <c r="F45" s="547"/>
      <c r="G45" s="547"/>
      <c r="H45" s="547"/>
    </row>
    <row r="47" spans="1:26" ht="14" x14ac:dyDescent="0.3">
      <c r="D47" s="515">
        <v>44743</v>
      </c>
    </row>
    <row r="48" spans="1:26" ht="14" x14ac:dyDescent="0.3">
      <c r="D48" s="547" t="s">
        <v>2887</v>
      </c>
    </row>
  </sheetData>
  <autoFilter ref="C3:G22" xr:uid="{00000000-0009-0000-0000-000020000000}"/>
  <dataValidations count="2">
    <dataValidation type="list" allowBlank="1" showInputMessage="1" showErrorMessage="1" prompt="Clique e insira um valor de a lista de itens" sqref="E4:E22" xr:uid="{00000000-0002-0000-2000-000000000000}">
      <formula1>"AJAJ,AJ-BIBLIOTECONOMIA,TJAA,AJAA,TJAS,AJOJ,AJEC,AJ-INFORMATICA,AJ-DESENVOLVIMENTO,TJ-INFORMÁTICA,AJ-INFRAESTRUTURA,AJ-MEDICINA,AJ-CONTADORIA,AJAE"</formula1>
      <formula2>0</formula2>
    </dataValidation>
    <dataValidation type="list" allowBlank="1" showInputMessage="1" showErrorMessage="1" prompt="Clique e insira um valor de a lista de itens" sqref="F4:F22" xr:uid="{00000000-0002-0000-2000-000001000000}">
      <formula1>"EFETIVO,REQUISITADO,EX. PROVISÓRIO,REMOVIDO,SEM VÍNCULO,VAGO,PROVIDO,A SER PROVIDO"</formula1>
      <formula2>0</formula2>
    </dataValidation>
  </dataValidations>
  <pageMargins left="0.51180555555555596" right="0.51180555555555596" top="0.78749999999999998" bottom="0.78749999999999998" header="0.511811023622047" footer="0.511811023622047"/>
  <pageSetup orientation="landscape" horizontalDpi="300" verticalDpi="300"/>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filterMode="1"/>
  <dimension ref="A3:AA55"/>
  <sheetViews>
    <sheetView topLeftCell="D1" zoomScale="110" zoomScaleNormal="110" workbookViewId="0">
      <selection activeCell="D4" activeCellId="1" sqref="B9 D4"/>
    </sheetView>
  </sheetViews>
  <sheetFormatPr defaultColWidth="12.6328125" defaultRowHeight="14.25" customHeight="1" x14ac:dyDescent="0.25"/>
  <cols>
    <col min="4" max="4" width="35.90625" customWidth="1"/>
  </cols>
  <sheetData>
    <row r="3" spans="2:8" ht="24.05" customHeight="1" x14ac:dyDescent="0.25">
      <c r="C3" s="212" t="s">
        <v>149</v>
      </c>
      <c r="D3" s="212" t="s">
        <v>150</v>
      </c>
      <c r="E3" s="212" t="s">
        <v>118</v>
      </c>
      <c r="F3" s="212" t="s">
        <v>970</v>
      </c>
      <c r="G3" s="212" t="s">
        <v>1651</v>
      </c>
    </row>
    <row r="4" spans="2:8" ht="14" x14ac:dyDescent="0.3">
      <c r="B4" s="479"/>
      <c r="C4" s="249" t="s">
        <v>2888</v>
      </c>
      <c r="D4" s="468" t="s">
        <v>2889</v>
      </c>
      <c r="E4" s="469" t="s">
        <v>171</v>
      </c>
      <c r="F4" s="502" t="s">
        <v>168</v>
      </c>
      <c r="G4" s="468" t="s">
        <v>2890</v>
      </c>
    </row>
    <row r="5" spans="2:8" ht="14" x14ac:dyDescent="0.3">
      <c r="B5" s="479"/>
      <c r="C5" s="249" t="s">
        <v>2891</v>
      </c>
      <c r="D5" s="468" t="s">
        <v>2892</v>
      </c>
      <c r="E5" s="469" t="s">
        <v>213</v>
      </c>
      <c r="F5" s="502" t="s">
        <v>168</v>
      </c>
      <c r="G5" s="468" t="s">
        <v>2890</v>
      </c>
    </row>
    <row r="6" spans="2:8" ht="14" x14ac:dyDescent="0.3">
      <c r="B6" s="479"/>
      <c r="C6" s="249" t="s">
        <v>2893</v>
      </c>
      <c r="D6" s="468" t="s">
        <v>1328</v>
      </c>
      <c r="E6" s="469" t="s">
        <v>178</v>
      </c>
      <c r="F6" s="502" t="s">
        <v>159</v>
      </c>
      <c r="G6" s="468" t="s">
        <v>2890</v>
      </c>
      <c r="H6" s="16"/>
    </row>
    <row r="7" spans="2:8" ht="15.05" hidden="1" customHeight="1" x14ac:dyDescent="0.3">
      <c r="C7" s="249" t="s">
        <v>2894</v>
      </c>
      <c r="D7" s="468" t="s">
        <v>2895</v>
      </c>
      <c r="E7" s="469" t="s">
        <v>290</v>
      </c>
      <c r="F7" s="469" t="s">
        <v>159</v>
      </c>
      <c r="G7" s="469" t="s">
        <v>2896</v>
      </c>
    </row>
    <row r="8" spans="2:8" ht="14" x14ac:dyDescent="0.3">
      <c r="B8" s="479"/>
      <c r="C8" s="249" t="s">
        <v>2897</v>
      </c>
      <c r="D8" s="468" t="s">
        <v>2898</v>
      </c>
      <c r="E8" s="469" t="s">
        <v>290</v>
      </c>
      <c r="F8" s="502" t="s">
        <v>159</v>
      </c>
      <c r="G8" s="468" t="s">
        <v>2890</v>
      </c>
    </row>
    <row r="9" spans="2:8" ht="14" x14ac:dyDescent="0.3">
      <c r="B9" s="479"/>
      <c r="C9" s="249" t="s">
        <v>2899</v>
      </c>
      <c r="D9" s="468" t="s">
        <v>2900</v>
      </c>
      <c r="E9" s="469" t="s">
        <v>171</v>
      </c>
      <c r="F9" s="502" t="s">
        <v>159</v>
      </c>
      <c r="G9" s="468" t="s">
        <v>2890</v>
      </c>
    </row>
    <row r="10" spans="2:8" ht="14" x14ac:dyDescent="0.3">
      <c r="B10" s="479"/>
      <c r="C10" s="249" t="s">
        <v>2901</v>
      </c>
      <c r="D10" s="468" t="s">
        <v>2902</v>
      </c>
      <c r="E10" s="469" t="s">
        <v>178</v>
      </c>
      <c r="F10" s="502" t="s">
        <v>159</v>
      </c>
      <c r="G10" s="468" t="s">
        <v>2890</v>
      </c>
    </row>
    <row r="11" spans="2:8" ht="14" x14ac:dyDescent="0.3">
      <c r="B11" s="479"/>
      <c r="C11" s="249" t="s">
        <v>2903</v>
      </c>
      <c r="D11" s="468" t="s">
        <v>2904</v>
      </c>
      <c r="E11" s="469" t="s">
        <v>167</v>
      </c>
      <c r="F11" s="502" t="s">
        <v>159</v>
      </c>
      <c r="G11" s="468" t="s">
        <v>2890</v>
      </c>
    </row>
    <row r="12" spans="2:8" ht="14" x14ac:dyDescent="0.3">
      <c r="B12" s="479"/>
      <c r="C12" s="249" t="s">
        <v>2905</v>
      </c>
      <c r="D12" s="468" t="s">
        <v>2906</v>
      </c>
      <c r="E12" s="469" t="s">
        <v>171</v>
      </c>
      <c r="F12" s="502" t="s">
        <v>159</v>
      </c>
      <c r="G12" s="468" t="s">
        <v>2890</v>
      </c>
    </row>
    <row r="13" spans="2:8" ht="15.05" customHeight="1" x14ac:dyDescent="0.3">
      <c r="C13" s="249" t="s">
        <v>2907</v>
      </c>
      <c r="D13" s="468" t="s">
        <v>2908</v>
      </c>
      <c r="E13" s="469" t="s">
        <v>171</v>
      </c>
      <c r="F13" s="502" t="s">
        <v>159</v>
      </c>
      <c r="G13" s="468" t="s">
        <v>2890</v>
      </c>
      <c r="H13" s="16"/>
    </row>
    <row r="14" spans="2:8" ht="14" hidden="1" x14ac:dyDescent="0.3">
      <c r="C14" s="249" t="s">
        <v>2909</v>
      </c>
      <c r="D14" s="468" t="s">
        <v>2910</v>
      </c>
      <c r="E14" s="469" t="s">
        <v>171</v>
      </c>
      <c r="F14" s="502" t="s">
        <v>159</v>
      </c>
      <c r="G14" s="468" t="s">
        <v>2449</v>
      </c>
      <c r="H14" s="16" t="s">
        <v>2467</v>
      </c>
    </row>
    <row r="15" spans="2:8" ht="14" x14ac:dyDescent="0.3">
      <c r="B15" s="479"/>
      <c r="C15" s="249" t="s">
        <v>2911</v>
      </c>
      <c r="D15" s="468" t="s">
        <v>2912</v>
      </c>
      <c r="E15" s="469" t="s">
        <v>178</v>
      </c>
      <c r="F15" s="502" t="s">
        <v>159</v>
      </c>
      <c r="G15" s="468" t="s">
        <v>2890</v>
      </c>
      <c r="H15" s="16"/>
    </row>
    <row r="16" spans="2:8" ht="14" x14ac:dyDescent="0.3">
      <c r="C16" s="249" t="s">
        <v>2913</v>
      </c>
      <c r="D16" s="468" t="s">
        <v>2914</v>
      </c>
      <c r="E16" s="469" t="s">
        <v>213</v>
      </c>
      <c r="F16" s="502" t="s">
        <v>159</v>
      </c>
      <c r="G16" s="468" t="s">
        <v>2890</v>
      </c>
      <c r="H16" s="16"/>
    </row>
    <row r="17" spans="1:27" ht="14" x14ac:dyDescent="0.3">
      <c r="B17" s="479"/>
      <c r="C17" s="249" t="s">
        <v>2915</v>
      </c>
      <c r="D17" s="468" t="s">
        <v>2916</v>
      </c>
      <c r="E17" s="469" t="s">
        <v>171</v>
      </c>
      <c r="F17" s="502" t="s">
        <v>159</v>
      </c>
      <c r="G17" s="468" t="s">
        <v>2890</v>
      </c>
    </row>
    <row r="18" spans="1:27" ht="14" x14ac:dyDescent="0.3">
      <c r="B18" s="479" t="s">
        <v>1853</v>
      </c>
      <c r="C18" s="249" t="s">
        <v>2917</v>
      </c>
      <c r="D18" s="468" t="s">
        <v>2918</v>
      </c>
      <c r="E18" s="469"/>
      <c r="F18" s="502" t="s">
        <v>2132</v>
      </c>
      <c r="G18" s="468" t="s">
        <v>2890</v>
      </c>
    </row>
    <row r="19" spans="1:27" ht="14" x14ac:dyDescent="0.3">
      <c r="C19" s="249" t="s">
        <v>2919</v>
      </c>
      <c r="D19" s="468" t="s">
        <v>2920</v>
      </c>
      <c r="E19" s="469" t="s">
        <v>178</v>
      </c>
      <c r="F19" s="502" t="s">
        <v>159</v>
      </c>
      <c r="G19" s="468" t="s">
        <v>2890</v>
      </c>
    </row>
    <row r="20" spans="1:27" ht="15.05" customHeight="1" x14ac:dyDescent="0.3">
      <c r="C20" s="249" t="s">
        <v>2921</v>
      </c>
      <c r="D20" s="468" t="s">
        <v>1937</v>
      </c>
      <c r="E20" s="469" t="s">
        <v>171</v>
      </c>
      <c r="F20" s="502" t="s">
        <v>159</v>
      </c>
      <c r="G20" s="468" t="s">
        <v>2890</v>
      </c>
    </row>
    <row r="21" spans="1:27" ht="14" x14ac:dyDescent="0.3">
      <c r="C21" s="249" t="s">
        <v>2922</v>
      </c>
      <c r="D21" s="468" t="s">
        <v>2923</v>
      </c>
      <c r="E21" s="469" t="s">
        <v>171</v>
      </c>
      <c r="F21" s="502" t="s">
        <v>159</v>
      </c>
      <c r="G21" s="468" t="s">
        <v>2890</v>
      </c>
    </row>
    <row r="23" spans="1:27" ht="14" x14ac:dyDescent="0.3">
      <c r="C23" s="507">
        <v>44317</v>
      </c>
    </row>
    <row r="24" spans="1:27" ht="14" x14ac:dyDescent="0.3">
      <c r="A24" s="547"/>
      <c r="B24" s="547"/>
      <c r="C24" s="547" t="s">
        <v>2924</v>
      </c>
      <c r="D24" s="547"/>
      <c r="E24" s="547"/>
      <c r="F24" s="547"/>
      <c r="G24" s="547"/>
      <c r="H24" s="547"/>
      <c r="I24" s="547"/>
      <c r="J24" s="547"/>
      <c r="K24" s="547"/>
      <c r="L24" s="547"/>
      <c r="M24" s="547"/>
      <c r="N24" s="547"/>
      <c r="O24" s="547"/>
      <c r="P24" s="547"/>
      <c r="Q24" s="547"/>
      <c r="R24" s="547"/>
      <c r="S24" s="547"/>
      <c r="T24" s="547"/>
      <c r="U24" s="547"/>
      <c r="V24" s="547"/>
      <c r="W24" s="547"/>
      <c r="X24" s="547"/>
      <c r="Y24" s="547"/>
      <c r="Z24" s="547"/>
      <c r="AA24" s="547"/>
    </row>
    <row r="26" spans="1:27" ht="14" x14ac:dyDescent="0.3">
      <c r="C26" s="507">
        <v>44562</v>
      </c>
    </row>
    <row r="27" spans="1:27" ht="14" x14ac:dyDescent="0.3">
      <c r="C27" s="16" t="s">
        <v>2925</v>
      </c>
    </row>
    <row r="28" spans="1:27" ht="14" x14ac:dyDescent="0.3">
      <c r="C28" s="16" t="s">
        <v>2926</v>
      </c>
    </row>
    <row r="29" spans="1:27" ht="14" x14ac:dyDescent="0.3">
      <c r="C29" s="16" t="s">
        <v>2927</v>
      </c>
    </row>
    <row r="30" spans="1:27" ht="14" x14ac:dyDescent="0.3">
      <c r="C30" s="16" t="s">
        <v>2928</v>
      </c>
    </row>
    <row r="31" spans="1:27" ht="14" x14ac:dyDescent="0.3">
      <c r="C31" s="16" t="s">
        <v>2929</v>
      </c>
    </row>
    <row r="33" spans="3:3" ht="14" x14ac:dyDescent="0.3">
      <c r="C33" s="507">
        <v>44682</v>
      </c>
    </row>
    <row r="34" spans="3:3" ht="188.1" x14ac:dyDescent="0.25">
      <c r="C34" s="479" t="s">
        <v>2930</v>
      </c>
    </row>
    <row r="35" spans="3:3" ht="120.9" x14ac:dyDescent="0.25">
      <c r="C35" s="479" t="s">
        <v>2931</v>
      </c>
    </row>
    <row r="37" spans="3:3" ht="13.45" x14ac:dyDescent="0.25">
      <c r="C37" s="508">
        <v>44774</v>
      </c>
    </row>
    <row r="38" spans="3:3" ht="161.19999999999999" x14ac:dyDescent="0.25">
      <c r="C38" s="479" t="s">
        <v>2932</v>
      </c>
    </row>
    <row r="40" spans="3:3" ht="13.45" x14ac:dyDescent="0.25">
      <c r="C40" s="337">
        <v>45078</v>
      </c>
    </row>
    <row r="41" spans="3:3" ht="67.2" x14ac:dyDescent="0.25">
      <c r="C41" s="479" t="s">
        <v>2933</v>
      </c>
    </row>
    <row r="42" spans="3:3" ht="67.2" x14ac:dyDescent="0.25">
      <c r="C42" s="479" t="s">
        <v>2934</v>
      </c>
    </row>
    <row r="44" spans="3:3" ht="13.45" x14ac:dyDescent="0.25">
      <c r="C44" s="337">
        <v>45108</v>
      </c>
    </row>
    <row r="45" spans="3:3" ht="67.2" x14ac:dyDescent="0.25">
      <c r="C45" s="479" t="s">
        <v>2935</v>
      </c>
    </row>
    <row r="46" spans="3:3" ht="53.75" x14ac:dyDescent="0.25">
      <c r="C46" s="479" t="s">
        <v>2936</v>
      </c>
    </row>
    <row r="47" spans="3:3" ht="53.75" x14ac:dyDescent="0.25">
      <c r="C47" s="479" t="s">
        <v>2937</v>
      </c>
    </row>
    <row r="48" spans="3:3" ht="53.75" x14ac:dyDescent="0.25">
      <c r="C48" s="479" t="s">
        <v>2938</v>
      </c>
    </row>
    <row r="49" spans="3:3" ht="40.299999999999997" x14ac:dyDescent="0.25">
      <c r="C49" s="479" t="s">
        <v>2939</v>
      </c>
    </row>
    <row r="51" spans="3:3" ht="13.45" x14ac:dyDescent="0.25">
      <c r="C51" s="337">
        <v>45139</v>
      </c>
    </row>
    <row r="52" spans="3:3" ht="53.75" x14ac:dyDescent="0.25">
      <c r="C52" s="479" t="s">
        <v>2940</v>
      </c>
    </row>
    <row r="53" spans="3:3" ht="53.75" x14ac:dyDescent="0.25">
      <c r="C53" s="479" t="s">
        <v>2941</v>
      </c>
    </row>
    <row r="54" spans="3:3" ht="67.2" x14ac:dyDescent="0.25">
      <c r="C54" s="479" t="s">
        <v>2942</v>
      </c>
    </row>
    <row r="55" spans="3:3" ht="67.2" x14ac:dyDescent="0.25">
      <c r="C55" s="479" t="s">
        <v>2943</v>
      </c>
    </row>
  </sheetData>
  <autoFilter ref="C3:G21" xr:uid="{00000000-0009-0000-0000-000021000000}">
    <filterColumn colId="4">
      <filters>
        <filter val="23ªVARA"/>
      </filters>
    </filterColumn>
  </autoFilter>
  <dataValidations count="2">
    <dataValidation type="list" allowBlank="1" showInputMessage="1" showErrorMessage="1" prompt="Clique e insira um valor de a lista de itens" sqref="E4:E6 E8:E21" xr:uid="{00000000-0002-0000-2100-000000000000}">
      <formula1>"AJAJ,AJ-BIBLIOTECONOMIA,TJAA,AJAA,TJAS,AJOJ,AJEC,AJ-INFORMATICA,AJ-DESENVOLVIMENTO,TJ-INFORMÁTICA,AJ-INFRAESTRUTURA,AJ-MEDICINA,AJ-CONTADORIA,AJAE"</formula1>
      <formula2>0</formula2>
    </dataValidation>
    <dataValidation type="list" allowBlank="1" showInputMessage="1" showErrorMessage="1" prompt="Clique e insira um valor de a lista de itens" sqref="F4:F6 F8:F21" xr:uid="{00000000-0002-0000-2100-000001000000}">
      <formula1>"EFETIVO,REQUISITADO,EX. PROVISÓRIO,REMOVIDO,SEM VÍNCULO,VAGO,PROVIDO,A SER PROVIDO"</formula1>
      <formula2>0</formula2>
    </dataValidation>
  </dataValidations>
  <pageMargins left="0.51180555555555596" right="0.51180555555555596" top="0.78749999999999998" bottom="0.78749999999999998" header="0.511811023622047" footer="0.511811023622047"/>
  <pageSetup orientation="landscape" horizontalDpi="300" verticalDpi="300"/>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B3:I1048576"/>
  <sheetViews>
    <sheetView topLeftCell="B12" zoomScale="110" zoomScaleNormal="110" workbookViewId="0">
      <selection activeCell="F23" activeCellId="1" sqref="B9 F23"/>
    </sheetView>
  </sheetViews>
  <sheetFormatPr defaultColWidth="12.6328125" defaultRowHeight="14.25" customHeight="1" x14ac:dyDescent="0.25"/>
  <cols>
    <col min="4" max="4" width="32.90625" customWidth="1"/>
  </cols>
  <sheetData>
    <row r="3" spans="2:8" ht="15.05" customHeight="1" x14ac:dyDescent="0.3">
      <c r="C3" s="249" t="s">
        <v>149</v>
      </c>
      <c r="D3" s="249" t="s">
        <v>150</v>
      </c>
      <c r="E3" s="249" t="s">
        <v>118</v>
      </c>
      <c r="F3" s="249" t="s">
        <v>970</v>
      </c>
      <c r="G3" s="249" t="s">
        <v>1651</v>
      </c>
    </row>
    <row r="4" spans="2:8" ht="15.05" customHeight="1" x14ac:dyDescent="0.3">
      <c r="C4" s="249" t="s">
        <v>2944</v>
      </c>
      <c r="D4" s="468" t="s">
        <v>2945</v>
      </c>
      <c r="E4" s="469" t="s">
        <v>171</v>
      </c>
      <c r="F4" s="469" t="s">
        <v>159</v>
      </c>
      <c r="G4" s="469" t="s">
        <v>2896</v>
      </c>
    </row>
    <row r="5" spans="2:8" ht="15.05" customHeight="1" x14ac:dyDescent="0.3">
      <c r="C5" s="249" t="s">
        <v>2946</v>
      </c>
      <c r="D5" s="468" t="s">
        <v>2947</v>
      </c>
      <c r="E5" s="469" t="s">
        <v>290</v>
      </c>
      <c r="F5" s="469" t="s">
        <v>159</v>
      </c>
      <c r="G5" s="469" t="s">
        <v>2896</v>
      </c>
    </row>
    <row r="6" spans="2:8" ht="15.05" customHeight="1" x14ac:dyDescent="0.3">
      <c r="C6" s="249" t="s">
        <v>2948</v>
      </c>
      <c r="D6" s="468" t="s">
        <v>2949</v>
      </c>
      <c r="E6" s="469" t="s">
        <v>171</v>
      </c>
      <c r="F6" s="469" t="s">
        <v>159</v>
      </c>
      <c r="G6" s="469" t="s">
        <v>2896</v>
      </c>
      <c r="H6" s="16" t="s">
        <v>2950</v>
      </c>
    </row>
    <row r="7" spans="2:8" ht="15.05" customHeight="1" x14ac:dyDescent="0.3">
      <c r="C7" s="249" t="s">
        <v>2951</v>
      </c>
      <c r="D7" s="468" t="s">
        <v>2952</v>
      </c>
      <c r="E7" s="469" t="s">
        <v>178</v>
      </c>
      <c r="F7" s="469" t="s">
        <v>159</v>
      </c>
      <c r="G7" s="469" t="s">
        <v>2896</v>
      </c>
    </row>
    <row r="8" spans="2:8" ht="15.05" customHeight="1" x14ac:dyDescent="0.3">
      <c r="C8" s="249" t="s">
        <v>1934</v>
      </c>
      <c r="D8" s="468" t="s">
        <v>2953</v>
      </c>
      <c r="E8" s="469" t="s">
        <v>171</v>
      </c>
      <c r="F8" s="469" t="s">
        <v>159</v>
      </c>
      <c r="G8" s="469" t="s">
        <v>2896</v>
      </c>
      <c r="H8" s="16"/>
    </row>
    <row r="9" spans="2:8" ht="15.05" customHeight="1" x14ac:dyDescent="0.3">
      <c r="C9" s="249" t="s">
        <v>2954</v>
      </c>
      <c r="D9" s="468" t="s">
        <v>2955</v>
      </c>
      <c r="E9" s="469" t="s">
        <v>213</v>
      </c>
      <c r="F9" s="469" t="s">
        <v>159</v>
      </c>
      <c r="G9" s="469" t="s">
        <v>2896</v>
      </c>
    </row>
    <row r="10" spans="2:8" ht="15.05" customHeight="1" x14ac:dyDescent="0.3">
      <c r="C10" s="249" t="s">
        <v>2956</v>
      </c>
      <c r="D10" s="468" t="s">
        <v>2957</v>
      </c>
      <c r="E10" s="469" t="s">
        <v>171</v>
      </c>
      <c r="F10" s="469" t="s">
        <v>159</v>
      </c>
      <c r="G10" s="469" t="s">
        <v>2896</v>
      </c>
    </row>
    <row r="11" spans="2:8" ht="15.05" customHeight="1" x14ac:dyDescent="0.3">
      <c r="C11" s="249" t="s">
        <v>2958</v>
      </c>
      <c r="D11" s="468" t="s">
        <v>2959</v>
      </c>
      <c r="E11" s="469" t="s">
        <v>178</v>
      </c>
      <c r="F11" s="469" t="s">
        <v>168</v>
      </c>
      <c r="G11" s="469" t="s">
        <v>2896</v>
      </c>
    </row>
    <row r="12" spans="2:8" ht="15.05" customHeight="1" x14ac:dyDescent="0.3">
      <c r="C12" s="249" t="s">
        <v>2960</v>
      </c>
      <c r="D12" s="468" t="s">
        <v>2961</v>
      </c>
      <c r="E12" s="469" t="s">
        <v>213</v>
      </c>
      <c r="F12" s="469" t="s">
        <v>159</v>
      </c>
      <c r="G12" s="469" t="s">
        <v>2896</v>
      </c>
      <c r="H12" s="16" t="s">
        <v>2467</v>
      </c>
    </row>
    <row r="13" spans="2:8" ht="15.05" customHeight="1" x14ac:dyDescent="0.3">
      <c r="C13" s="249" t="s">
        <v>2962</v>
      </c>
      <c r="D13" s="468" t="s">
        <v>2963</v>
      </c>
      <c r="E13" s="469" t="s">
        <v>178</v>
      </c>
      <c r="F13" s="469" t="s">
        <v>159</v>
      </c>
      <c r="G13" s="469" t="s">
        <v>2896</v>
      </c>
      <c r="H13" s="16"/>
    </row>
    <row r="14" spans="2:8" ht="15.05" customHeight="1" x14ac:dyDescent="0.3">
      <c r="B14" s="479" t="s">
        <v>1853</v>
      </c>
      <c r="C14" s="249" t="s">
        <v>2964</v>
      </c>
      <c r="D14" s="468" t="s">
        <v>2965</v>
      </c>
      <c r="E14" s="469"/>
      <c r="F14" s="469" t="s">
        <v>2132</v>
      </c>
      <c r="G14" s="469" t="s">
        <v>2896</v>
      </c>
    </row>
    <row r="15" spans="2:8" ht="15.05" customHeight="1" x14ac:dyDescent="0.3">
      <c r="C15" s="249" t="s">
        <v>2966</v>
      </c>
      <c r="D15" s="468" t="s">
        <v>2967</v>
      </c>
      <c r="E15" s="469" t="s">
        <v>178</v>
      </c>
      <c r="F15" s="469" t="s">
        <v>159</v>
      </c>
      <c r="G15" s="469" t="s">
        <v>2896</v>
      </c>
      <c r="H15" s="16"/>
    </row>
    <row r="16" spans="2:8" ht="15.05" customHeight="1" x14ac:dyDescent="0.3">
      <c r="C16" s="249" t="s">
        <v>2968</v>
      </c>
      <c r="D16" s="468" t="s">
        <v>2969</v>
      </c>
      <c r="E16" s="469" t="s">
        <v>171</v>
      </c>
      <c r="F16" s="469" t="s">
        <v>159</v>
      </c>
      <c r="G16" s="469" t="s">
        <v>2896</v>
      </c>
      <c r="H16" s="16"/>
    </row>
    <row r="17" spans="3:8" ht="15.05" customHeight="1" x14ac:dyDescent="0.3">
      <c r="C17" s="249" t="s">
        <v>2970</v>
      </c>
      <c r="D17" s="468" t="s">
        <v>2971</v>
      </c>
      <c r="E17" s="469" t="s">
        <v>171</v>
      </c>
      <c r="F17" s="469" t="s">
        <v>159</v>
      </c>
      <c r="G17" s="469" t="s">
        <v>2896</v>
      </c>
      <c r="H17" s="16"/>
    </row>
    <row r="18" spans="3:8" ht="15.05" customHeight="1" x14ac:dyDescent="0.3">
      <c r="C18" s="249" t="s">
        <v>2972</v>
      </c>
      <c r="D18" s="468" t="s">
        <v>2973</v>
      </c>
      <c r="E18" s="469" t="s">
        <v>171</v>
      </c>
      <c r="F18" s="469" t="s">
        <v>159</v>
      </c>
      <c r="G18" s="469" t="s">
        <v>2896</v>
      </c>
      <c r="H18" s="16"/>
    </row>
    <row r="19" spans="3:8" ht="15.05" customHeight="1" x14ac:dyDescent="0.3">
      <c r="C19" s="249" t="s">
        <v>2974</v>
      </c>
      <c r="D19" s="468" t="s">
        <v>1290</v>
      </c>
      <c r="E19" s="469" t="s">
        <v>171</v>
      </c>
      <c r="F19" s="469" t="s">
        <v>159</v>
      </c>
      <c r="G19" s="469" t="s">
        <v>2896</v>
      </c>
      <c r="H19" s="16"/>
    </row>
    <row r="20" spans="3:8" ht="15.05" customHeight="1" x14ac:dyDescent="0.3">
      <c r="C20" s="249" t="s">
        <v>2975</v>
      </c>
      <c r="D20" s="468" t="s">
        <v>1508</v>
      </c>
      <c r="E20" s="469" t="s">
        <v>167</v>
      </c>
      <c r="F20" s="469" t="s">
        <v>159</v>
      </c>
      <c r="G20" s="469" t="s">
        <v>2896</v>
      </c>
      <c r="H20" s="16"/>
    </row>
    <row r="21" spans="3:8" ht="15.05" customHeight="1" x14ac:dyDescent="0.3">
      <c r="C21" s="249" t="s">
        <v>2976</v>
      </c>
      <c r="D21" s="468" t="s">
        <v>1517</v>
      </c>
      <c r="E21" s="469" t="s">
        <v>290</v>
      </c>
      <c r="F21" s="469" t="s">
        <v>159</v>
      </c>
      <c r="G21" s="469" t="s">
        <v>2896</v>
      </c>
      <c r="H21" s="16" t="s">
        <v>2977</v>
      </c>
    </row>
    <row r="24" spans="3:8" ht="15.05" customHeight="1" x14ac:dyDescent="0.3">
      <c r="D24" s="16" t="s">
        <v>2978</v>
      </c>
    </row>
    <row r="25" spans="3:8" ht="15.05" customHeight="1" x14ac:dyDescent="0.3">
      <c r="D25" s="170" t="s">
        <v>2979</v>
      </c>
    </row>
    <row r="27" spans="3:8" ht="15.05" customHeight="1" x14ac:dyDescent="0.3">
      <c r="D27" s="16" t="s">
        <v>870</v>
      </c>
    </row>
    <row r="28" spans="3:8" ht="15.05" customHeight="1" x14ac:dyDescent="0.3">
      <c r="D28" s="16" t="s">
        <v>2980</v>
      </c>
    </row>
    <row r="29" spans="3:8" ht="15.05" customHeight="1" x14ac:dyDescent="0.3">
      <c r="D29" s="16" t="s">
        <v>2981</v>
      </c>
    </row>
    <row r="30" spans="3:8" ht="15.05" customHeight="1" x14ac:dyDescent="0.3">
      <c r="D30" s="16" t="s">
        <v>2982</v>
      </c>
    </row>
    <row r="31" spans="3:8" ht="15.05" customHeight="1" x14ac:dyDescent="0.3">
      <c r="D31" s="16" t="s">
        <v>2983</v>
      </c>
    </row>
    <row r="32" spans="3:8" ht="15.05" customHeight="1" x14ac:dyDescent="0.3">
      <c r="D32" s="16" t="s">
        <v>2984</v>
      </c>
    </row>
    <row r="34" spans="4:4" ht="15.05" customHeight="1" x14ac:dyDescent="0.3">
      <c r="D34" s="16" t="s">
        <v>901</v>
      </c>
    </row>
    <row r="35" spans="4:4" ht="53.75" x14ac:dyDescent="0.25">
      <c r="D35" s="479" t="s">
        <v>2985</v>
      </c>
    </row>
    <row r="37" spans="4:4" ht="13.45" x14ac:dyDescent="0.25">
      <c r="D37" t="s">
        <v>2986</v>
      </c>
    </row>
    <row r="39" spans="4:4" ht="13.45" x14ac:dyDescent="0.25">
      <c r="D39" s="523"/>
    </row>
    <row r="40" spans="4:4" ht="13.45" x14ac:dyDescent="0.25">
      <c r="D40" s="523">
        <v>44958</v>
      </c>
    </row>
    <row r="41" spans="4:4" ht="13.45" x14ac:dyDescent="0.25">
      <c r="D41" s="550" t="s">
        <v>2987</v>
      </c>
    </row>
    <row r="42" spans="4:4" ht="13.45" x14ac:dyDescent="0.25">
      <c r="D42" s="523"/>
    </row>
    <row r="43" spans="4:4" ht="13.45" x14ac:dyDescent="0.25">
      <c r="D43" s="523">
        <v>45078</v>
      </c>
    </row>
    <row r="44" spans="4:4" ht="40.299999999999997" x14ac:dyDescent="0.25">
      <c r="D44" s="479" t="s">
        <v>2988</v>
      </c>
    </row>
    <row r="45" spans="4:4" ht="26.9" x14ac:dyDescent="0.25">
      <c r="D45" s="479" t="s">
        <v>2989</v>
      </c>
    </row>
    <row r="46" spans="4:4" ht="26.9" x14ac:dyDescent="0.25">
      <c r="D46" s="479" t="s">
        <v>2990</v>
      </c>
    </row>
    <row r="47" spans="4:4" ht="26.9" x14ac:dyDescent="0.25">
      <c r="D47" s="479" t="s">
        <v>2991</v>
      </c>
    </row>
    <row r="49" spans="4:4" ht="13.45" x14ac:dyDescent="0.25">
      <c r="D49" s="541">
        <v>45108</v>
      </c>
    </row>
    <row r="50" spans="4:4" ht="13.45" x14ac:dyDescent="0.25">
      <c r="D50" t="s">
        <v>2992</v>
      </c>
    </row>
    <row r="51" spans="4:4" ht="26.9" x14ac:dyDescent="0.25">
      <c r="D51" s="479" t="s">
        <v>2993</v>
      </c>
    </row>
    <row r="52" spans="4:4" ht="26.9" x14ac:dyDescent="0.25">
      <c r="D52" s="479" t="s">
        <v>2994</v>
      </c>
    </row>
    <row r="53" spans="4:4" ht="26.9" x14ac:dyDescent="0.25">
      <c r="D53" s="479" t="s">
        <v>2995</v>
      </c>
    </row>
    <row r="54" spans="4:4" ht="13.45" x14ac:dyDescent="0.25">
      <c r="D54" s="479" t="s">
        <v>2996</v>
      </c>
    </row>
    <row r="55" spans="4:4" ht="13.45" x14ac:dyDescent="0.25">
      <c r="D55" s="479" t="s">
        <v>2997</v>
      </c>
    </row>
    <row r="56" spans="4:4" ht="13.45" x14ac:dyDescent="0.25">
      <c r="D56" s="479" t="s">
        <v>2998</v>
      </c>
    </row>
    <row r="57" spans="4:4" ht="26.9" x14ac:dyDescent="0.25">
      <c r="D57" s="479" t="s">
        <v>2999</v>
      </c>
    </row>
    <row r="59" spans="4:4" ht="13.45" x14ac:dyDescent="0.25">
      <c r="D59" s="337">
        <v>45139</v>
      </c>
    </row>
    <row r="60" spans="4:4" ht="26.9" x14ac:dyDescent="0.25">
      <c r="D60" s="479" t="s">
        <v>3000</v>
      </c>
    </row>
    <row r="61" spans="4:4" ht="26.9" x14ac:dyDescent="0.25">
      <c r="D61" s="479" t="s">
        <v>3001</v>
      </c>
    </row>
    <row r="63" spans="4:4" ht="13.45" x14ac:dyDescent="0.25">
      <c r="D63" s="337">
        <v>45261</v>
      </c>
    </row>
    <row r="64" spans="4:4" ht="15.05" x14ac:dyDescent="0.3">
      <c r="D64" s="551" t="s">
        <v>3002</v>
      </c>
    </row>
    <row r="65" spans="4:9" ht="13.45" x14ac:dyDescent="0.25">
      <c r="D65" t="s">
        <v>3003</v>
      </c>
    </row>
    <row r="67" spans="4:9" ht="14.25" customHeight="1" x14ac:dyDescent="0.25">
      <c r="D67" s="552">
        <v>45653</v>
      </c>
    </row>
    <row r="68" spans="4:9" ht="14.25" customHeight="1" x14ac:dyDescent="0.3">
      <c r="D68" s="249" t="s">
        <v>3004</v>
      </c>
      <c r="E68" s="468" t="s">
        <v>1608</v>
      </c>
      <c r="F68" s="469" t="s">
        <v>171</v>
      </c>
      <c r="G68" s="469" t="s">
        <v>159</v>
      </c>
      <c r="H68" s="469" t="s">
        <v>2896</v>
      </c>
      <c r="I68" t="s">
        <v>3005</v>
      </c>
    </row>
    <row r="1048576" ht="12.8" customHeight="1" x14ac:dyDescent="0.25"/>
  </sheetData>
  <autoFilter ref="C3:G21" xr:uid="{00000000-0009-0000-0000-000022000000}"/>
  <pageMargins left="0.51180555555555596" right="0.51180555555555596" top="0.78749999999999998" bottom="0.78749999999999998" header="0.511811023622047" footer="0.511811023622047"/>
  <pageSetup orientation="landscape" horizontalDpi="300" verticalDpi="30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B3:J87"/>
  <sheetViews>
    <sheetView topLeftCell="C1" zoomScale="110" zoomScaleNormal="110" workbookViewId="0">
      <selection activeCell="D12" activeCellId="1" sqref="B9 D12"/>
    </sheetView>
  </sheetViews>
  <sheetFormatPr defaultColWidth="12.6328125" defaultRowHeight="14.25" customHeight="1" x14ac:dyDescent="0.25"/>
  <cols>
    <col min="4" max="4" width="40.08984375" customWidth="1"/>
  </cols>
  <sheetData>
    <row r="3" spans="3:8" ht="25.55" customHeight="1" x14ac:dyDescent="0.25">
      <c r="C3" s="212" t="s">
        <v>149</v>
      </c>
      <c r="D3" s="212" t="s">
        <v>150</v>
      </c>
      <c r="E3" s="212" t="s">
        <v>118</v>
      </c>
      <c r="F3" s="212" t="s">
        <v>970</v>
      </c>
      <c r="G3" s="212" t="s">
        <v>1651</v>
      </c>
    </row>
    <row r="4" spans="3:8" ht="14" x14ac:dyDescent="0.3">
      <c r="C4" s="249" t="s">
        <v>3006</v>
      </c>
      <c r="D4" s="468" t="s">
        <v>1311</v>
      </c>
      <c r="E4" s="255" t="s">
        <v>290</v>
      </c>
      <c r="F4" s="255" t="s">
        <v>159</v>
      </c>
      <c r="G4" s="255" t="s">
        <v>3007</v>
      </c>
    </row>
    <row r="5" spans="3:8" ht="14" x14ac:dyDescent="0.3">
      <c r="C5" s="249" t="s">
        <v>3008</v>
      </c>
      <c r="D5" s="468" t="s">
        <v>3009</v>
      </c>
      <c r="E5" s="255" t="s">
        <v>290</v>
      </c>
      <c r="F5" s="255" t="s">
        <v>159</v>
      </c>
      <c r="G5" s="255" t="s">
        <v>3007</v>
      </c>
    </row>
    <row r="6" spans="3:8" ht="14" x14ac:dyDescent="0.3">
      <c r="C6" s="249" t="s">
        <v>2659</v>
      </c>
      <c r="D6" s="468" t="s">
        <v>2660</v>
      </c>
      <c r="E6" s="255" t="s">
        <v>171</v>
      </c>
      <c r="F6" s="255" t="s">
        <v>159</v>
      </c>
      <c r="G6" s="255" t="s">
        <v>3007</v>
      </c>
    </row>
    <row r="7" spans="3:8" ht="14" x14ac:dyDescent="0.3">
      <c r="C7" s="249" t="s">
        <v>3010</v>
      </c>
      <c r="D7" s="468" t="s">
        <v>3011</v>
      </c>
      <c r="E7" s="255" t="s">
        <v>178</v>
      </c>
      <c r="F7" s="255" t="s">
        <v>159</v>
      </c>
      <c r="G7" s="255" t="s">
        <v>3007</v>
      </c>
      <c r="H7" s="16"/>
    </row>
    <row r="8" spans="3:8" ht="14" x14ac:dyDescent="0.3">
      <c r="C8" s="249" t="s">
        <v>3012</v>
      </c>
      <c r="D8" s="468" t="s">
        <v>3013</v>
      </c>
      <c r="E8" s="255" t="s">
        <v>178</v>
      </c>
      <c r="F8" s="255" t="s">
        <v>159</v>
      </c>
      <c r="G8" s="255" t="s">
        <v>2449</v>
      </c>
      <c r="H8" s="16" t="s">
        <v>2950</v>
      </c>
    </row>
    <row r="9" spans="3:8" ht="14" x14ac:dyDescent="0.3">
      <c r="C9" s="249" t="s">
        <v>3014</v>
      </c>
      <c r="D9" s="468" t="s">
        <v>3015</v>
      </c>
      <c r="E9" s="255" t="s">
        <v>178</v>
      </c>
      <c r="F9" s="255" t="s">
        <v>159</v>
      </c>
      <c r="G9" s="255" t="s">
        <v>3007</v>
      </c>
    </row>
    <row r="10" spans="3:8" ht="14" x14ac:dyDescent="0.3">
      <c r="C10" s="249" t="s">
        <v>3016</v>
      </c>
      <c r="D10" s="468" t="s">
        <v>3017</v>
      </c>
      <c r="E10" s="255" t="s">
        <v>213</v>
      </c>
      <c r="F10" s="255" t="s">
        <v>168</v>
      </c>
      <c r="G10" s="255" t="s">
        <v>3007</v>
      </c>
    </row>
    <row r="11" spans="3:8" ht="14" x14ac:dyDescent="0.3">
      <c r="C11" s="249" t="s">
        <v>3018</v>
      </c>
      <c r="D11" s="468" t="s">
        <v>3019</v>
      </c>
      <c r="E11" s="255" t="s">
        <v>171</v>
      </c>
      <c r="F11" s="255" t="s">
        <v>159</v>
      </c>
      <c r="G11" s="255" t="s">
        <v>3007</v>
      </c>
    </row>
    <row r="12" spans="3:8" ht="14" x14ac:dyDescent="0.3">
      <c r="C12" s="249" t="s">
        <v>2666</v>
      </c>
      <c r="D12" s="468" t="s">
        <v>3020</v>
      </c>
      <c r="E12" s="255" t="s">
        <v>164</v>
      </c>
      <c r="F12" s="255" t="s">
        <v>164</v>
      </c>
      <c r="G12" s="255" t="s">
        <v>3007</v>
      </c>
    </row>
    <row r="13" spans="3:8" ht="14" x14ac:dyDescent="0.3">
      <c r="C13" s="249" t="s">
        <v>3021</v>
      </c>
      <c r="D13" s="468" t="s">
        <v>3022</v>
      </c>
      <c r="E13" s="255" t="s">
        <v>171</v>
      </c>
      <c r="F13" s="255" t="s">
        <v>159</v>
      </c>
      <c r="G13" s="255" t="s">
        <v>2449</v>
      </c>
      <c r="H13" s="16" t="s">
        <v>2467</v>
      </c>
    </row>
    <row r="14" spans="3:8" ht="14" x14ac:dyDescent="0.3">
      <c r="C14" s="249" t="s">
        <v>3023</v>
      </c>
      <c r="D14" s="468" t="s">
        <v>3024</v>
      </c>
      <c r="E14" s="255" t="s">
        <v>171</v>
      </c>
      <c r="F14" s="255" t="s">
        <v>164</v>
      </c>
      <c r="G14" s="255" t="s">
        <v>3007</v>
      </c>
      <c r="H14" s="16"/>
    </row>
    <row r="15" spans="3:8" ht="14" x14ac:dyDescent="0.3">
      <c r="C15" s="249" t="s">
        <v>3025</v>
      </c>
      <c r="D15" s="468" t="s">
        <v>3026</v>
      </c>
      <c r="E15" s="255" t="s">
        <v>171</v>
      </c>
      <c r="F15" s="255" t="s">
        <v>159</v>
      </c>
      <c r="G15" s="255" t="s">
        <v>3007</v>
      </c>
      <c r="H15" s="16"/>
    </row>
    <row r="16" spans="3:8" ht="14" x14ac:dyDescent="0.3">
      <c r="C16" s="249" t="s">
        <v>3027</v>
      </c>
      <c r="D16" s="468" t="s">
        <v>1380</v>
      </c>
      <c r="E16" s="255" t="s">
        <v>178</v>
      </c>
      <c r="F16" s="255" t="s">
        <v>159</v>
      </c>
      <c r="G16" s="255" t="s">
        <v>3007</v>
      </c>
      <c r="H16" s="479"/>
    </row>
    <row r="17" spans="2:8" ht="14" x14ac:dyDescent="0.3">
      <c r="C17" s="249" t="s">
        <v>3028</v>
      </c>
      <c r="D17" s="468" t="s">
        <v>3029</v>
      </c>
      <c r="E17" s="255" t="s">
        <v>171</v>
      </c>
      <c r="F17" s="255" t="s">
        <v>159</v>
      </c>
      <c r="G17" s="255" t="s">
        <v>3007</v>
      </c>
    </row>
    <row r="18" spans="2:8" ht="14" x14ac:dyDescent="0.3">
      <c r="C18" s="249" t="s">
        <v>3030</v>
      </c>
      <c r="D18" s="468" t="s">
        <v>3031</v>
      </c>
      <c r="E18" s="255" t="s">
        <v>171</v>
      </c>
      <c r="F18" s="255" t="s">
        <v>159</v>
      </c>
      <c r="G18" s="255" t="s">
        <v>3007</v>
      </c>
    </row>
    <row r="19" spans="2:8" ht="15.75" customHeight="1" x14ac:dyDescent="0.3">
      <c r="B19" s="479" t="s">
        <v>1853</v>
      </c>
      <c r="C19" s="249" t="s">
        <v>3032</v>
      </c>
      <c r="D19" s="468" t="s">
        <v>3033</v>
      </c>
      <c r="E19" s="215" t="s">
        <v>171</v>
      </c>
      <c r="F19" s="553" t="s">
        <v>159</v>
      </c>
      <c r="G19" s="255" t="s">
        <v>3007</v>
      </c>
    </row>
    <row r="20" spans="2:8" ht="15.05" customHeight="1" x14ac:dyDescent="0.3">
      <c r="C20" s="249" t="s">
        <v>2948</v>
      </c>
      <c r="D20" s="468" t="s">
        <v>2949</v>
      </c>
      <c r="E20" s="255" t="s">
        <v>171</v>
      </c>
      <c r="F20" s="255" t="s">
        <v>159</v>
      </c>
      <c r="G20" s="255" t="s">
        <v>2896</v>
      </c>
      <c r="H20" s="16"/>
    </row>
    <row r="21" spans="2:8" ht="15.75" customHeight="1" x14ac:dyDescent="0.3">
      <c r="C21" s="249" t="s">
        <v>3034</v>
      </c>
      <c r="D21" s="468" t="s">
        <v>1392</v>
      </c>
      <c r="E21" s="554" t="s">
        <v>171</v>
      </c>
      <c r="F21" s="255" t="s">
        <v>159</v>
      </c>
      <c r="G21" s="255" t="s">
        <v>3007</v>
      </c>
    </row>
    <row r="22" spans="2:8" ht="14" x14ac:dyDescent="0.3">
      <c r="C22" s="249" t="s">
        <v>3035</v>
      </c>
      <c r="D22" s="468" t="s">
        <v>3036</v>
      </c>
      <c r="E22" s="255"/>
      <c r="F22" s="255" t="s">
        <v>164</v>
      </c>
      <c r="G22" s="255" t="s">
        <v>3007</v>
      </c>
    </row>
    <row r="28" spans="2:8" ht="14" x14ac:dyDescent="0.3">
      <c r="C28" s="16" t="s">
        <v>2681</v>
      </c>
    </row>
    <row r="29" spans="2:8" ht="14" x14ac:dyDescent="0.3">
      <c r="C29" s="16" t="s">
        <v>3037</v>
      </c>
    </row>
    <row r="31" spans="2:8" ht="14" x14ac:dyDescent="0.3">
      <c r="C31" s="16" t="s">
        <v>3038</v>
      </c>
    </row>
    <row r="32" spans="2:8" ht="14" x14ac:dyDescent="0.3">
      <c r="C32" s="16" t="s">
        <v>3039</v>
      </c>
    </row>
    <row r="34" spans="3:3" ht="14" x14ac:dyDescent="0.3">
      <c r="C34" s="16" t="s">
        <v>827</v>
      </c>
    </row>
    <row r="35" spans="3:3" ht="14" x14ac:dyDescent="0.3">
      <c r="C35" s="16" t="s">
        <v>3040</v>
      </c>
    </row>
    <row r="36" spans="3:3" ht="14" x14ac:dyDescent="0.3">
      <c r="C36" s="16" t="s">
        <v>3041</v>
      </c>
    </row>
    <row r="38" spans="3:3" ht="14" x14ac:dyDescent="0.3">
      <c r="C38" s="16" t="s">
        <v>831</v>
      </c>
    </row>
    <row r="39" spans="3:3" ht="14" x14ac:dyDescent="0.3">
      <c r="C39" s="501" t="s">
        <v>3042</v>
      </c>
    </row>
    <row r="40" spans="3:3" ht="14" x14ac:dyDescent="0.3">
      <c r="C40" s="16" t="s">
        <v>3043</v>
      </c>
    </row>
    <row r="42" spans="3:3" ht="14" x14ac:dyDescent="0.3">
      <c r="C42" s="16" t="s">
        <v>851</v>
      </c>
    </row>
    <row r="43" spans="3:3" ht="14" x14ac:dyDescent="0.3">
      <c r="C43" s="555" t="s">
        <v>3044</v>
      </c>
    </row>
    <row r="45" spans="3:3" ht="14" x14ac:dyDescent="0.3">
      <c r="C45" s="16" t="s">
        <v>858</v>
      </c>
    </row>
    <row r="46" spans="3:3" ht="14" x14ac:dyDescent="0.3">
      <c r="C46" s="16" t="s">
        <v>3045</v>
      </c>
    </row>
    <row r="48" spans="3:3" ht="14" x14ac:dyDescent="0.3">
      <c r="C48" s="16" t="s">
        <v>2714</v>
      </c>
    </row>
    <row r="49" spans="3:3" ht="14" x14ac:dyDescent="0.3">
      <c r="C49" s="16" t="s">
        <v>3046</v>
      </c>
    </row>
    <row r="50" spans="3:3" ht="14" x14ac:dyDescent="0.3">
      <c r="C50" s="16" t="s">
        <v>3047</v>
      </c>
    </row>
    <row r="52" spans="3:3" ht="14" x14ac:dyDescent="0.3">
      <c r="C52" s="16" t="s">
        <v>870</v>
      </c>
    </row>
    <row r="53" spans="3:3" ht="14" x14ac:dyDescent="0.3">
      <c r="C53" s="16" t="s">
        <v>3048</v>
      </c>
    </row>
    <row r="54" spans="3:3" ht="14" x14ac:dyDescent="0.3">
      <c r="C54" s="16" t="s">
        <v>3049</v>
      </c>
    </row>
    <row r="55" spans="3:3" ht="15.05" customHeight="1" x14ac:dyDescent="0.3">
      <c r="C55" s="16" t="s">
        <v>3050</v>
      </c>
    </row>
    <row r="56" spans="3:3" ht="15.05" customHeight="1" x14ac:dyDescent="0.3">
      <c r="C56" s="16" t="s">
        <v>3051</v>
      </c>
    </row>
    <row r="57" spans="3:3" ht="14" x14ac:dyDescent="0.3">
      <c r="C57" s="16" t="s">
        <v>3052</v>
      </c>
    </row>
    <row r="58" spans="3:3" ht="14" x14ac:dyDescent="0.3">
      <c r="C58" s="16" t="s">
        <v>3053</v>
      </c>
    </row>
    <row r="60" spans="3:3" ht="14" x14ac:dyDescent="0.3">
      <c r="C60" s="16" t="s">
        <v>892</v>
      </c>
    </row>
    <row r="61" spans="3:3" ht="14" x14ac:dyDescent="0.3">
      <c r="C61" s="16" t="s">
        <v>3054</v>
      </c>
    </row>
    <row r="63" spans="3:3" ht="14" x14ac:dyDescent="0.3">
      <c r="C63" s="16" t="s">
        <v>901</v>
      </c>
    </row>
    <row r="64" spans="3:3" ht="14" x14ac:dyDescent="0.3">
      <c r="C64" s="16" t="s">
        <v>3055</v>
      </c>
    </row>
    <row r="66" spans="3:3" ht="14" x14ac:dyDescent="0.3">
      <c r="C66" s="16" t="s">
        <v>906</v>
      </c>
    </row>
    <row r="67" spans="3:3" ht="174.65" x14ac:dyDescent="0.25">
      <c r="C67" s="479" t="s">
        <v>3056</v>
      </c>
    </row>
    <row r="69" spans="3:3" ht="14" x14ac:dyDescent="0.3">
      <c r="C69" s="16" t="s">
        <v>2538</v>
      </c>
    </row>
    <row r="70" spans="3:3" ht="67.2" x14ac:dyDescent="0.25">
      <c r="C70" s="479" t="s">
        <v>3057</v>
      </c>
    </row>
    <row r="72" spans="3:3" ht="14" x14ac:dyDescent="0.3">
      <c r="C72" s="16" t="s">
        <v>3058</v>
      </c>
    </row>
    <row r="73" spans="3:3" ht="13.45" x14ac:dyDescent="0.25">
      <c r="C73" t="s">
        <v>3059</v>
      </c>
    </row>
    <row r="74" spans="3:3" ht="53.75" x14ac:dyDescent="0.25">
      <c r="C74" s="479" t="s">
        <v>3060</v>
      </c>
    </row>
    <row r="75" spans="3:3" ht="80.599999999999994" x14ac:dyDescent="0.25">
      <c r="C75" s="479" t="s">
        <v>1858</v>
      </c>
    </row>
    <row r="77" spans="3:3" ht="13.45" x14ac:dyDescent="0.25">
      <c r="C77" s="337">
        <v>45139</v>
      </c>
    </row>
    <row r="78" spans="3:3" ht="53.75" x14ac:dyDescent="0.25">
      <c r="C78" s="479" t="s">
        <v>3061</v>
      </c>
    </row>
    <row r="80" spans="3:3" ht="13.45" x14ac:dyDescent="0.25">
      <c r="C80" s="337">
        <v>45231</v>
      </c>
    </row>
    <row r="81" spans="3:10" ht="80.599999999999994" x14ac:dyDescent="0.25">
      <c r="C81" s="479" t="s">
        <v>3062</v>
      </c>
    </row>
    <row r="82" spans="3:10" ht="67.2" x14ac:dyDescent="0.25">
      <c r="C82" s="479" t="s">
        <v>3063</v>
      </c>
    </row>
    <row r="84" spans="3:10" ht="13.45" x14ac:dyDescent="0.25">
      <c r="D84" t="s">
        <v>3064</v>
      </c>
    </row>
    <row r="85" spans="3:10" ht="14" x14ac:dyDescent="0.3">
      <c r="C85" s="249" t="s">
        <v>3035</v>
      </c>
      <c r="D85" s="468" t="s">
        <v>3036</v>
      </c>
      <c r="E85" s="255"/>
      <c r="F85" s="255" t="s">
        <v>164</v>
      </c>
      <c r="G85" s="255" t="s">
        <v>3007</v>
      </c>
    </row>
    <row r="87" spans="3:10" ht="14" x14ac:dyDescent="0.3">
      <c r="C87" s="249" t="s">
        <v>3065</v>
      </c>
      <c r="D87" s="468" t="s">
        <v>1583</v>
      </c>
      <c r="E87" s="255" t="s">
        <v>167</v>
      </c>
      <c r="F87" s="255" t="s">
        <v>159</v>
      </c>
      <c r="G87" s="255" t="s">
        <v>3007</v>
      </c>
      <c r="H87" s="556" t="s">
        <v>1296</v>
      </c>
      <c r="I87" s="527"/>
      <c r="J87" s="527"/>
    </row>
  </sheetData>
  <autoFilter ref="C3:G22" xr:uid="{00000000-0009-0000-0000-000023000000}"/>
  <dataValidations count="2">
    <dataValidation type="list" allowBlank="1" showInputMessage="1" showErrorMessage="1" prompt="Clique e insira um valor de a lista de itens" sqref="E19" xr:uid="{00000000-0002-0000-2300-000000000000}">
      <formula1>"AJAJ,AJ-BIBLIOTECONOMIA,TJAA,AJAA,TJAS,AJOJ,AJEC,AJ-INFORMATICA,AJ-DESENVOLVIMENTO,TJ-INFORMÁTICA,AJ-INFRAESTRUTURA,AJ-MEDICINA,AJ-CONTADORIA,AJAE"</formula1>
      <formula2>0</formula2>
    </dataValidation>
    <dataValidation type="list" allowBlank="1" showInputMessage="1" showErrorMessage="1" prompt="Clique e insira um valor de a lista de itens" sqref="F19" xr:uid="{00000000-0002-0000-2300-000001000000}">
      <formula1>"EFETIVO,REQUISITADO,EX. PROVISÓRIO,REMOVIDO,SEM VÍNCULO,VAGO,PROVIDO,A SER PROVIDO"</formula1>
      <formula2>0</formula2>
    </dataValidation>
  </dataValidations>
  <pageMargins left="0.51180555555555596" right="0.51180555555555596" top="0.78749999999999998" bottom="0.78749999999999998" header="0.511811023622047" footer="0.511811023622047"/>
  <pageSetup orientation="landscape" horizontalDpi="300" verticalDpi="30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filterMode="1"/>
  <dimension ref="B2:H139"/>
  <sheetViews>
    <sheetView topLeftCell="D33" zoomScale="110" zoomScaleNormal="110" workbookViewId="0">
      <selection activeCell="D47" activeCellId="1" sqref="B9 D47"/>
    </sheetView>
  </sheetViews>
  <sheetFormatPr defaultColWidth="12.6328125" defaultRowHeight="14.25" customHeight="1" x14ac:dyDescent="0.25"/>
  <cols>
    <col min="4" max="4" width="46.26953125" customWidth="1"/>
    <col min="6" max="6" width="13.08984375" customWidth="1"/>
  </cols>
  <sheetData>
    <row r="2" spans="3:8" ht="14" x14ac:dyDescent="0.3">
      <c r="C2" s="16" t="s">
        <v>3066</v>
      </c>
    </row>
    <row r="3" spans="3:8" ht="14" x14ac:dyDescent="0.3">
      <c r="C3" s="539" t="s">
        <v>149</v>
      </c>
      <c r="D3" s="557" t="s">
        <v>150</v>
      </c>
      <c r="E3" s="557" t="s">
        <v>118</v>
      </c>
      <c r="F3" s="557" t="s">
        <v>970</v>
      </c>
      <c r="G3" s="557" t="s">
        <v>1651</v>
      </c>
      <c r="H3" s="504" t="s">
        <v>3067</v>
      </c>
    </row>
    <row r="4" spans="3:8" ht="14" hidden="1" x14ac:dyDescent="0.3">
      <c r="C4" s="249" t="s">
        <v>3068</v>
      </c>
      <c r="D4" s="468" t="s">
        <v>3069</v>
      </c>
      <c r="E4" s="468" t="s">
        <v>290</v>
      </c>
      <c r="F4" s="468" t="s">
        <v>159</v>
      </c>
      <c r="G4" s="468" t="s">
        <v>3070</v>
      </c>
    </row>
    <row r="5" spans="3:8" ht="14" hidden="1" x14ac:dyDescent="0.3">
      <c r="C5" s="249" t="s">
        <v>3071</v>
      </c>
      <c r="D5" s="468" t="s">
        <v>3072</v>
      </c>
      <c r="E5" s="468" t="s">
        <v>178</v>
      </c>
      <c r="F5" s="468" t="s">
        <v>159</v>
      </c>
      <c r="G5" s="468" t="s">
        <v>3070</v>
      </c>
    </row>
    <row r="6" spans="3:8" ht="14" hidden="1" x14ac:dyDescent="0.3">
      <c r="C6" s="249" t="s">
        <v>3073</v>
      </c>
      <c r="D6" s="468" t="s">
        <v>3074</v>
      </c>
      <c r="E6" s="468" t="s">
        <v>171</v>
      </c>
      <c r="F6" s="468" t="s">
        <v>159</v>
      </c>
      <c r="G6" s="468" t="s">
        <v>3070</v>
      </c>
    </row>
    <row r="7" spans="3:8" ht="14" hidden="1" x14ac:dyDescent="0.3">
      <c r="C7" s="249" t="s">
        <v>3075</v>
      </c>
      <c r="D7" s="468" t="s">
        <v>3076</v>
      </c>
      <c r="E7" s="468" t="s">
        <v>171</v>
      </c>
      <c r="F7" s="468" t="s">
        <v>159</v>
      </c>
      <c r="G7" s="468" t="s">
        <v>3070</v>
      </c>
    </row>
    <row r="8" spans="3:8" ht="14" hidden="1" x14ac:dyDescent="0.3">
      <c r="C8" s="249" t="s">
        <v>2028</v>
      </c>
      <c r="D8" s="468" t="s">
        <v>3077</v>
      </c>
      <c r="E8" s="468" t="s">
        <v>171</v>
      </c>
      <c r="F8" s="468" t="s">
        <v>159</v>
      </c>
      <c r="G8" s="468" t="s">
        <v>3070</v>
      </c>
    </row>
    <row r="9" spans="3:8" ht="14" hidden="1" x14ac:dyDescent="0.3">
      <c r="C9" s="249" t="s">
        <v>3078</v>
      </c>
      <c r="D9" s="468" t="s">
        <v>3079</v>
      </c>
      <c r="E9" s="468" t="s">
        <v>213</v>
      </c>
      <c r="F9" s="468" t="s">
        <v>168</v>
      </c>
      <c r="G9" s="468" t="s">
        <v>3070</v>
      </c>
    </row>
    <row r="10" spans="3:8" ht="14" hidden="1" x14ac:dyDescent="0.3">
      <c r="C10" s="249" t="s">
        <v>3080</v>
      </c>
      <c r="D10" s="468" t="s">
        <v>3081</v>
      </c>
      <c r="E10" s="468" t="s">
        <v>171</v>
      </c>
      <c r="F10" s="468" t="s">
        <v>159</v>
      </c>
      <c r="G10" s="468" t="s">
        <v>3070</v>
      </c>
    </row>
    <row r="11" spans="3:8" ht="14" hidden="1" x14ac:dyDescent="0.3">
      <c r="C11" s="249" t="s">
        <v>2064</v>
      </c>
      <c r="D11" s="468" t="s">
        <v>3082</v>
      </c>
      <c r="E11" s="468" t="s">
        <v>178</v>
      </c>
      <c r="F11" s="468" t="s">
        <v>159</v>
      </c>
      <c r="G11" s="468" t="s">
        <v>3070</v>
      </c>
    </row>
    <row r="12" spans="3:8" ht="14" hidden="1" x14ac:dyDescent="0.3">
      <c r="C12" s="249" t="s">
        <v>3083</v>
      </c>
      <c r="D12" s="468" t="s">
        <v>3084</v>
      </c>
      <c r="E12" s="468" t="s">
        <v>290</v>
      </c>
      <c r="F12" s="468" t="s">
        <v>159</v>
      </c>
      <c r="G12" s="468" t="s">
        <v>3070</v>
      </c>
    </row>
    <row r="13" spans="3:8" ht="14" hidden="1" x14ac:dyDescent="0.3">
      <c r="C13" s="249" t="s">
        <v>3085</v>
      </c>
      <c r="D13" s="468" t="s">
        <v>3086</v>
      </c>
      <c r="E13" s="468" t="s">
        <v>178</v>
      </c>
      <c r="F13" s="468" t="s">
        <v>159</v>
      </c>
      <c r="G13" s="468" t="s">
        <v>3070</v>
      </c>
    </row>
    <row r="14" spans="3:8" ht="14" hidden="1" x14ac:dyDescent="0.3">
      <c r="C14" s="249" t="s">
        <v>3087</v>
      </c>
      <c r="D14" s="468" t="s">
        <v>3088</v>
      </c>
      <c r="E14" s="468" t="s">
        <v>171</v>
      </c>
      <c r="F14" s="468" t="s">
        <v>159</v>
      </c>
      <c r="G14" s="468" t="s">
        <v>3070</v>
      </c>
    </row>
    <row r="15" spans="3:8" ht="14" hidden="1" x14ac:dyDescent="0.3">
      <c r="C15" s="249" t="s">
        <v>3089</v>
      </c>
      <c r="D15" s="468" t="s">
        <v>3090</v>
      </c>
      <c r="E15" s="468" t="s">
        <v>178</v>
      </c>
      <c r="F15" s="468" t="s">
        <v>159</v>
      </c>
      <c r="G15" s="468" t="s">
        <v>3070</v>
      </c>
    </row>
    <row r="16" spans="3:8" ht="14" hidden="1" x14ac:dyDescent="0.3">
      <c r="C16" s="249" t="s">
        <v>3091</v>
      </c>
      <c r="D16" s="468" t="s">
        <v>3092</v>
      </c>
      <c r="E16" s="468" t="s">
        <v>178</v>
      </c>
      <c r="F16" s="468" t="s">
        <v>159</v>
      </c>
      <c r="G16" s="468" t="s">
        <v>3070</v>
      </c>
    </row>
    <row r="17" spans="2:8" ht="14" hidden="1" x14ac:dyDescent="0.3">
      <c r="C17" s="249" t="s">
        <v>3093</v>
      </c>
      <c r="D17" s="468" t="s">
        <v>3094</v>
      </c>
      <c r="E17" s="468" t="s">
        <v>171</v>
      </c>
      <c r="F17" s="468" t="s">
        <v>159</v>
      </c>
      <c r="G17" s="468" t="s">
        <v>3070</v>
      </c>
    </row>
    <row r="18" spans="2:8" ht="14" hidden="1" x14ac:dyDescent="0.3">
      <c r="B18" s="479" t="s">
        <v>1853</v>
      </c>
      <c r="C18" s="249" t="s">
        <v>3095</v>
      </c>
      <c r="D18" s="468" t="s">
        <v>3096</v>
      </c>
      <c r="E18" s="468" t="s">
        <v>178</v>
      </c>
      <c r="F18" s="468" t="s">
        <v>159</v>
      </c>
      <c r="G18" s="468" t="s">
        <v>3070</v>
      </c>
    </row>
    <row r="19" spans="2:8" ht="14" hidden="1" x14ac:dyDescent="0.3">
      <c r="C19" s="249" t="s">
        <v>3097</v>
      </c>
      <c r="D19" s="468" t="s">
        <v>3098</v>
      </c>
      <c r="E19" s="468" t="s">
        <v>213</v>
      </c>
      <c r="F19" s="468" t="s">
        <v>159</v>
      </c>
      <c r="G19" s="468" t="s">
        <v>3070</v>
      </c>
    </row>
    <row r="20" spans="2:8" ht="14" hidden="1" x14ac:dyDescent="0.3">
      <c r="C20" s="249" t="s">
        <v>3099</v>
      </c>
      <c r="D20" s="468" t="s">
        <v>3100</v>
      </c>
      <c r="E20" s="468" t="s">
        <v>178</v>
      </c>
      <c r="F20" s="468" t="s">
        <v>159</v>
      </c>
      <c r="G20" s="468" t="s">
        <v>3070</v>
      </c>
    </row>
    <row r="21" spans="2:8" ht="14" hidden="1" x14ac:dyDescent="0.3">
      <c r="C21" s="249" t="s">
        <v>3101</v>
      </c>
      <c r="D21" s="468" t="s">
        <v>3102</v>
      </c>
      <c r="E21" s="468" t="s">
        <v>171</v>
      </c>
      <c r="F21" s="468" t="s">
        <v>159</v>
      </c>
      <c r="G21" s="468" t="s">
        <v>3070</v>
      </c>
    </row>
    <row r="22" spans="2:8" ht="14" hidden="1" x14ac:dyDescent="0.3">
      <c r="C22" s="249" t="s">
        <v>3103</v>
      </c>
      <c r="D22" s="468" t="s">
        <v>3104</v>
      </c>
      <c r="E22" s="468" t="s">
        <v>171</v>
      </c>
      <c r="F22" s="468" t="s">
        <v>159</v>
      </c>
      <c r="G22" s="468" t="s">
        <v>3070</v>
      </c>
    </row>
    <row r="23" spans="2:8" ht="14" hidden="1" x14ac:dyDescent="0.3">
      <c r="C23" s="249" t="s">
        <v>3105</v>
      </c>
      <c r="D23" s="468" t="s">
        <v>3106</v>
      </c>
      <c r="E23" s="468" t="s">
        <v>167</v>
      </c>
      <c r="F23" s="468" t="s">
        <v>159</v>
      </c>
      <c r="G23" s="468" t="s">
        <v>3070</v>
      </c>
    </row>
    <row r="24" spans="2:8" ht="14" hidden="1" x14ac:dyDescent="0.3">
      <c r="C24" s="249" t="s">
        <v>3107</v>
      </c>
      <c r="D24" s="499" t="s">
        <v>3108</v>
      </c>
      <c r="E24" s="499" t="s">
        <v>171</v>
      </c>
      <c r="F24" s="499" t="s">
        <v>159</v>
      </c>
      <c r="G24" s="522" t="s">
        <v>2449</v>
      </c>
      <c r="H24" s="16" t="s">
        <v>2467</v>
      </c>
    </row>
    <row r="25" spans="2:8" ht="14" hidden="1" x14ac:dyDescent="0.3">
      <c r="C25" s="538" t="s">
        <v>3109</v>
      </c>
      <c r="D25" s="522" t="s">
        <v>3110</v>
      </c>
      <c r="E25" s="522"/>
      <c r="F25" s="522" t="s">
        <v>164</v>
      </c>
      <c r="G25" s="522" t="s">
        <v>2449</v>
      </c>
      <c r="H25" s="16" t="s">
        <v>3111</v>
      </c>
    </row>
    <row r="26" spans="2:8" ht="14" hidden="1" x14ac:dyDescent="0.3">
      <c r="C26" s="538" t="s">
        <v>3112</v>
      </c>
      <c r="D26" s="522" t="s">
        <v>3113</v>
      </c>
      <c r="E26" s="522" t="s">
        <v>167</v>
      </c>
      <c r="F26" s="522" t="s">
        <v>159</v>
      </c>
      <c r="G26" s="522" t="s">
        <v>2449</v>
      </c>
      <c r="H26" s="16" t="s">
        <v>2589</v>
      </c>
    </row>
    <row r="27" spans="2:8" ht="14" x14ac:dyDescent="0.3">
      <c r="C27" s="538" t="s">
        <v>3114</v>
      </c>
      <c r="D27" s="522" t="s">
        <v>3115</v>
      </c>
      <c r="E27" s="522" t="s">
        <v>167</v>
      </c>
      <c r="F27" s="522" t="s">
        <v>159</v>
      </c>
      <c r="G27" s="522" t="s">
        <v>3116</v>
      </c>
      <c r="H27" s="16"/>
    </row>
    <row r="28" spans="2:8" ht="14" x14ac:dyDescent="0.3">
      <c r="C28" s="538" t="s">
        <v>3117</v>
      </c>
      <c r="D28" s="522" t="s">
        <v>3118</v>
      </c>
      <c r="E28" s="522" t="s">
        <v>213</v>
      </c>
      <c r="F28" s="522" t="s">
        <v>159</v>
      </c>
      <c r="G28" s="522" t="s">
        <v>3116</v>
      </c>
    </row>
    <row r="29" spans="2:8" ht="14" x14ac:dyDescent="0.3">
      <c r="B29" s="479"/>
      <c r="C29" s="538" t="s">
        <v>3119</v>
      </c>
      <c r="D29" s="522" t="s">
        <v>3120</v>
      </c>
      <c r="E29" s="522" t="s">
        <v>178</v>
      </c>
      <c r="F29" s="522" t="s">
        <v>168</v>
      </c>
      <c r="G29" s="522" t="s">
        <v>3116</v>
      </c>
    </row>
    <row r="30" spans="2:8" ht="14" x14ac:dyDescent="0.3">
      <c r="B30" s="479"/>
      <c r="C30" s="538" t="s">
        <v>3121</v>
      </c>
      <c r="D30" s="522" t="s">
        <v>3122</v>
      </c>
      <c r="E30" s="522"/>
      <c r="F30" s="522" t="s">
        <v>164</v>
      </c>
      <c r="G30" s="522" t="s">
        <v>3116</v>
      </c>
    </row>
    <row r="31" spans="2:8" ht="14" x14ac:dyDescent="0.3">
      <c r="C31" s="538" t="s">
        <v>3123</v>
      </c>
      <c r="D31" s="522" t="s">
        <v>3124</v>
      </c>
      <c r="E31" s="522" t="s">
        <v>213</v>
      </c>
      <c r="F31" s="522" t="s">
        <v>159</v>
      </c>
      <c r="G31" s="522" t="s">
        <v>3116</v>
      </c>
    </row>
    <row r="32" spans="2:8" ht="14" x14ac:dyDescent="0.3">
      <c r="C32" s="538" t="s">
        <v>3125</v>
      </c>
      <c r="D32" s="468" t="s">
        <v>3126</v>
      </c>
      <c r="E32" s="522" t="s">
        <v>290</v>
      </c>
      <c r="F32" s="522" t="s">
        <v>159</v>
      </c>
      <c r="G32" s="522" t="s">
        <v>3116</v>
      </c>
      <c r="H32" s="511">
        <v>41907</v>
      </c>
    </row>
    <row r="33" spans="2:8" ht="14" x14ac:dyDescent="0.3">
      <c r="C33" s="538" t="s">
        <v>3127</v>
      </c>
      <c r="D33" s="522" t="s">
        <v>3128</v>
      </c>
      <c r="E33" s="522" t="s">
        <v>290</v>
      </c>
      <c r="F33" s="522" t="s">
        <v>159</v>
      </c>
      <c r="G33" s="522" t="s">
        <v>3116</v>
      </c>
      <c r="H33" s="511">
        <v>42334</v>
      </c>
    </row>
    <row r="34" spans="2:8" ht="14" x14ac:dyDescent="0.3">
      <c r="C34" s="538" t="s">
        <v>3129</v>
      </c>
      <c r="D34" s="522" t="s">
        <v>3130</v>
      </c>
      <c r="E34" s="522" t="s">
        <v>171</v>
      </c>
      <c r="F34" s="522" t="s">
        <v>159</v>
      </c>
      <c r="G34" s="522" t="s">
        <v>3116</v>
      </c>
    </row>
    <row r="35" spans="2:8" ht="14" x14ac:dyDescent="0.3">
      <c r="C35" s="538" t="s">
        <v>3131</v>
      </c>
      <c r="D35" s="522" t="s">
        <v>3132</v>
      </c>
      <c r="E35" s="522" t="s">
        <v>178</v>
      </c>
      <c r="F35" s="522" t="s">
        <v>159</v>
      </c>
      <c r="G35" s="522" t="s">
        <v>3116</v>
      </c>
      <c r="H35" s="511">
        <v>41971</v>
      </c>
    </row>
    <row r="36" spans="2:8" ht="14" x14ac:dyDescent="0.3">
      <c r="B36" s="479"/>
      <c r="C36" s="538" t="s">
        <v>3133</v>
      </c>
      <c r="D36" s="522" t="s">
        <v>3134</v>
      </c>
      <c r="E36" s="522" t="s">
        <v>171</v>
      </c>
      <c r="F36" s="522" t="s">
        <v>168</v>
      </c>
      <c r="G36" s="522" t="s">
        <v>3116</v>
      </c>
    </row>
    <row r="37" spans="2:8" ht="14" x14ac:dyDescent="0.3">
      <c r="C37" s="538" t="s">
        <v>3135</v>
      </c>
      <c r="D37" s="522" t="s">
        <v>3136</v>
      </c>
      <c r="E37" s="522" t="s">
        <v>171</v>
      </c>
      <c r="F37" s="522" t="s">
        <v>159</v>
      </c>
      <c r="G37" s="522" t="s">
        <v>3116</v>
      </c>
    </row>
    <row r="38" spans="2:8" ht="14" x14ac:dyDescent="0.3">
      <c r="B38" s="479" t="s">
        <v>1853</v>
      </c>
      <c r="C38" s="538" t="s">
        <v>3137</v>
      </c>
      <c r="D38" s="522" t="s">
        <v>3138</v>
      </c>
      <c r="E38" s="522"/>
      <c r="F38" s="522" t="s">
        <v>2132</v>
      </c>
      <c r="G38" s="522" t="s">
        <v>3116</v>
      </c>
    </row>
    <row r="39" spans="2:8" ht="14" x14ac:dyDescent="0.3">
      <c r="C39" s="538" t="s">
        <v>3139</v>
      </c>
      <c r="D39" s="522" t="s">
        <v>3140</v>
      </c>
      <c r="E39" s="522" t="s">
        <v>167</v>
      </c>
      <c r="F39" s="522" t="s">
        <v>159</v>
      </c>
      <c r="G39" s="522" t="s">
        <v>3116</v>
      </c>
    </row>
    <row r="40" spans="2:8" ht="14" x14ac:dyDescent="0.3">
      <c r="C40" s="538" t="s">
        <v>3141</v>
      </c>
      <c r="D40" s="522" t="s">
        <v>3142</v>
      </c>
      <c r="E40" s="522" t="s">
        <v>171</v>
      </c>
      <c r="F40" s="522" t="s">
        <v>159</v>
      </c>
      <c r="G40" s="522" t="s">
        <v>3116</v>
      </c>
    </row>
    <row r="41" spans="2:8" ht="14" x14ac:dyDescent="0.3">
      <c r="C41" s="538" t="s">
        <v>3143</v>
      </c>
      <c r="D41" s="522" t="s">
        <v>3144</v>
      </c>
      <c r="E41" s="522" t="s">
        <v>171</v>
      </c>
      <c r="F41" s="522" t="s">
        <v>159</v>
      </c>
      <c r="G41" s="522" t="s">
        <v>3116</v>
      </c>
    </row>
    <row r="42" spans="2:8" ht="14" x14ac:dyDescent="0.3">
      <c r="C42" s="249" t="s">
        <v>3145</v>
      </c>
      <c r="D42" s="468" t="s">
        <v>3146</v>
      </c>
      <c r="E42" s="468" t="s">
        <v>178</v>
      </c>
      <c r="F42" s="468" t="s">
        <v>159</v>
      </c>
      <c r="G42" s="522" t="s">
        <v>3116</v>
      </c>
      <c r="H42" s="511">
        <v>42332</v>
      </c>
    </row>
    <row r="43" spans="2:8" ht="14" x14ac:dyDescent="0.3">
      <c r="B43" s="479"/>
      <c r="C43" s="249" t="s">
        <v>3147</v>
      </c>
      <c r="D43" s="468" t="s">
        <v>3148</v>
      </c>
      <c r="E43" s="468" t="s">
        <v>171</v>
      </c>
      <c r="F43" s="468" t="s">
        <v>246</v>
      </c>
      <c r="G43" s="522" t="s">
        <v>3116</v>
      </c>
    </row>
    <row r="44" spans="2:8" ht="14" x14ac:dyDescent="0.3">
      <c r="B44" s="479"/>
      <c r="C44" s="249" t="s">
        <v>3149</v>
      </c>
      <c r="D44" s="468" t="s">
        <v>3150</v>
      </c>
      <c r="E44" s="468" t="s">
        <v>171</v>
      </c>
      <c r="F44" s="468" t="s">
        <v>168</v>
      </c>
      <c r="G44" s="522" t="s">
        <v>3116</v>
      </c>
    </row>
    <row r="45" spans="2:8" ht="14" x14ac:dyDescent="0.3">
      <c r="C45" s="249" t="s">
        <v>3151</v>
      </c>
      <c r="D45" s="468" t="s">
        <v>3152</v>
      </c>
      <c r="E45" s="468" t="s">
        <v>171</v>
      </c>
      <c r="F45" s="468" t="s">
        <v>159</v>
      </c>
      <c r="G45" s="522" t="s">
        <v>3116</v>
      </c>
    </row>
    <row r="46" spans="2:8" ht="14" x14ac:dyDescent="0.3">
      <c r="C46" s="249" t="s">
        <v>3153</v>
      </c>
      <c r="D46" s="468" t="s">
        <v>3154</v>
      </c>
      <c r="E46" s="558" t="s">
        <v>178</v>
      </c>
      <c r="F46" s="558" t="s">
        <v>159</v>
      </c>
      <c r="G46" s="558" t="s">
        <v>3116</v>
      </c>
    </row>
    <row r="47" spans="2:8" ht="14" x14ac:dyDescent="0.3">
      <c r="C47" s="538" t="s">
        <v>3155</v>
      </c>
      <c r="D47" s="522" t="s">
        <v>3156</v>
      </c>
      <c r="E47" s="522" t="s">
        <v>171</v>
      </c>
      <c r="F47" s="522" t="s">
        <v>159</v>
      </c>
      <c r="G47" s="522" t="s">
        <v>3116</v>
      </c>
    </row>
    <row r="48" spans="2:8" ht="14" x14ac:dyDescent="0.3">
      <c r="C48" s="538" t="s">
        <v>3157</v>
      </c>
      <c r="D48" s="522" t="s">
        <v>3158</v>
      </c>
      <c r="E48" s="522"/>
      <c r="F48" s="522" t="s">
        <v>164</v>
      </c>
      <c r="G48" s="522" t="s">
        <v>3116</v>
      </c>
    </row>
    <row r="49" spans="2:7" ht="14" x14ac:dyDescent="0.3">
      <c r="B49" s="479"/>
      <c r="C49" s="285" t="s">
        <v>3159</v>
      </c>
      <c r="D49" s="468" t="s">
        <v>1368</v>
      </c>
      <c r="E49" s="522" t="s">
        <v>171</v>
      </c>
      <c r="F49" s="522" t="s">
        <v>159</v>
      </c>
      <c r="G49" s="522" t="s">
        <v>3116</v>
      </c>
    </row>
    <row r="50" spans="2:7" ht="14" hidden="1" x14ac:dyDescent="0.3">
      <c r="B50" s="479" t="s">
        <v>2072</v>
      </c>
      <c r="C50" s="249" t="s">
        <v>3160</v>
      </c>
      <c r="D50" s="468" t="s">
        <v>3161</v>
      </c>
      <c r="E50" s="468" t="s">
        <v>178</v>
      </c>
      <c r="F50" s="468" t="s">
        <v>159</v>
      </c>
      <c r="G50" s="522" t="s">
        <v>3162</v>
      </c>
    </row>
    <row r="51" spans="2:7" ht="14" hidden="1" x14ac:dyDescent="0.3">
      <c r="B51" s="479" t="s">
        <v>2072</v>
      </c>
      <c r="C51" s="249" t="s">
        <v>3163</v>
      </c>
      <c r="D51" s="468" t="s">
        <v>3164</v>
      </c>
      <c r="E51" s="468" t="s">
        <v>171</v>
      </c>
      <c r="F51" s="468" t="s">
        <v>168</v>
      </c>
      <c r="G51" s="522" t="s">
        <v>3162</v>
      </c>
    </row>
    <row r="52" spans="2:7" ht="14" hidden="1" x14ac:dyDescent="0.3">
      <c r="B52" s="479" t="s">
        <v>2072</v>
      </c>
      <c r="C52" s="249" t="s">
        <v>3165</v>
      </c>
      <c r="D52" s="468" t="s">
        <v>3166</v>
      </c>
      <c r="E52" s="468" t="s">
        <v>290</v>
      </c>
      <c r="F52" s="468" t="s">
        <v>159</v>
      </c>
      <c r="G52" s="522" t="s">
        <v>3162</v>
      </c>
    </row>
    <row r="53" spans="2:7" ht="14" hidden="1" x14ac:dyDescent="0.3">
      <c r="B53" s="479" t="s">
        <v>2072</v>
      </c>
      <c r="C53" s="249" t="s">
        <v>3167</v>
      </c>
      <c r="D53" s="468" t="s">
        <v>3168</v>
      </c>
      <c r="E53" s="468" t="s">
        <v>290</v>
      </c>
      <c r="F53" s="468" t="s">
        <v>159</v>
      </c>
      <c r="G53" s="522" t="s">
        <v>3162</v>
      </c>
    </row>
    <row r="54" spans="2:7" ht="14" hidden="1" x14ac:dyDescent="0.3">
      <c r="B54" s="479" t="s">
        <v>2072</v>
      </c>
      <c r="C54" s="249" t="s">
        <v>3169</v>
      </c>
      <c r="D54" s="468" t="s">
        <v>3170</v>
      </c>
      <c r="E54" s="468" t="s">
        <v>213</v>
      </c>
      <c r="F54" s="468" t="s">
        <v>159</v>
      </c>
      <c r="G54" s="522" t="s">
        <v>3162</v>
      </c>
    </row>
    <row r="55" spans="2:7" ht="14" hidden="1" x14ac:dyDescent="0.3">
      <c r="B55" s="479" t="s">
        <v>1853</v>
      </c>
      <c r="C55" s="249" t="s">
        <v>3171</v>
      </c>
      <c r="D55" s="468" t="s">
        <v>3172</v>
      </c>
      <c r="E55" s="468" t="s">
        <v>171</v>
      </c>
      <c r="F55" s="468" t="s">
        <v>159</v>
      </c>
      <c r="G55" s="522" t="s">
        <v>3162</v>
      </c>
    </row>
    <row r="56" spans="2:7" ht="14" hidden="1" x14ac:dyDescent="0.3">
      <c r="B56" s="479" t="s">
        <v>2072</v>
      </c>
      <c r="C56" s="249" t="s">
        <v>3173</v>
      </c>
      <c r="D56" s="468" t="s">
        <v>3174</v>
      </c>
      <c r="E56" s="468" t="s">
        <v>178</v>
      </c>
      <c r="F56" s="468" t="s">
        <v>159</v>
      </c>
      <c r="G56" s="522" t="s">
        <v>3162</v>
      </c>
    </row>
    <row r="57" spans="2:7" ht="14" hidden="1" x14ac:dyDescent="0.3">
      <c r="B57" s="479" t="s">
        <v>2072</v>
      </c>
      <c r="C57" s="249" t="s">
        <v>3175</v>
      </c>
      <c r="D57" s="468" t="s">
        <v>3176</v>
      </c>
      <c r="E57" s="468" t="s">
        <v>178</v>
      </c>
      <c r="F57" s="468" t="s">
        <v>168</v>
      </c>
      <c r="G57" s="522" t="s">
        <v>3162</v>
      </c>
    </row>
    <row r="58" spans="2:7" ht="14" hidden="1" x14ac:dyDescent="0.3">
      <c r="B58" s="479" t="s">
        <v>2072</v>
      </c>
      <c r="C58" s="249" t="s">
        <v>3177</v>
      </c>
      <c r="D58" s="468" t="s">
        <v>3178</v>
      </c>
      <c r="E58" s="468" t="s">
        <v>171</v>
      </c>
      <c r="F58" s="468" t="s">
        <v>159</v>
      </c>
      <c r="G58" s="522" t="s">
        <v>3162</v>
      </c>
    </row>
    <row r="59" spans="2:7" ht="14" hidden="1" x14ac:dyDescent="0.3">
      <c r="B59" s="479" t="s">
        <v>2072</v>
      </c>
      <c r="C59" s="249" t="s">
        <v>3179</v>
      </c>
      <c r="D59" s="468" t="s">
        <v>3180</v>
      </c>
      <c r="E59" s="468" t="s">
        <v>171</v>
      </c>
      <c r="F59" s="468" t="s">
        <v>159</v>
      </c>
      <c r="G59" s="522" t="s">
        <v>3162</v>
      </c>
    </row>
    <row r="60" spans="2:7" ht="14" hidden="1" x14ac:dyDescent="0.3">
      <c r="B60" s="479" t="s">
        <v>2072</v>
      </c>
      <c r="C60" s="249" t="s">
        <v>3181</v>
      </c>
      <c r="D60" s="468" t="s">
        <v>3182</v>
      </c>
      <c r="E60" s="468" t="s">
        <v>171</v>
      </c>
      <c r="F60" s="468" t="s">
        <v>159</v>
      </c>
      <c r="G60" s="522" t="s">
        <v>3162</v>
      </c>
    </row>
    <row r="61" spans="2:7" ht="14" hidden="1" x14ac:dyDescent="0.3">
      <c r="B61" s="479" t="s">
        <v>2072</v>
      </c>
      <c r="C61" s="249" t="s">
        <v>3183</v>
      </c>
      <c r="D61" s="468" t="s">
        <v>3184</v>
      </c>
      <c r="E61" s="468" t="s">
        <v>171</v>
      </c>
      <c r="F61" s="468" t="s">
        <v>159</v>
      </c>
      <c r="G61" s="522" t="s">
        <v>3162</v>
      </c>
    </row>
    <row r="62" spans="2:7" ht="14" hidden="1" x14ac:dyDescent="0.3">
      <c r="B62" s="479" t="s">
        <v>2072</v>
      </c>
      <c r="C62" s="249" t="s">
        <v>3185</v>
      </c>
      <c r="D62" s="468" t="s">
        <v>3186</v>
      </c>
      <c r="E62" s="468" t="s">
        <v>213</v>
      </c>
      <c r="F62" s="468" t="s">
        <v>159</v>
      </c>
      <c r="G62" s="522" t="s">
        <v>3162</v>
      </c>
    </row>
    <row r="63" spans="2:7" ht="14" hidden="1" x14ac:dyDescent="0.3">
      <c r="B63" s="479" t="s">
        <v>2072</v>
      </c>
      <c r="C63" s="249" t="s">
        <v>3034</v>
      </c>
      <c r="D63" s="468" t="s">
        <v>3187</v>
      </c>
      <c r="E63" s="468"/>
      <c r="F63" s="468" t="s">
        <v>164</v>
      </c>
      <c r="G63" s="522" t="s">
        <v>3162</v>
      </c>
    </row>
    <row r="64" spans="2:7" ht="14" hidden="1" x14ac:dyDescent="0.3">
      <c r="B64" s="479" t="s">
        <v>2072</v>
      </c>
      <c r="C64" s="249" t="s">
        <v>3188</v>
      </c>
      <c r="D64" s="468" t="s">
        <v>3189</v>
      </c>
      <c r="E64" s="468" t="s">
        <v>167</v>
      </c>
      <c r="F64" s="468" t="s">
        <v>159</v>
      </c>
      <c r="G64" s="522" t="s">
        <v>3162</v>
      </c>
    </row>
    <row r="65" spans="2:7" ht="14" hidden="1" x14ac:dyDescent="0.3">
      <c r="B65" s="479" t="s">
        <v>2072</v>
      </c>
      <c r="C65" s="249" t="s">
        <v>3190</v>
      </c>
      <c r="D65" s="468" t="s">
        <v>1412</v>
      </c>
      <c r="E65" s="499" t="s">
        <v>171</v>
      </c>
      <c r="F65" s="468" t="s">
        <v>159</v>
      </c>
      <c r="G65" s="522" t="s">
        <v>3162</v>
      </c>
    </row>
    <row r="66" spans="2:7" ht="14" hidden="1" x14ac:dyDescent="0.3">
      <c r="B66" s="479" t="s">
        <v>2072</v>
      </c>
      <c r="C66" s="249" t="s">
        <v>3191</v>
      </c>
      <c r="D66" s="468" t="s">
        <v>3192</v>
      </c>
      <c r="E66" s="499" t="s">
        <v>171</v>
      </c>
      <c r="F66" s="468" t="s">
        <v>159</v>
      </c>
      <c r="G66" s="522" t="s">
        <v>3162</v>
      </c>
    </row>
    <row r="67" spans="2:7" ht="14" hidden="1" x14ac:dyDescent="0.3">
      <c r="B67" s="479" t="s">
        <v>2072</v>
      </c>
      <c r="C67" s="249" t="s">
        <v>3193</v>
      </c>
      <c r="D67" s="468" t="s">
        <v>3194</v>
      </c>
      <c r="E67" s="468" t="s">
        <v>178</v>
      </c>
      <c r="F67" s="468" t="s">
        <v>159</v>
      </c>
      <c r="G67" s="522" t="s">
        <v>3162</v>
      </c>
    </row>
    <row r="68" spans="2:7" ht="14" hidden="1" x14ac:dyDescent="0.3">
      <c r="B68" s="479" t="s">
        <v>2072</v>
      </c>
      <c r="C68" s="249" t="s">
        <v>3195</v>
      </c>
      <c r="D68" s="468" t="s">
        <v>3196</v>
      </c>
      <c r="E68" s="499"/>
      <c r="F68" s="468" t="s">
        <v>164</v>
      </c>
      <c r="G68" s="522" t="s">
        <v>3162</v>
      </c>
    </row>
    <row r="70" spans="2:7" ht="14" x14ac:dyDescent="0.3">
      <c r="D70" s="16"/>
    </row>
    <row r="71" spans="2:7" ht="14" x14ac:dyDescent="0.3">
      <c r="D71" s="16" t="s">
        <v>3197</v>
      </c>
    </row>
    <row r="72" spans="2:7" ht="14" x14ac:dyDescent="0.3">
      <c r="D72" s="16" t="s">
        <v>3198</v>
      </c>
    </row>
    <row r="73" spans="2:7" ht="14" x14ac:dyDescent="0.3">
      <c r="D73" s="16" t="s">
        <v>3199</v>
      </c>
    </row>
    <row r="75" spans="2:7" ht="14" x14ac:dyDescent="0.3">
      <c r="D75" s="16" t="s">
        <v>3200</v>
      </c>
    </row>
    <row r="76" spans="2:7" ht="14" x14ac:dyDescent="0.3">
      <c r="D76" s="16" t="s">
        <v>3201</v>
      </c>
    </row>
    <row r="78" spans="2:7" ht="14" x14ac:dyDescent="0.3">
      <c r="D78" s="16" t="s">
        <v>816</v>
      </c>
    </row>
    <row r="79" spans="2:7" ht="14" x14ac:dyDescent="0.3">
      <c r="D79" s="16" t="s">
        <v>3202</v>
      </c>
    </row>
    <row r="81" spans="4:4" ht="14" x14ac:dyDescent="0.3">
      <c r="D81" s="515">
        <v>44166</v>
      </c>
    </row>
    <row r="82" spans="4:4" ht="14" x14ac:dyDescent="0.3">
      <c r="D82" s="16" t="s">
        <v>3203</v>
      </c>
    </row>
    <row r="83" spans="4:4" ht="14" x14ac:dyDescent="0.3">
      <c r="D83" s="16" t="s">
        <v>3204</v>
      </c>
    </row>
    <row r="84" spans="4:4" ht="14" x14ac:dyDescent="0.3">
      <c r="D84" s="158"/>
    </row>
    <row r="85" spans="4:4" ht="14" x14ac:dyDescent="0.3">
      <c r="D85" s="16"/>
    </row>
    <row r="87" spans="4:4" ht="14" x14ac:dyDescent="0.3">
      <c r="D87" s="515">
        <v>44197</v>
      </c>
    </row>
    <row r="88" spans="4:4" ht="14" x14ac:dyDescent="0.3">
      <c r="D88" s="16" t="s">
        <v>3205</v>
      </c>
    </row>
    <row r="89" spans="4:4" ht="14" x14ac:dyDescent="0.3">
      <c r="D89" s="16" t="s">
        <v>3206</v>
      </c>
    </row>
    <row r="90" spans="4:4" ht="14" x14ac:dyDescent="0.3">
      <c r="D90" s="16" t="s">
        <v>3207</v>
      </c>
    </row>
    <row r="93" spans="4:4" ht="14" x14ac:dyDescent="0.3">
      <c r="D93" s="16" t="s">
        <v>831</v>
      </c>
    </row>
    <row r="94" spans="4:4" ht="14" x14ac:dyDescent="0.3">
      <c r="D94" s="16" t="s">
        <v>3208</v>
      </c>
    </row>
    <row r="95" spans="4:4" ht="14" x14ac:dyDescent="0.3">
      <c r="D95" s="16" t="s">
        <v>3209</v>
      </c>
    </row>
    <row r="96" spans="4:4" ht="14" x14ac:dyDescent="0.3">
      <c r="D96" s="16" t="s">
        <v>3210</v>
      </c>
    </row>
    <row r="98" spans="4:4" ht="14" x14ac:dyDescent="0.3">
      <c r="D98" s="16" t="s">
        <v>851</v>
      </c>
    </row>
    <row r="99" spans="4:4" ht="14" x14ac:dyDescent="0.3">
      <c r="D99" s="16" t="s">
        <v>3211</v>
      </c>
    </row>
    <row r="101" spans="4:4" ht="14" x14ac:dyDescent="0.3">
      <c r="D101" s="16" t="s">
        <v>867</v>
      </c>
    </row>
    <row r="102" spans="4:4" ht="14" x14ac:dyDescent="0.3">
      <c r="D102" s="16" t="s">
        <v>3212</v>
      </c>
    </row>
    <row r="103" spans="4:4" ht="14" x14ac:dyDescent="0.3">
      <c r="D103" s="16" t="s">
        <v>3213</v>
      </c>
    </row>
    <row r="105" spans="4:4" ht="14" x14ac:dyDescent="0.3">
      <c r="D105" s="16" t="s">
        <v>870</v>
      </c>
    </row>
    <row r="106" spans="4:4" ht="14" x14ac:dyDescent="0.3">
      <c r="D106" s="500" t="s">
        <v>3214</v>
      </c>
    </row>
    <row r="107" spans="4:4" ht="14" x14ac:dyDescent="0.3">
      <c r="D107" s="16" t="s">
        <v>3215</v>
      </c>
    </row>
    <row r="108" spans="4:4" ht="14" x14ac:dyDescent="0.3">
      <c r="D108" s="16" t="s">
        <v>3216</v>
      </c>
    </row>
    <row r="110" spans="4:4" ht="15.05" customHeight="1" x14ac:dyDescent="0.3">
      <c r="D110" s="16" t="s">
        <v>901</v>
      </c>
    </row>
    <row r="111" spans="4:4" ht="15.05" customHeight="1" x14ac:dyDescent="0.3">
      <c r="D111" s="16" t="s">
        <v>3217</v>
      </c>
    </row>
    <row r="112" spans="4:4" ht="15.05" customHeight="1" x14ac:dyDescent="0.3">
      <c r="D112" s="16" t="s">
        <v>3218</v>
      </c>
    </row>
    <row r="114" spans="4:7" ht="14" x14ac:dyDescent="0.3">
      <c r="D114" s="16" t="s">
        <v>1014</v>
      </c>
    </row>
    <row r="115" spans="4:7" ht="40.299999999999997" x14ac:dyDescent="0.25">
      <c r="D115" s="479" t="s">
        <v>3219</v>
      </c>
    </row>
    <row r="117" spans="4:7" ht="14" x14ac:dyDescent="0.3">
      <c r="D117" s="16" t="s">
        <v>1016</v>
      </c>
    </row>
    <row r="118" spans="4:7" ht="40.299999999999997" x14ac:dyDescent="0.25">
      <c r="D118" s="479" t="s">
        <v>3220</v>
      </c>
    </row>
    <row r="120" spans="4:7" ht="14" x14ac:dyDescent="0.3">
      <c r="D120" s="16" t="s">
        <v>2538</v>
      </c>
    </row>
    <row r="121" spans="4:7" ht="26.9" x14ac:dyDescent="0.25">
      <c r="D121" s="479" t="s">
        <v>3221</v>
      </c>
    </row>
    <row r="122" spans="4:7" ht="14" x14ac:dyDescent="0.3">
      <c r="D122" s="628" t="s">
        <v>3222</v>
      </c>
      <c r="E122" s="628"/>
      <c r="F122" s="628"/>
      <c r="G122" s="628"/>
    </row>
    <row r="123" spans="4:7" ht="26.9" x14ac:dyDescent="0.25">
      <c r="D123" s="479" t="s">
        <v>2539</v>
      </c>
    </row>
    <row r="125" spans="4:7" ht="13.45" x14ac:dyDescent="0.25">
      <c r="D125" s="523">
        <v>45017</v>
      </c>
    </row>
    <row r="126" spans="4:7" ht="13.45" x14ac:dyDescent="0.25">
      <c r="D126" s="550" t="s">
        <v>3223</v>
      </c>
    </row>
    <row r="127" spans="4:7" ht="13.45" x14ac:dyDescent="0.25">
      <c r="D127" s="523"/>
    </row>
    <row r="128" spans="4:7" ht="13.45" x14ac:dyDescent="0.25">
      <c r="D128" s="523">
        <v>45047</v>
      </c>
    </row>
    <row r="129" spans="4:4" ht="26.9" x14ac:dyDescent="0.25">
      <c r="D129" s="479" t="s">
        <v>3224</v>
      </c>
    </row>
    <row r="131" spans="4:4" ht="13.45" x14ac:dyDescent="0.25">
      <c r="D131" s="337">
        <v>45139</v>
      </c>
    </row>
    <row r="132" spans="4:4" ht="13.45" x14ac:dyDescent="0.25">
      <c r="D132" s="479" t="s">
        <v>3225</v>
      </c>
    </row>
    <row r="134" spans="4:4" ht="13.45" x14ac:dyDescent="0.25">
      <c r="D134" s="509">
        <v>45170</v>
      </c>
    </row>
    <row r="136" spans="4:4" ht="13.45" x14ac:dyDescent="0.25">
      <c r="D136" s="479" t="s">
        <v>3226</v>
      </c>
    </row>
    <row r="138" spans="4:4" ht="13.45" x14ac:dyDescent="0.25">
      <c r="D138" s="337">
        <v>45231</v>
      </c>
    </row>
    <row r="139" spans="4:4" ht="14" x14ac:dyDescent="0.3">
      <c r="D139" s="555" t="s">
        <v>3227</v>
      </c>
    </row>
  </sheetData>
  <autoFilter ref="C3:G68" xr:uid="{00000000-0009-0000-0000-000024000000}">
    <filterColumn colId="4">
      <filters>
        <filter val="19ªVARA"/>
      </filters>
    </filterColumn>
  </autoFilter>
  <mergeCells count="1">
    <mergeCell ref="D122:G122"/>
  </mergeCells>
  <pageMargins left="0.51180555555555596" right="0.51180555555555596" top="0.78749999999999998" bottom="0.78749999999999998" header="0.511811023622047" footer="0.511811023622047"/>
  <pageSetup orientation="landscape" horizontalDpi="300" verticalDpi="30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B3:G995"/>
  <sheetViews>
    <sheetView topLeftCell="A16" zoomScale="110" zoomScaleNormal="110" workbookViewId="0">
      <selection activeCell="D4" activeCellId="1" sqref="B9 D4"/>
    </sheetView>
  </sheetViews>
  <sheetFormatPr defaultColWidth="12.6328125" defaultRowHeight="14.25" customHeight="1" x14ac:dyDescent="0.25"/>
  <cols>
    <col min="1" max="1" width="7.6328125" customWidth="1"/>
    <col min="2" max="2" width="10.08984375" customWidth="1"/>
    <col min="3" max="3" width="12.36328125" customWidth="1"/>
    <col min="4" max="4" width="44.6328125" customWidth="1"/>
    <col min="5" max="5" width="8.90625" customWidth="1"/>
    <col min="6" max="6" width="11.453125" customWidth="1"/>
    <col min="7" max="26" width="7.6328125" customWidth="1"/>
  </cols>
  <sheetData>
    <row r="3" spans="2:6" ht="36.799999999999997" customHeight="1" x14ac:dyDescent="0.25">
      <c r="C3" s="212" t="s">
        <v>149</v>
      </c>
      <c r="D3" s="212" t="s">
        <v>150</v>
      </c>
      <c r="E3" s="212" t="s">
        <v>118</v>
      </c>
      <c r="F3" s="212" t="s">
        <v>970</v>
      </c>
    </row>
    <row r="4" spans="2:6" ht="14" x14ac:dyDescent="0.3">
      <c r="C4" s="249" t="s">
        <v>3228</v>
      </c>
      <c r="D4" s="559" t="s">
        <v>3229</v>
      </c>
      <c r="E4" s="468" t="s">
        <v>290</v>
      </c>
      <c r="F4" s="468" t="s">
        <v>159</v>
      </c>
    </row>
    <row r="5" spans="2:6" ht="14" x14ac:dyDescent="0.3">
      <c r="C5" s="249" t="s">
        <v>3230</v>
      </c>
      <c r="D5" s="559" t="s">
        <v>3231</v>
      </c>
      <c r="E5" s="468" t="s">
        <v>171</v>
      </c>
      <c r="F5" s="468" t="s">
        <v>159</v>
      </c>
    </row>
    <row r="6" spans="2:6" ht="14" x14ac:dyDescent="0.3">
      <c r="C6" s="249" t="s">
        <v>3232</v>
      </c>
      <c r="D6" s="559" t="s">
        <v>3233</v>
      </c>
      <c r="E6" s="468" t="s">
        <v>171</v>
      </c>
      <c r="F6" s="468" t="s">
        <v>159</v>
      </c>
    </row>
    <row r="7" spans="2:6" ht="14" x14ac:dyDescent="0.3">
      <c r="C7" s="249" t="s">
        <v>3234</v>
      </c>
      <c r="D7" s="559" t="s">
        <v>3235</v>
      </c>
      <c r="E7" s="468" t="s">
        <v>178</v>
      </c>
      <c r="F7" s="468" t="s">
        <v>159</v>
      </c>
    </row>
    <row r="8" spans="2:6" ht="14" x14ac:dyDescent="0.3">
      <c r="C8" s="249" t="s">
        <v>3236</v>
      </c>
      <c r="D8" s="559" t="s">
        <v>3237</v>
      </c>
      <c r="E8" s="468" t="s">
        <v>171</v>
      </c>
      <c r="F8" s="468" t="s">
        <v>159</v>
      </c>
    </row>
    <row r="9" spans="2:6" ht="18.8" customHeight="1" x14ac:dyDescent="0.3">
      <c r="B9" s="479" t="s">
        <v>1862</v>
      </c>
      <c r="C9" s="249" t="s">
        <v>3238</v>
      </c>
      <c r="D9" s="559" t="s">
        <v>3239</v>
      </c>
      <c r="E9" s="468" t="s">
        <v>171</v>
      </c>
      <c r="F9" s="468" t="s">
        <v>159</v>
      </c>
    </row>
    <row r="10" spans="2:6" ht="14" x14ac:dyDescent="0.3">
      <c r="C10" s="249" t="s">
        <v>3240</v>
      </c>
      <c r="D10" s="559" t="s">
        <v>3241</v>
      </c>
      <c r="E10" s="468" t="s">
        <v>178</v>
      </c>
      <c r="F10" s="468" t="s">
        <v>159</v>
      </c>
    </row>
    <row r="11" spans="2:6" ht="14" x14ac:dyDescent="0.3">
      <c r="C11" s="249" t="s">
        <v>3242</v>
      </c>
      <c r="D11" s="559" t="s">
        <v>3243</v>
      </c>
      <c r="E11" s="468" t="s">
        <v>171</v>
      </c>
      <c r="F11" s="468" t="s">
        <v>159</v>
      </c>
    </row>
    <row r="12" spans="2:6" ht="14" x14ac:dyDescent="0.3">
      <c r="C12" s="249" t="s">
        <v>3244</v>
      </c>
      <c r="D12" s="559" t="s">
        <v>3245</v>
      </c>
      <c r="E12" s="468" t="s">
        <v>178</v>
      </c>
      <c r="F12" s="468" t="s">
        <v>159</v>
      </c>
    </row>
    <row r="13" spans="2:6" ht="14" x14ac:dyDescent="0.3">
      <c r="C13" s="249" t="s">
        <v>3246</v>
      </c>
      <c r="D13" s="559" t="s">
        <v>3247</v>
      </c>
      <c r="E13" s="468" t="s">
        <v>171</v>
      </c>
      <c r="F13" s="468" t="s">
        <v>159</v>
      </c>
    </row>
    <row r="14" spans="2:6" ht="14" x14ac:dyDescent="0.3">
      <c r="C14" s="249" t="s">
        <v>3248</v>
      </c>
      <c r="D14" s="559" t="s">
        <v>3249</v>
      </c>
      <c r="E14" s="468" t="s">
        <v>178</v>
      </c>
      <c r="F14" s="468" t="s">
        <v>159</v>
      </c>
    </row>
    <row r="15" spans="2:6" ht="14" x14ac:dyDescent="0.3">
      <c r="C15" s="249" t="s">
        <v>3250</v>
      </c>
      <c r="D15" s="559" t="s">
        <v>3251</v>
      </c>
      <c r="E15" s="468" t="s">
        <v>178</v>
      </c>
      <c r="F15" s="468" t="s">
        <v>159</v>
      </c>
    </row>
    <row r="16" spans="2:6" ht="14" x14ac:dyDescent="0.3">
      <c r="C16" s="249" t="s">
        <v>3252</v>
      </c>
      <c r="D16" s="559" t="s">
        <v>3253</v>
      </c>
      <c r="E16" s="468" t="s">
        <v>171</v>
      </c>
      <c r="F16" s="468" t="s">
        <v>159</v>
      </c>
    </row>
    <row r="17" spans="3:7" ht="15.75" customHeight="1" x14ac:dyDescent="0.3">
      <c r="C17" s="249" t="s">
        <v>3254</v>
      </c>
      <c r="D17" s="559" t="s">
        <v>3255</v>
      </c>
      <c r="E17" s="468" t="s">
        <v>171</v>
      </c>
      <c r="F17" s="468" t="s">
        <v>159</v>
      </c>
    </row>
    <row r="18" spans="3:7" ht="15.75" customHeight="1" x14ac:dyDescent="0.3">
      <c r="C18" s="249" t="s">
        <v>3256</v>
      </c>
      <c r="D18" s="560" t="s">
        <v>3257</v>
      </c>
      <c r="E18" s="468" t="s">
        <v>290</v>
      </c>
      <c r="F18" s="468" t="s">
        <v>159</v>
      </c>
    </row>
    <row r="19" spans="3:7" ht="15.75" customHeight="1" x14ac:dyDescent="0.3">
      <c r="C19" s="249" t="s">
        <v>3258</v>
      </c>
      <c r="D19" s="560" t="s">
        <v>3259</v>
      </c>
      <c r="E19" s="468"/>
      <c r="F19" s="468" t="s">
        <v>3260</v>
      </c>
      <c r="G19" s="504"/>
    </row>
    <row r="20" spans="3:7" ht="15.75" customHeight="1" x14ac:dyDescent="0.3">
      <c r="C20" s="507">
        <v>44409</v>
      </c>
    </row>
    <row r="21" spans="3:7" ht="15.75" customHeight="1" x14ac:dyDescent="0.3">
      <c r="C21" s="16" t="s">
        <v>3261</v>
      </c>
    </row>
    <row r="22" spans="3:7" ht="15.75" customHeight="1" x14ac:dyDescent="0.25"/>
    <row r="23" spans="3:7" ht="15.75" customHeight="1" x14ac:dyDescent="0.3">
      <c r="C23" s="507">
        <v>44440</v>
      </c>
    </row>
    <row r="24" spans="3:7" ht="15.75" customHeight="1" x14ac:dyDescent="0.3">
      <c r="C24" s="16" t="s">
        <v>3262</v>
      </c>
    </row>
    <row r="25" spans="3:7" ht="15.75" customHeight="1" x14ac:dyDescent="0.3">
      <c r="C25" s="16" t="s">
        <v>3263</v>
      </c>
    </row>
    <row r="26" spans="3:7" ht="15.75" customHeight="1" x14ac:dyDescent="0.25"/>
    <row r="27" spans="3:7" ht="15.75" customHeight="1" x14ac:dyDescent="0.3">
      <c r="C27" s="507">
        <v>44470</v>
      </c>
    </row>
    <row r="28" spans="3:7" ht="15.75" customHeight="1" x14ac:dyDescent="0.3">
      <c r="C28" s="16" t="s">
        <v>3264</v>
      </c>
    </row>
    <row r="29" spans="3:7" ht="15.75" customHeight="1" x14ac:dyDescent="0.3">
      <c r="C29" s="16" t="s">
        <v>3265</v>
      </c>
    </row>
    <row r="30" spans="3:7" ht="15.75" customHeight="1" x14ac:dyDescent="0.3">
      <c r="C30" s="16"/>
    </row>
    <row r="31" spans="3:7" ht="15.75" customHeight="1" x14ac:dyDescent="0.3">
      <c r="C31" s="16"/>
    </row>
    <row r="32" spans="3:7" ht="15.75" customHeight="1" x14ac:dyDescent="0.3">
      <c r="C32" s="507">
        <v>44682</v>
      </c>
    </row>
    <row r="33" spans="3:7" ht="15.75" customHeight="1" x14ac:dyDescent="0.3">
      <c r="C33" s="16" t="s">
        <v>3266</v>
      </c>
    </row>
    <row r="34" spans="3:7" ht="15.75" customHeight="1" x14ac:dyDescent="0.3">
      <c r="C34" s="16" t="s">
        <v>3267</v>
      </c>
    </row>
    <row r="35" spans="3:7" ht="15.75" customHeight="1" x14ac:dyDescent="0.25"/>
    <row r="36" spans="3:7" ht="15.75" customHeight="1" x14ac:dyDescent="0.3">
      <c r="C36" s="249" t="s">
        <v>3268</v>
      </c>
      <c r="D36" s="468" t="s">
        <v>1594</v>
      </c>
      <c r="E36" s="468" t="s">
        <v>178</v>
      </c>
      <c r="F36" s="468" t="s">
        <v>159</v>
      </c>
      <c r="G36" s="561" t="s">
        <v>2035</v>
      </c>
    </row>
    <row r="37" spans="3:7" ht="15.75" customHeight="1" x14ac:dyDescent="0.25"/>
    <row r="38" spans="3:7" ht="15.75" customHeight="1" x14ac:dyDescent="0.25"/>
    <row r="39" spans="3:7" ht="15.75" customHeight="1" x14ac:dyDescent="0.3">
      <c r="C39" s="249" t="s">
        <v>3269</v>
      </c>
      <c r="D39" s="559" t="s">
        <v>3270</v>
      </c>
      <c r="E39" s="468"/>
      <c r="F39" s="468" t="s">
        <v>164</v>
      </c>
    </row>
    <row r="40" spans="3:7" ht="15.75" customHeight="1" x14ac:dyDescent="0.25"/>
    <row r="41" spans="3:7" ht="15.75" customHeight="1" x14ac:dyDescent="0.25"/>
    <row r="42" spans="3:7" ht="15.75" customHeight="1" x14ac:dyDescent="0.25"/>
    <row r="43" spans="3:7" ht="15.75" customHeight="1" x14ac:dyDescent="0.25"/>
    <row r="44" spans="3:7" ht="15.75" customHeight="1" x14ac:dyDescent="0.25"/>
    <row r="45" spans="3:7" ht="15.75" customHeight="1" x14ac:dyDescent="0.25"/>
    <row r="46" spans="3:7" ht="15.75" customHeight="1" x14ac:dyDescent="0.25"/>
    <row r="47" spans="3:7" ht="15.75" customHeight="1" x14ac:dyDescent="0.25"/>
    <row r="48" spans="3:7"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sheetData>
  <autoFilter ref="C3:F21" xr:uid="{00000000-0009-0000-0000-000025000000}"/>
  <pageMargins left="0.51180555555555596" right="0.51180555555555596" top="0.78749999999999998" bottom="0.78749999999999998" header="0.511811023622047" footer="0.511811023622047"/>
  <pageSetup orientation="landscape" horizontalDpi="300" verticalDpi="300"/>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filterMode="1"/>
  <dimension ref="B3:H79"/>
  <sheetViews>
    <sheetView topLeftCell="C1" zoomScale="110" zoomScaleNormal="110" workbookViewId="0">
      <selection activeCell="D11" activeCellId="1" sqref="B9 D11"/>
    </sheetView>
  </sheetViews>
  <sheetFormatPr defaultColWidth="12.6328125" defaultRowHeight="14.25" customHeight="1" x14ac:dyDescent="0.25"/>
  <cols>
    <col min="4" max="4" width="40" customWidth="1"/>
  </cols>
  <sheetData>
    <row r="3" spans="3:8" ht="24.75" customHeight="1" x14ac:dyDescent="0.25">
      <c r="C3" s="212" t="s">
        <v>149</v>
      </c>
      <c r="D3" s="212" t="s">
        <v>150</v>
      </c>
      <c r="E3" s="212" t="s">
        <v>118</v>
      </c>
      <c r="F3" s="212" t="s">
        <v>970</v>
      </c>
      <c r="G3" s="212" t="s">
        <v>1651</v>
      </c>
    </row>
    <row r="4" spans="3:8" ht="14" x14ac:dyDescent="0.3">
      <c r="C4" s="249" t="s">
        <v>3271</v>
      </c>
      <c r="D4" s="468" t="s">
        <v>3272</v>
      </c>
      <c r="E4" s="468" t="s">
        <v>171</v>
      </c>
      <c r="F4" s="468" t="s">
        <v>159</v>
      </c>
      <c r="G4" s="468" t="s">
        <v>3273</v>
      </c>
      <c r="H4" s="16"/>
    </row>
    <row r="5" spans="3:8" ht="14" hidden="1" x14ac:dyDescent="0.3">
      <c r="C5" s="249" t="s">
        <v>3274</v>
      </c>
      <c r="D5" s="468" t="s">
        <v>3275</v>
      </c>
      <c r="E5" s="468"/>
      <c r="F5" s="468" t="s">
        <v>246</v>
      </c>
      <c r="G5" s="468" t="s">
        <v>2449</v>
      </c>
      <c r="H5" s="479"/>
    </row>
    <row r="6" spans="3:8" ht="14" x14ac:dyDescent="0.3">
      <c r="C6" s="249" t="s">
        <v>3276</v>
      </c>
      <c r="D6" s="468" t="s">
        <v>3277</v>
      </c>
      <c r="E6" s="468" t="s">
        <v>290</v>
      </c>
      <c r="F6" s="468" t="s">
        <v>159</v>
      </c>
      <c r="G6" s="468" t="s">
        <v>3273</v>
      </c>
    </row>
    <row r="7" spans="3:8" ht="14" x14ac:dyDescent="0.3">
      <c r="C7" s="249" t="s">
        <v>3278</v>
      </c>
      <c r="D7" s="468" t="s">
        <v>3279</v>
      </c>
      <c r="E7" s="468" t="s">
        <v>290</v>
      </c>
      <c r="F7" s="468" t="s">
        <v>159</v>
      </c>
      <c r="G7" s="468" t="s">
        <v>3273</v>
      </c>
    </row>
    <row r="8" spans="3:8" ht="14" x14ac:dyDescent="0.3">
      <c r="C8" s="249" t="s">
        <v>3280</v>
      </c>
      <c r="D8" s="468" t="s">
        <v>3281</v>
      </c>
      <c r="E8" s="468" t="s">
        <v>213</v>
      </c>
      <c r="F8" s="468" t="s">
        <v>159</v>
      </c>
      <c r="G8" s="468" t="s">
        <v>3273</v>
      </c>
    </row>
    <row r="9" spans="3:8" ht="14" x14ac:dyDescent="0.3">
      <c r="C9" s="249" t="s">
        <v>3282</v>
      </c>
      <c r="D9" s="468" t="s">
        <v>3283</v>
      </c>
      <c r="E9" s="468" t="s">
        <v>213</v>
      </c>
      <c r="F9" s="468" t="s">
        <v>159</v>
      </c>
      <c r="G9" s="468" t="s">
        <v>3273</v>
      </c>
    </row>
    <row r="10" spans="3:8" ht="14" x14ac:dyDescent="0.3">
      <c r="C10" s="249" t="s">
        <v>3284</v>
      </c>
      <c r="D10" s="468" t="s">
        <v>3285</v>
      </c>
      <c r="E10" s="468" t="s">
        <v>178</v>
      </c>
      <c r="F10" s="468" t="s">
        <v>159</v>
      </c>
      <c r="G10" s="468" t="s">
        <v>3273</v>
      </c>
    </row>
    <row r="11" spans="3:8" ht="14" x14ac:dyDescent="0.3">
      <c r="C11" s="249" t="s">
        <v>3286</v>
      </c>
      <c r="D11" s="468" t="s">
        <v>3287</v>
      </c>
      <c r="E11" s="468" t="s">
        <v>178</v>
      </c>
      <c r="F11" s="468" t="s">
        <v>159</v>
      </c>
      <c r="G11" s="468" t="s">
        <v>3273</v>
      </c>
    </row>
    <row r="12" spans="3:8" ht="14" x14ac:dyDescent="0.3">
      <c r="C12" s="249" t="s">
        <v>3288</v>
      </c>
      <c r="D12" s="468" t="s">
        <v>3289</v>
      </c>
      <c r="E12" s="468" t="s">
        <v>171</v>
      </c>
      <c r="F12" s="468" t="s">
        <v>159</v>
      </c>
      <c r="G12" s="468" t="s">
        <v>3273</v>
      </c>
    </row>
    <row r="13" spans="3:8" ht="14" x14ac:dyDescent="0.3">
      <c r="C13" s="249" t="s">
        <v>3290</v>
      </c>
      <c r="D13" s="468" t="s">
        <v>3291</v>
      </c>
      <c r="E13" s="468" t="s">
        <v>171</v>
      </c>
      <c r="F13" s="468" t="s">
        <v>159</v>
      </c>
      <c r="G13" s="468" t="s">
        <v>3273</v>
      </c>
    </row>
    <row r="14" spans="3:8" ht="14" x14ac:dyDescent="0.3">
      <c r="C14" s="249" t="s">
        <v>3292</v>
      </c>
      <c r="D14" s="521" t="s">
        <v>3293</v>
      </c>
      <c r="E14" s="468" t="s">
        <v>178</v>
      </c>
      <c r="F14" s="468" t="s">
        <v>159</v>
      </c>
      <c r="G14" s="468" t="s">
        <v>3273</v>
      </c>
    </row>
    <row r="15" spans="3:8" ht="14" hidden="1" x14ac:dyDescent="0.3">
      <c r="C15" s="249" t="s">
        <v>3294</v>
      </c>
      <c r="D15" s="521" t="s">
        <v>3295</v>
      </c>
      <c r="E15" s="468" t="s">
        <v>171</v>
      </c>
      <c r="F15" s="468" t="s">
        <v>159</v>
      </c>
      <c r="G15" s="468" t="s">
        <v>2449</v>
      </c>
    </row>
    <row r="16" spans="3:8" ht="14" x14ac:dyDescent="0.3">
      <c r="C16" s="249" t="s">
        <v>3296</v>
      </c>
      <c r="D16" s="468" t="s">
        <v>1504</v>
      </c>
      <c r="E16" s="468" t="s">
        <v>178</v>
      </c>
      <c r="F16" s="468" t="s">
        <v>159</v>
      </c>
      <c r="G16" s="468" t="s">
        <v>3273</v>
      </c>
      <c r="H16" s="16"/>
    </row>
    <row r="17" spans="2:8" ht="14" x14ac:dyDescent="0.3">
      <c r="C17" s="249" t="s">
        <v>3297</v>
      </c>
      <c r="D17" s="468" t="s">
        <v>3298</v>
      </c>
      <c r="E17" s="558" t="s">
        <v>171</v>
      </c>
      <c r="F17" s="558" t="s">
        <v>159</v>
      </c>
      <c r="G17" s="468" t="s">
        <v>3273</v>
      </c>
      <c r="H17" s="16"/>
    </row>
    <row r="18" spans="2:8" ht="14" x14ac:dyDescent="0.3">
      <c r="C18" s="249" t="s">
        <v>3299</v>
      </c>
      <c r="D18" s="468" t="s">
        <v>3300</v>
      </c>
      <c r="E18" s="468" t="s">
        <v>171</v>
      </c>
      <c r="F18" s="468" t="s">
        <v>159</v>
      </c>
      <c r="G18" s="468" t="s">
        <v>3273</v>
      </c>
      <c r="H18" s="16"/>
    </row>
    <row r="19" spans="2:8" ht="14" x14ac:dyDescent="0.3">
      <c r="C19" s="249" t="s">
        <v>1856</v>
      </c>
      <c r="D19" s="468" t="s">
        <v>1857</v>
      </c>
      <c r="E19" s="468" t="s">
        <v>171</v>
      </c>
      <c r="F19" s="468" t="s">
        <v>159</v>
      </c>
      <c r="G19" s="468" t="s">
        <v>3273</v>
      </c>
    </row>
    <row r="20" spans="2:8" ht="14" x14ac:dyDescent="0.3">
      <c r="C20" s="249" t="s">
        <v>3301</v>
      </c>
      <c r="D20" s="468" t="s">
        <v>1283</v>
      </c>
      <c r="E20" s="468" t="s">
        <v>167</v>
      </c>
      <c r="F20" s="468" t="s">
        <v>159</v>
      </c>
      <c r="G20" s="468" t="s">
        <v>3273</v>
      </c>
    </row>
    <row r="21" spans="2:8" ht="14" x14ac:dyDescent="0.3">
      <c r="B21" s="479"/>
      <c r="C21" s="249" t="s">
        <v>3234</v>
      </c>
      <c r="D21" s="468" t="s">
        <v>3235</v>
      </c>
      <c r="E21" s="468" t="s">
        <v>178</v>
      </c>
      <c r="F21" s="468" t="s">
        <v>159</v>
      </c>
      <c r="G21" s="468" t="s">
        <v>3273</v>
      </c>
    </row>
    <row r="22" spans="2:8" ht="14" x14ac:dyDescent="0.3">
      <c r="B22" s="479"/>
      <c r="C22" s="249" t="s">
        <v>3302</v>
      </c>
      <c r="D22" s="468" t="s">
        <v>3303</v>
      </c>
      <c r="E22" s="469" t="s">
        <v>171</v>
      </c>
      <c r="F22" s="502" t="s">
        <v>159</v>
      </c>
      <c r="G22" s="468" t="s">
        <v>3273</v>
      </c>
    </row>
    <row r="23" spans="2:8" ht="14" x14ac:dyDescent="0.3">
      <c r="B23" s="479" t="s">
        <v>1862</v>
      </c>
      <c r="C23" s="249" t="s">
        <v>3304</v>
      </c>
      <c r="D23" s="468" t="s">
        <v>3305</v>
      </c>
      <c r="E23" s="468" t="s">
        <v>178</v>
      </c>
      <c r="F23" s="468" t="s">
        <v>159</v>
      </c>
      <c r="G23" s="468" t="s">
        <v>3273</v>
      </c>
    </row>
    <row r="27" spans="2:8" ht="14" x14ac:dyDescent="0.3">
      <c r="C27" s="555" t="s">
        <v>3306</v>
      </c>
    </row>
    <row r="28" spans="2:8" ht="14" x14ac:dyDescent="0.3">
      <c r="C28" s="16" t="s">
        <v>3307</v>
      </c>
    </row>
    <row r="29" spans="2:8" ht="14" x14ac:dyDescent="0.3">
      <c r="C29" s="16" t="s">
        <v>3308</v>
      </c>
    </row>
    <row r="31" spans="2:8" ht="14" x14ac:dyDescent="0.3">
      <c r="C31" s="16" t="s">
        <v>756</v>
      </c>
    </row>
    <row r="32" spans="2:8" ht="14" x14ac:dyDescent="0.3">
      <c r="C32" s="16" t="s">
        <v>3309</v>
      </c>
    </row>
    <row r="33" spans="3:3" ht="14" x14ac:dyDescent="0.3">
      <c r="C33" s="16" t="s">
        <v>3310</v>
      </c>
    </row>
    <row r="35" spans="3:3" ht="14" x14ac:dyDescent="0.3">
      <c r="C35" s="16" t="s">
        <v>767</v>
      </c>
    </row>
    <row r="36" spans="3:3" ht="14" x14ac:dyDescent="0.3">
      <c r="C36" s="16" t="s">
        <v>3311</v>
      </c>
    </row>
    <row r="38" spans="3:3" ht="14" x14ac:dyDescent="0.3">
      <c r="C38" s="507">
        <v>44166</v>
      </c>
    </row>
    <row r="39" spans="3:3" ht="14" x14ac:dyDescent="0.3">
      <c r="C39" s="16" t="s">
        <v>3312</v>
      </c>
    </row>
    <row r="40" spans="3:3" ht="14" x14ac:dyDescent="0.3">
      <c r="C40" s="16" t="s">
        <v>3313</v>
      </c>
    </row>
    <row r="42" spans="3:3" ht="14" x14ac:dyDescent="0.3">
      <c r="C42" s="562">
        <v>44197</v>
      </c>
    </row>
    <row r="43" spans="3:3" ht="14" x14ac:dyDescent="0.3">
      <c r="C43" s="16" t="s">
        <v>3314</v>
      </c>
    </row>
    <row r="45" spans="3:3" ht="14" x14ac:dyDescent="0.3">
      <c r="C45" s="507">
        <v>44287</v>
      </c>
    </row>
    <row r="46" spans="3:3" ht="14" x14ac:dyDescent="0.3">
      <c r="C46" s="16" t="s">
        <v>3315</v>
      </c>
    </row>
    <row r="48" spans="3:3" ht="14" x14ac:dyDescent="0.3">
      <c r="C48" s="16" t="s">
        <v>837</v>
      </c>
    </row>
    <row r="49" spans="3:3" ht="14" x14ac:dyDescent="0.3">
      <c r="C49" s="16" t="s">
        <v>3316</v>
      </c>
    </row>
    <row r="51" spans="3:3" ht="14" x14ac:dyDescent="0.3">
      <c r="C51" s="16" t="s">
        <v>858</v>
      </c>
    </row>
    <row r="52" spans="3:3" ht="14" x14ac:dyDescent="0.3">
      <c r="C52" s="16" t="s">
        <v>3317</v>
      </c>
    </row>
    <row r="54" spans="3:3" ht="14" x14ac:dyDescent="0.3">
      <c r="C54" s="16" t="s">
        <v>870</v>
      </c>
    </row>
    <row r="55" spans="3:3" ht="14" x14ac:dyDescent="0.3">
      <c r="C55" s="16" t="s">
        <v>3318</v>
      </c>
    </row>
    <row r="56" spans="3:3" ht="14" x14ac:dyDescent="0.3">
      <c r="C56" s="16" t="s">
        <v>3319</v>
      </c>
    </row>
    <row r="57" spans="3:3" ht="14" x14ac:dyDescent="0.3">
      <c r="C57" s="16" t="s">
        <v>3320</v>
      </c>
    </row>
    <row r="58" spans="3:3" ht="14" x14ac:dyDescent="0.3">
      <c r="C58" s="16" t="s">
        <v>3321</v>
      </c>
    </row>
    <row r="59" spans="3:3" ht="14" x14ac:dyDescent="0.3">
      <c r="C59" s="16" t="s">
        <v>3322</v>
      </c>
    </row>
    <row r="61" spans="3:3" ht="14" x14ac:dyDescent="0.3">
      <c r="C61" s="16" t="s">
        <v>901</v>
      </c>
    </row>
    <row r="62" spans="3:3" ht="107.5" x14ac:dyDescent="0.25">
      <c r="C62" s="479" t="s">
        <v>3323</v>
      </c>
    </row>
    <row r="63" spans="3:3" ht="120.9" x14ac:dyDescent="0.25">
      <c r="C63" s="479" t="s">
        <v>3324</v>
      </c>
    </row>
    <row r="64" spans="3:3" ht="174.65" x14ac:dyDescent="0.25">
      <c r="C64" s="479" t="s">
        <v>3325</v>
      </c>
    </row>
    <row r="66" spans="3:3" ht="14" x14ac:dyDescent="0.3">
      <c r="C66" s="16" t="s">
        <v>1014</v>
      </c>
    </row>
    <row r="67" spans="3:3" ht="120.9" x14ac:dyDescent="0.25">
      <c r="C67" s="479" t="s">
        <v>3326</v>
      </c>
    </row>
    <row r="68" spans="3:3" ht="120.9" x14ac:dyDescent="0.25">
      <c r="C68" s="479" t="s">
        <v>3327</v>
      </c>
    </row>
    <row r="70" spans="3:3" ht="13.45" x14ac:dyDescent="0.25">
      <c r="C70" s="337">
        <v>45108</v>
      </c>
    </row>
    <row r="71" spans="3:3" ht="67.2" x14ac:dyDescent="0.25">
      <c r="C71" s="479" t="s">
        <v>3328</v>
      </c>
    </row>
    <row r="73" spans="3:3" ht="13.45" x14ac:dyDescent="0.25">
      <c r="C73" s="337">
        <v>45139</v>
      </c>
    </row>
    <row r="74" spans="3:3" ht="53.75" x14ac:dyDescent="0.25">
      <c r="C74" s="479" t="s">
        <v>3329</v>
      </c>
    </row>
    <row r="75" spans="3:3" ht="53.75" x14ac:dyDescent="0.25">
      <c r="C75" s="479" t="s">
        <v>3330</v>
      </c>
    </row>
    <row r="77" spans="3:3" ht="13.45" x14ac:dyDescent="0.25">
      <c r="C77" s="337">
        <v>45261</v>
      </c>
    </row>
    <row r="78" spans="3:3" ht="80.599999999999994" x14ac:dyDescent="0.25">
      <c r="C78" s="479" t="s">
        <v>3331</v>
      </c>
    </row>
    <row r="79" spans="3:3" ht="53.75" x14ac:dyDescent="0.25">
      <c r="C79" s="479" t="s">
        <v>2544</v>
      </c>
    </row>
  </sheetData>
  <autoFilter ref="C3:G23" xr:uid="{00000000-0009-0000-0000-000026000000}">
    <filterColumn colId="4">
      <filters>
        <filter val="27ªVARA"/>
      </filters>
    </filterColumn>
  </autoFilter>
  <dataValidations count="2">
    <dataValidation type="list" allowBlank="1" showInputMessage="1" showErrorMessage="1" prompt="Clique e insira um valor de a lista de itens" sqref="E22" xr:uid="{00000000-0002-0000-2600-000000000000}">
      <formula1>"AJAJ,AJ-BIBLIOTECONOMIA,TJAA,AJAA,TJAS,AJOJ,AJEC,AJ-INFORMATICA,AJ-DESENVOLVIMENTO,TJ-INFORMÁTICA,AJ-INFRAESTRUTURA,AJ-MEDICINA,AJ-CONTADORIA,AJAE"</formula1>
      <formula2>0</formula2>
    </dataValidation>
    <dataValidation type="list" allowBlank="1" showInputMessage="1" showErrorMessage="1" prompt="Clique e insira um valor de a lista de itens" sqref="F22" xr:uid="{00000000-0002-0000-2600-000001000000}">
      <formula1>"EFETIVO,REQUISITADO,EX. PROVISÓRIO,REMOVIDO,SEM VÍNCULO,VAGO,PROVIDO,A SER PROVIDO"</formula1>
      <formula2>0</formula2>
    </dataValidation>
  </dataValidations>
  <pageMargins left="0.51180555555555596" right="0.51180555555555596" top="0.78749999999999998" bottom="0.78749999999999998" header="0.511811023622047" footer="0.511811023622047"/>
  <pageSetup orientation="landscape" horizontalDpi="300" verticalDpi="30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C1048569"/>
  <sheetViews>
    <sheetView topLeftCell="C496" zoomScale="110" zoomScaleNormal="110" workbookViewId="0">
      <selection activeCell="G527" activeCellId="1" sqref="B9 G527"/>
    </sheetView>
  </sheetViews>
  <sheetFormatPr defaultColWidth="12.6328125" defaultRowHeight="14.25" customHeight="1" x14ac:dyDescent="0.25"/>
  <cols>
    <col min="4" max="4" width="43" customWidth="1"/>
    <col min="5" max="5" width="17.7265625" hidden="1" customWidth="1"/>
    <col min="6" max="6" width="10.453125" customWidth="1"/>
    <col min="7" max="7" width="32.08984375" customWidth="1"/>
    <col min="8" max="8" width="40.90625" customWidth="1"/>
    <col min="9" max="9" width="16" customWidth="1"/>
  </cols>
  <sheetData>
    <row r="1" spans="1:10" ht="14" x14ac:dyDescent="0.25">
      <c r="A1" t="s">
        <v>146</v>
      </c>
      <c r="C1" s="603" t="s">
        <v>147</v>
      </c>
      <c r="D1" s="603"/>
      <c r="E1" s="603"/>
      <c r="F1" s="603"/>
      <c r="G1" s="603"/>
      <c r="H1" s="603"/>
      <c r="I1" s="209"/>
      <c r="J1" s="210" t="s">
        <v>148</v>
      </c>
    </row>
    <row r="2" spans="1:10" ht="27" customHeight="1" x14ac:dyDescent="0.25">
      <c r="C2" s="603"/>
      <c r="D2" s="603"/>
      <c r="E2" s="603"/>
      <c r="F2" s="603"/>
      <c r="G2" s="603"/>
      <c r="H2" s="603"/>
      <c r="I2" s="209"/>
      <c r="J2" s="211">
        <v>183</v>
      </c>
    </row>
    <row r="3" spans="1:10" ht="29.95" customHeight="1" x14ac:dyDescent="0.25">
      <c r="C3" s="212" t="s">
        <v>149</v>
      </c>
      <c r="D3" s="212" t="s">
        <v>150</v>
      </c>
      <c r="E3" s="212" t="s">
        <v>118</v>
      </c>
      <c r="F3" s="210" t="s">
        <v>151</v>
      </c>
      <c r="G3" s="210" t="s">
        <v>152</v>
      </c>
      <c r="H3" s="210" t="s">
        <v>153</v>
      </c>
      <c r="I3" s="210" t="s">
        <v>154</v>
      </c>
      <c r="J3" s="210"/>
    </row>
    <row r="4" spans="1:10" ht="27.95" x14ac:dyDescent="0.25">
      <c r="C4" s="212" t="s">
        <v>155</v>
      </c>
      <c r="D4" s="213" t="s">
        <v>156</v>
      </c>
      <c r="F4" s="213" t="s">
        <v>157</v>
      </c>
      <c r="G4" s="213" t="s">
        <v>158</v>
      </c>
      <c r="H4" s="213"/>
      <c r="I4" s="214" t="s">
        <v>159</v>
      </c>
    </row>
    <row r="5" spans="1:10" ht="14" x14ac:dyDescent="0.25">
      <c r="C5" s="212" t="s">
        <v>160</v>
      </c>
      <c r="D5" s="213" t="s">
        <v>161</v>
      </c>
      <c r="E5" s="215"/>
      <c r="F5" s="213" t="s">
        <v>157</v>
      </c>
      <c r="G5" s="213" t="s">
        <v>162</v>
      </c>
      <c r="H5" s="216" t="s">
        <v>163</v>
      </c>
      <c r="I5" s="214" t="s">
        <v>164</v>
      </c>
      <c r="J5" s="217">
        <v>1</v>
      </c>
    </row>
    <row r="6" spans="1:10" ht="14" x14ac:dyDescent="0.25">
      <c r="C6" s="212" t="s">
        <v>165</v>
      </c>
      <c r="D6" s="213" t="s">
        <v>166</v>
      </c>
      <c r="E6" s="218" t="s">
        <v>167</v>
      </c>
      <c r="F6" s="213" t="s">
        <v>157</v>
      </c>
      <c r="G6" s="213" t="s">
        <v>162</v>
      </c>
      <c r="H6" s="216"/>
      <c r="I6" s="219" t="s">
        <v>168</v>
      </c>
      <c r="J6" s="217">
        <v>1</v>
      </c>
    </row>
    <row r="7" spans="1:10" ht="29.95" customHeight="1" x14ac:dyDescent="0.25">
      <c r="C7" s="212" t="s">
        <v>169</v>
      </c>
      <c r="D7" s="213" t="s">
        <v>170</v>
      </c>
      <c r="E7" s="218" t="s">
        <v>171</v>
      </c>
      <c r="F7" s="213" t="s">
        <v>157</v>
      </c>
      <c r="G7" s="213" t="s">
        <v>162</v>
      </c>
      <c r="H7" s="216" t="s">
        <v>172</v>
      </c>
      <c r="I7" s="214" t="s">
        <v>159</v>
      </c>
      <c r="J7" s="217">
        <v>1</v>
      </c>
    </row>
    <row r="8" spans="1:10" ht="29.95" customHeight="1" x14ac:dyDescent="0.25">
      <c r="C8" s="212" t="s">
        <v>173</v>
      </c>
      <c r="D8" s="213" t="s">
        <v>174</v>
      </c>
      <c r="E8" s="218" t="s">
        <v>171</v>
      </c>
      <c r="F8" s="213" t="s">
        <v>157</v>
      </c>
      <c r="G8" s="216" t="s">
        <v>175</v>
      </c>
      <c r="H8" s="216"/>
      <c r="I8" s="219" t="s">
        <v>159</v>
      </c>
      <c r="J8" s="217"/>
    </row>
    <row r="9" spans="1:10" ht="29.95" customHeight="1" x14ac:dyDescent="0.25">
      <c r="C9" s="212" t="s">
        <v>176</v>
      </c>
      <c r="D9" s="213" t="s">
        <v>177</v>
      </c>
      <c r="E9" s="218" t="s">
        <v>178</v>
      </c>
      <c r="F9" s="213" t="s">
        <v>157</v>
      </c>
      <c r="G9" s="216" t="s">
        <v>179</v>
      </c>
      <c r="H9" s="216" t="s">
        <v>180</v>
      </c>
      <c r="I9" s="219" t="s">
        <v>159</v>
      </c>
      <c r="J9" s="604">
        <v>2</v>
      </c>
    </row>
    <row r="10" spans="1:10" ht="29.95" customHeight="1" x14ac:dyDescent="0.25">
      <c r="C10" s="212" t="s">
        <v>181</v>
      </c>
      <c r="D10" s="213" t="s">
        <v>182</v>
      </c>
      <c r="E10" s="218" t="s">
        <v>183</v>
      </c>
      <c r="F10" s="213" t="s">
        <v>157</v>
      </c>
      <c r="G10" s="216" t="s">
        <v>179</v>
      </c>
      <c r="H10" s="216" t="s">
        <v>184</v>
      </c>
      <c r="I10" s="219" t="s">
        <v>159</v>
      </c>
      <c r="J10" s="604"/>
    </row>
    <row r="11" spans="1:10" ht="45" customHeight="1" x14ac:dyDescent="0.3">
      <c r="B11" s="16"/>
      <c r="C11" s="212" t="s">
        <v>185</v>
      </c>
      <c r="D11" s="213" t="s">
        <v>186</v>
      </c>
      <c r="E11" s="218" t="s">
        <v>178</v>
      </c>
      <c r="F11" s="213" t="s">
        <v>157</v>
      </c>
      <c r="G11" s="216" t="s">
        <v>179</v>
      </c>
      <c r="H11" s="216" t="s">
        <v>187</v>
      </c>
      <c r="I11" s="219" t="s">
        <v>159</v>
      </c>
      <c r="J11" s="604">
        <v>2</v>
      </c>
    </row>
    <row r="12" spans="1:10" ht="45" customHeight="1" x14ac:dyDescent="0.3">
      <c r="B12" s="16"/>
      <c r="C12" s="212" t="s">
        <v>188</v>
      </c>
      <c r="D12" s="213" t="s">
        <v>189</v>
      </c>
      <c r="E12" s="218" t="s">
        <v>171</v>
      </c>
      <c r="F12" s="213" t="s">
        <v>157</v>
      </c>
      <c r="G12" s="216" t="s">
        <v>179</v>
      </c>
      <c r="H12" s="216" t="s">
        <v>187</v>
      </c>
      <c r="I12" s="219" t="s">
        <v>159</v>
      </c>
      <c r="J12" s="604"/>
    </row>
    <row r="13" spans="1:10" ht="45" customHeight="1" x14ac:dyDescent="0.3">
      <c r="B13" s="16"/>
      <c r="C13" s="212" t="s">
        <v>190</v>
      </c>
      <c r="D13" s="213" t="s">
        <v>191</v>
      </c>
      <c r="E13" s="215" t="s">
        <v>171</v>
      </c>
      <c r="F13" s="213" t="s">
        <v>157</v>
      </c>
      <c r="G13" s="216" t="s">
        <v>179</v>
      </c>
      <c r="H13" s="216" t="s">
        <v>187</v>
      </c>
      <c r="I13" s="219" t="s">
        <v>159</v>
      </c>
      <c r="J13" s="217"/>
    </row>
    <row r="14" spans="1:10" ht="14" x14ac:dyDescent="0.25">
      <c r="C14" s="212" t="s">
        <v>192</v>
      </c>
      <c r="D14" s="213" t="s">
        <v>193</v>
      </c>
      <c r="E14" s="213" t="s">
        <v>157</v>
      </c>
      <c r="F14" s="213" t="s">
        <v>157</v>
      </c>
      <c r="G14" s="213" t="s">
        <v>162</v>
      </c>
      <c r="H14" s="219"/>
      <c r="I14" s="214" t="s">
        <v>159</v>
      </c>
      <c r="J14" s="217">
        <v>1</v>
      </c>
    </row>
    <row r="15" spans="1:10" ht="14" x14ac:dyDescent="0.25">
      <c r="C15" s="212" t="s">
        <v>194</v>
      </c>
      <c r="D15" s="213" t="s">
        <v>195</v>
      </c>
      <c r="E15" s="220"/>
      <c r="F15" s="213" t="s">
        <v>157</v>
      </c>
      <c r="G15" s="221" t="s">
        <v>162</v>
      </c>
      <c r="H15" s="219"/>
      <c r="I15" s="214" t="s">
        <v>159</v>
      </c>
      <c r="J15" s="217">
        <v>1</v>
      </c>
    </row>
    <row r="16" spans="1:10" ht="14" x14ac:dyDescent="0.25">
      <c r="C16" s="212" t="s">
        <v>196</v>
      </c>
      <c r="D16" s="213" t="s">
        <v>197</v>
      </c>
      <c r="E16" s="220"/>
      <c r="F16" s="213" t="s">
        <v>157</v>
      </c>
      <c r="G16" s="221" t="s">
        <v>162</v>
      </c>
      <c r="H16" s="219"/>
      <c r="I16" s="214" t="s">
        <v>159</v>
      </c>
      <c r="J16" s="217">
        <v>1</v>
      </c>
    </row>
    <row r="17" spans="2:10" ht="14" x14ac:dyDescent="0.25">
      <c r="C17" s="212" t="s">
        <v>198</v>
      </c>
      <c r="D17" s="222" t="s">
        <v>199</v>
      </c>
      <c r="E17" s="223"/>
      <c r="F17" s="222" t="s">
        <v>200</v>
      </c>
      <c r="G17" s="224" t="s">
        <v>201</v>
      </c>
      <c r="H17" s="225"/>
      <c r="I17" s="225" t="s">
        <v>159</v>
      </c>
      <c r="J17" s="217"/>
    </row>
    <row r="18" spans="2:10" ht="14" x14ac:dyDescent="0.25">
      <c r="C18" s="212" t="s">
        <v>202</v>
      </c>
      <c r="D18" s="222" t="s">
        <v>203</v>
      </c>
      <c r="E18" s="223"/>
      <c r="F18" s="222" t="s">
        <v>200</v>
      </c>
      <c r="G18" s="224" t="s">
        <v>201</v>
      </c>
      <c r="H18" s="225"/>
      <c r="I18" s="225" t="s">
        <v>159</v>
      </c>
      <c r="J18" s="217"/>
    </row>
    <row r="19" spans="2:10" ht="14" x14ac:dyDescent="0.25">
      <c r="C19" s="226" t="s">
        <v>204</v>
      </c>
      <c r="D19" s="227" t="s">
        <v>205</v>
      </c>
      <c r="E19" s="228"/>
      <c r="F19" s="229" t="s">
        <v>200</v>
      </c>
      <c r="G19" s="230" t="s">
        <v>206</v>
      </c>
      <c r="H19" s="231"/>
      <c r="I19" s="231" t="s">
        <v>164</v>
      </c>
      <c r="J19" s="217">
        <v>1</v>
      </c>
    </row>
    <row r="20" spans="2:10" ht="14" x14ac:dyDescent="0.25">
      <c r="C20" s="226" t="s">
        <v>207</v>
      </c>
      <c r="D20" s="227" t="s">
        <v>208</v>
      </c>
      <c r="E20" s="228"/>
      <c r="F20" s="229" t="s">
        <v>200</v>
      </c>
      <c r="G20" s="230" t="s">
        <v>206</v>
      </c>
      <c r="H20" s="231"/>
      <c r="I20" s="231" t="s">
        <v>164</v>
      </c>
      <c r="J20" s="217">
        <v>1</v>
      </c>
    </row>
    <row r="21" spans="2:10" ht="14" x14ac:dyDescent="0.25">
      <c r="C21" s="212" t="s">
        <v>209</v>
      </c>
      <c r="D21" s="227" t="s">
        <v>210</v>
      </c>
      <c r="E21" s="220"/>
      <c r="F21" s="229" t="s">
        <v>200</v>
      </c>
      <c r="G21" s="230" t="s">
        <v>206</v>
      </c>
      <c r="H21" s="231"/>
      <c r="I21" s="231" t="s">
        <v>159</v>
      </c>
      <c r="J21" s="217"/>
    </row>
    <row r="22" spans="2:10" ht="29.95" customHeight="1" x14ac:dyDescent="0.3">
      <c r="B22" s="16"/>
      <c r="C22" s="212" t="s">
        <v>211</v>
      </c>
      <c r="D22" s="232" t="s">
        <v>212</v>
      </c>
      <c r="E22" s="233" t="s">
        <v>213</v>
      </c>
      <c r="F22" s="232" t="s">
        <v>214</v>
      </c>
      <c r="G22" s="234" t="s">
        <v>215</v>
      </c>
      <c r="H22" s="235"/>
      <c r="I22" s="236" t="s">
        <v>159</v>
      </c>
      <c r="J22" s="217">
        <v>1</v>
      </c>
    </row>
    <row r="23" spans="2:10" ht="29.95" customHeight="1" x14ac:dyDescent="0.3">
      <c r="B23" s="16"/>
      <c r="C23" s="237"/>
      <c r="D23" s="238" t="s">
        <v>216</v>
      </c>
      <c r="E23" s="233"/>
      <c r="F23" s="232" t="s">
        <v>214</v>
      </c>
      <c r="G23" s="238"/>
      <c r="H23" s="235"/>
      <c r="I23" s="236"/>
      <c r="J23" s="217"/>
    </row>
    <row r="24" spans="2:10" ht="27.95" x14ac:dyDescent="0.3">
      <c r="B24" s="16"/>
      <c r="C24" s="212"/>
      <c r="D24" s="239"/>
      <c r="E24" s="233" t="s">
        <v>171</v>
      </c>
      <c r="F24" s="232" t="s">
        <v>214</v>
      </c>
      <c r="G24" s="232" t="s">
        <v>215</v>
      </c>
      <c r="H24" s="232" t="s">
        <v>217</v>
      </c>
      <c r="I24" s="240" t="s">
        <v>159</v>
      </c>
      <c r="J24" s="604">
        <v>3</v>
      </c>
    </row>
    <row r="25" spans="2:10" ht="29.95" customHeight="1" x14ac:dyDescent="0.3">
      <c r="B25" s="16"/>
      <c r="C25" s="212" t="s">
        <v>218</v>
      </c>
      <c r="D25" s="241" t="s">
        <v>219</v>
      </c>
      <c r="E25" s="233" t="s">
        <v>167</v>
      </c>
      <c r="F25" s="232" t="s">
        <v>214</v>
      </c>
      <c r="G25" s="232" t="s">
        <v>215</v>
      </c>
      <c r="H25" s="232" t="s">
        <v>217</v>
      </c>
      <c r="I25" s="240" t="s">
        <v>159</v>
      </c>
      <c r="J25" s="604"/>
    </row>
    <row r="26" spans="2:10" ht="29.95" customHeight="1" x14ac:dyDescent="0.3">
      <c r="B26" s="16"/>
      <c r="C26" s="212" t="s">
        <v>220</v>
      </c>
      <c r="D26" s="232" t="s">
        <v>221</v>
      </c>
      <c r="E26" s="233" t="s">
        <v>171</v>
      </c>
      <c r="F26" s="232" t="s">
        <v>214</v>
      </c>
      <c r="G26" s="232" t="s">
        <v>215</v>
      </c>
      <c r="H26" s="232" t="s">
        <v>222</v>
      </c>
      <c r="I26" s="240" t="s">
        <v>159</v>
      </c>
      <c r="J26" s="604"/>
    </row>
    <row r="27" spans="2:10" ht="28.5" customHeight="1" x14ac:dyDescent="0.25">
      <c r="C27" s="212" t="s">
        <v>223</v>
      </c>
      <c r="D27" s="238" t="s">
        <v>224</v>
      </c>
      <c r="E27" s="233" t="s">
        <v>178</v>
      </c>
      <c r="F27" s="232" t="s">
        <v>214</v>
      </c>
      <c r="G27" s="232" t="s">
        <v>175</v>
      </c>
      <c r="H27" s="232" t="s">
        <v>225</v>
      </c>
      <c r="I27" s="240" t="s">
        <v>168</v>
      </c>
      <c r="J27" s="217">
        <v>1</v>
      </c>
    </row>
    <row r="28" spans="2:10" ht="27.95" x14ac:dyDescent="0.25">
      <c r="B28" s="242"/>
      <c r="C28" s="237" t="s">
        <v>226</v>
      </c>
      <c r="D28" s="243" t="s">
        <v>227</v>
      </c>
      <c r="E28" s="244" t="s">
        <v>171</v>
      </c>
      <c r="F28" s="243" t="s">
        <v>214</v>
      </c>
      <c r="G28" s="243" t="s">
        <v>175</v>
      </c>
      <c r="H28" s="243" t="s">
        <v>228</v>
      </c>
      <c r="I28" s="244" t="s">
        <v>159</v>
      </c>
      <c r="J28" s="217">
        <v>1</v>
      </c>
    </row>
    <row r="29" spans="2:10" ht="27.95" x14ac:dyDescent="0.3">
      <c r="B29" s="16"/>
      <c r="C29" s="212" t="s">
        <v>229</v>
      </c>
      <c r="D29" s="232" t="s">
        <v>230</v>
      </c>
      <c r="E29" s="233" t="s">
        <v>171</v>
      </c>
      <c r="F29" s="232" t="s">
        <v>214</v>
      </c>
      <c r="G29" s="232" t="s">
        <v>175</v>
      </c>
      <c r="H29" s="232"/>
      <c r="I29" s="240" t="s">
        <v>159</v>
      </c>
      <c r="J29" s="217">
        <v>1</v>
      </c>
    </row>
    <row r="30" spans="2:10" ht="29.95" customHeight="1" x14ac:dyDescent="0.25">
      <c r="C30" s="212" t="s">
        <v>231</v>
      </c>
      <c r="D30" s="238" t="s">
        <v>232</v>
      </c>
      <c r="E30" s="233" t="s">
        <v>171</v>
      </c>
      <c r="F30" s="232" t="s">
        <v>214</v>
      </c>
      <c r="G30" s="232" t="s">
        <v>175</v>
      </c>
      <c r="H30" s="232" t="s">
        <v>233</v>
      </c>
      <c r="I30" s="240" t="s">
        <v>168</v>
      </c>
      <c r="J30" s="217">
        <v>1</v>
      </c>
    </row>
    <row r="31" spans="2:10" ht="27.95" x14ac:dyDescent="0.3">
      <c r="B31" s="16"/>
      <c r="C31" s="212" t="s">
        <v>234</v>
      </c>
      <c r="D31" s="238" t="s">
        <v>235</v>
      </c>
      <c r="E31" s="233" t="s">
        <v>167</v>
      </c>
      <c r="F31" s="232" t="s">
        <v>214</v>
      </c>
      <c r="G31" s="232" t="s">
        <v>175</v>
      </c>
      <c r="H31" s="232" t="s">
        <v>228</v>
      </c>
      <c r="I31" s="240" t="s">
        <v>159</v>
      </c>
      <c r="J31" s="217">
        <v>1</v>
      </c>
    </row>
    <row r="32" spans="2:10" ht="27.95" x14ac:dyDescent="0.3">
      <c r="B32" s="16"/>
      <c r="C32" s="212" t="s">
        <v>236</v>
      </c>
      <c r="D32" s="238" t="s">
        <v>237</v>
      </c>
      <c r="E32" s="233" t="s">
        <v>178</v>
      </c>
      <c r="F32" s="232" t="s">
        <v>214</v>
      </c>
      <c r="G32" s="232" t="s">
        <v>175</v>
      </c>
      <c r="H32" s="232" t="s">
        <v>238</v>
      </c>
      <c r="I32" s="240" t="s">
        <v>159</v>
      </c>
      <c r="J32" s="604">
        <v>9</v>
      </c>
    </row>
    <row r="33" spans="2:10" ht="27.95" x14ac:dyDescent="0.3">
      <c r="B33" s="16"/>
      <c r="C33" s="212" t="s">
        <v>239</v>
      </c>
      <c r="D33" s="238" t="s">
        <v>240</v>
      </c>
      <c r="E33" s="233" t="s">
        <v>167</v>
      </c>
      <c r="F33" s="232" t="s">
        <v>214</v>
      </c>
      <c r="G33" s="232" t="s">
        <v>175</v>
      </c>
      <c r="H33" s="232" t="s">
        <v>238</v>
      </c>
      <c r="I33" s="240" t="s">
        <v>159</v>
      </c>
      <c r="J33" s="604"/>
    </row>
    <row r="34" spans="2:10" ht="27.95" x14ac:dyDescent="0.3">
      <c r="B34" s="16"/>
      <c r="C34" s="212" t="s">
        <v>241</v>
      </c>
      <c r="D34" s="238" t="s">
        <v>106</v>
      </c>
      <c r="E34" s="233" t="s">
        <v>213</v>
      </c>
      <c r="F34" s="232" t="s">
        <v>214</v>
      </c>
      <c r="G34" s="232" t="s">
        <v>175</v>
      </c>
      <c r="H34" s="232" t="s">
        <v>238</v>
      </c>
      <c r="I34" s="240" t="s">
        <v>159</v>
      </c>
      <c r="J34" s="604"/>
    </row>
    <row r="35" spans="2:10" ht="27.95" x14ac:dyDescent="0.3">
      <c r="B35" s="16"/>
      <c r="C35" s="212" t="s">
        <v>242</v>
      </c>
      <c r="D35" s="238" t="s">
        <v>243</v>
      </c>
      <c r="E35" s="233" t="s">
        <v>178</v>
      </c>
      <c r="F35" s="232" t="s">
        <v>214</v>
      </c>
      <c r="G35" s="232" t="s">
        <v>175</v>
      </c>
      <c r="H35" s="232" t="s">
        <v>238</v>
      </c>
      <c r="I35" s="240" t="s">
        <v>159</v>
      </c>
      <c r="J35" s="604"/>
    </row>
    <row r="36" spans="2:10" ht="27.95" x14ac:dyDescent="0.3">
      <c r="B36" s="16"/>
      <c r="C36" s="245" t="s">
        <v>244</v>
      </c>
      <c r="D36" s="246" t="s">
        <v>245</v>
      </c>
      <c r="E36" s="247" t="s">
        <v>167</v>
      </c>
      <c r="F36" s="232" t="s">
        <v>214</v>
      </c>
      <c r="G36" s="232" t="s">
        <v>175</v>
      </c>
      <c r="H36" s="232" t="s">
        <v>238</v>
      </c>
      <c r="I36" s="240" t="s">
        <v>246</v>
      </c>
      <c r="J36" s="604"/>
    </row>
    <row r="37" spans="2:10" ht="29.95" customHeight="1" x14ac:dyDescent="0.25">
      <c r="C37" s="212" t="s">
        <v>247</v>
      </c>
      <c r="D37" s="238" t="s">
        <v>248</v>
      </c>
      <c r="E37" s="233" t="s">
        <v>171</v>
      </c>
      <c r="F37" s="232" t="s">
        <v>214</v>
      </c>
      <c r="G37" s="232" t="s">
        <v>175</v>
      </c>
      <c r="H37" s="232" t="s">
        <v>249</v>
      </c>
      <c r="I37" s="240" t="s">
        <v>246</v>
      </c>
      <c r="J37" s="604"/>
    </row>
    <row r="38" spans="2:10" ht="29.3" customHeight="1" x14ac:dyDescent="0.3">
      <c r="B38" s="16"/>
      <c r="C38" s="248" t="s">
        <v>250</v>
      </c>
      <c r="D38" s="241" t="s">
        <v>251</v>
      </c>
      <c r="E38" s="233" t="s">
        <v>178</v>
      </c>
      <c r="F38" s="232" t="s">
        <v>214</v>
      </c>
      <c r="G38" s="232" t="s">
        <v>175</v>
      </c>
      <c r="H38" s="232" t="s">
        <v>238</v>
      </c>
      <c r="I38" s="240" t="s">
        <v>159</v>
      </c>
      <c r="J38" s="604"/>
    </row>
    <row r="39" spans="2:10" ht="29.3" customHeight="1" x14ac:dyDescent="0.3">
      <c r="B39" s="16"/>
      <c r="C39" s="212" t="s">
        <v>252</v>
      </c>
      <c r="D39" s="232" t="s">
        <v>253</v>
      </c>
      <c r="E39" s="233" t="s">
        <v>171</v>
      </c>
      <c r="F39" s="232" t="s">
        <v>214</v>
      </c>
      <c r="G39" s="232" t="s">
        <v>175</v>
      </c>
      <c r="H39" s="232" t="s">
        <v>249</v>
      </c>
      <c r="I39" s="240" t="s">
        <v>159</v>
      </c>
      <c r="J39" s="217">
        <v>1</v>
      </c>
    </row>
    <row r="40" spans="2:10" ht="14" x14ac:dyDescent="0.25">
      <c r="C40" s="212" t="s">
        <v>254</v>
      </c>
      <c r="D40" s="232" t="s">
        <v>255</v>
      </c>
      <c r="E40" s="233" t="s">
        <v>167</v>
      </c>
      <c r="F40" s="232" t="s">
        <v>214</v>
      </c>
      <c r="G40" s="232" t="s">
        <v>256</v>
      </c>
      <c r="H40" s="232" t="s">
        <v>257</v>
      </c>
      <c r="I40" s="240" t="s">
        <v>159</v>
      </c>
      <c r="J40" s="217">
        <v>1</v>
      </c>
    </row>
    <row r="41" spans="2:10" ht="14" x14ac:dyDescent="0.3">
      <c r="B41" s="16"/>
      <c r="C41" s="212" t="s">
        <v>258</v>
      </c>
      <c r="D41" s="232" t="s">
        <v>259</v>
      </c>
      <c r="E41" s="233" t="s">
        <v>171</v>
      </c>
      <c r="F41" s="232" t="s">
        <v>214</v>
      </c>
      <c r="G41" s="232" t="s">
        <v>256</v>
      </c>
      <c r="H41" s="232"/>
      <c r="I41" s="240" t="s">
        <v>159</v>
      </c>
      <c r="J41" s="217">
        <v>1</v>
      </c>
    </row>
    <row r="42" spans="2:10" ht="14" x14ac:dyDescent="0.25">
      <c r="C42" s="212" t="s">
        <v>260</v>
      </c>
      <c r="D42" s="232" t="s">
        <v>261</v>
      </c>
      <c r="E42" s="233" t="s">
        <v>167</v>
      </c>
      <c r="F42" s="232" t="s">
        <v>214</v>
      </c>
      <c r="G42" s="232" t="s">
        <v>256</v>
      </c>
      <c r="H42" s="232" t="s">
        <v>262</v>
      </c>
      <c r="I42" s="240" t="s">
        <v>159</v>
      </c>
      <c r="J42" s="217">
        <v>1</v>
      </c>
    </row>
    <row r="43" spans="2:10" ht="14" x14ac:dyDescent="0.25">
      <c r="C43" s="212" t="s">
        <v>263</v>
      </c>
      <c r="D43" s="238" t="s">
        <v>264</v>
      </c>
      <c r="E43" s="233"/>
      <c r="F43" s="232" t="s">
        <v>214</v>
      </c>
      <c r="G43" s="232" t="s">
        <v>256</v>
      </c>
      <c r="H43" s="232" t="s">
        <v>265</v>
      </c>
      <c r="I43" s="240" t="s">
        <v>164</v>
      </c>
      <c r="J43" s="217">
        <v>1</v>
      </c>
    </row>
    <row r="44" spans="2:10" ht="27.95" x14ac:dyDescent="0.3">
      <c r="B44" s="16"/>
      <c r="C44" s="212" t="s">
        <v>266</v>
      </c>
      <c r="D44" s="232" t="s">
        <v>267</v>
      </c>
      <c r="E44" s="233" t="s">
        <v>171</v>
      </c>
      <c r="F44" s="232" t="s">
        <v>214</v>
      </c>
      <c r="G44" s="232" t="s">
        <v>268</v>
      </c>
      <c r="H44" s="232" t="s">
        <v>269</v>
      </c>
      <c r="I44" s="240" t="s">
        <v>159</v>
      </c>
      <c r="J44" s="604">
        <v>2</v>
      </c>
    </row>
    <row r="45" spans="2:10" ht="27.95" x14ac:dyDescent="0.3">
      <c r="B45" s="16"/>
      <c r="C45" s="212" t="s">
        <v>270</v>
      </c>
      <c r="D45" s="232" t="s">
        <v>271</v>
      </c>
      <c r="E45" s="233" t="s">
        <v>171</v>
      </c>
      <c r="F45" s="232" t="s">
        <v>214</v>
      </c>
      <c r="G45" s="232" t="s">
        <v>268</v>
      </c>
      <c r="H45" s="232" t="s">
        <v>269</v>
      </c>
      <c r="I45" s="240" t="s">
        <v>159</v>
      </c>
      <c r="J45" s="604"/>
    </row>
    <row r="46" spans="2:10" ht="27.95" x14ac:dyDescent="0.3">
      <c r="B46" s="16"/>
      <c r="C46" s="212" t="s">
        <v>272</v>
      </c>
      <c r="D46" s="238" t="s">
        <v>273</v>
      </c>
      <c r="E46" s="233" t="s">
        <v>213</v>
      </c>
      <c r="F46" s="232" t="s">
        <v>214</v>
      </c>
      <c r="G46" s="232" t="s">
        <v>268</v>
      </c>
      <c r="H46" s="232"/>
      <c r="I46" s="240"/>
      <c r="J46" s="604"/>
    </row>
    <row r="47" spans="2:10" ht="29.95" customHeight="1" x14ac:dyDescent="0.25">
      <c r="C47" s="212" t="s">
        <v>274</v>
      </c>
      <c r="D47" s="238" t="s">
        <v>275</v>
      </c>
      <c r="E47" s="233" t="s">
        <v>171</v>
      </c>
      <c r="F47" s="232" t="s">
        <v>214</v>
      </c>
      <c r="G47" s="232" t="s">
        <v>268</v>
      </c>
      <c r="H47" s="232"/>
      <c r="I47" s="240" t="s">
        <v>168</v>
      </c>
      <c r="J47" s="604"/>
    </row>
    <row r="48" spans="2:10" ht="29.95" customHeight="1" x14ac:dyDescent="0.25">
      <c r="C48" s="212" t="s">
        <v>276</v>
      </c>
      <c r="D48" s="232" t="s">
        <v>277</v>
      </c>
      <c r="E48" s="233" t="s">
        <v>171</v>
      </c>
      <c r="F48" s="232" t="s">
        <v>214</v>
      </c>
      <c r="G48" s="232" t="s">
        <v>268</v>
      </c>
      <c r="H48" s="232"/>
      <c r="I48" s="240" t="s">
        <v>159</v>
      </c>
      <c r="J48" s="604"/>
    </row>
    <row r="49" spans="2:10" ht="29.95" customHeight="1" x14ac:dyDescent="0.3">
      <c r="B49" s="16"/>
      <c r="C49" s="212" t="s">
        <v>278</v>
      </c>
      <c r="D49" s="232" t="s">
        <v>279</v>
      </c>
      <c r="E49" s="233" t="s">
        <v>171</v>
      </c>
      <c r="F49" s="232" t="s">
        <v>214</v>
      </c>
      <c r="G49" s="232" t="s">
        <v>268</v>
      </c>
      <c r="H49" s="232"/>
      <c r="I49" s="240" t="s">
        <v>159</v>
      </c>
      <c r="J49" s="604"/>
    </row>
    <row r="50" spans="2:10" ht="29.95" customHeight="1" x14ac:dyDescent="0.3">
      <c r="B50" s="16"/>
      <c r="C50" s="212" t="s">
        <v>280</v>
      </c>
      <c r="D50" s="232" t="s">
        <v>281</v>
      </c>
      <c r="E50" s="233" t="s">
        <v>171</v>
      </c>
      <c r="F50" s="232" t="s">
        <v>214</v>
      </c>
      <c r="G50" s="232" t="s">
        <v>268</v>
      </c>
      <c r="H50" s="232"/>
      <c r="I50" s="240" t="s">
        <v>159</v>
      </c>
      <c r="J50" s="604"/>
    </row>
    <row r="51" spans="2:10" ht="29.95" customHeight="1" x14ac:dyDescent="0.3">
      <c r="B51" s="16"/>
      <c r="C51" s="212" t="s">
        <v>282</v>
      </c>
      <c r="D51" s="232" t="s">
        <v>283</v>
      </c>
      <c r="E51" s="233"/>
      <c r="F51" s="232" t="s">
        <v>214</v>
      </c>
      <c r="G51" s="232"/>
      <c r="H51" s="232"/>
      <c r="I51" s="240"/>
      <c r="J51" s="604"/>
    </row>
    <row r="52" spans="2:10" ht="29.95" customHeight="1" x14ac:dyDescent="0.3">
      <c r="B52" s="16"/>
      <c r="C52" s="212" t="s">
        <v>284</v>
      </c>
      <c r="D52" s="232" t="s">
        <v>285</v>
      </c>
      <c r="E52" s="233" t="s">
        <v>178</v>
      </c>
      <c r="F52" s="232" t="s">
        <v>214</v>
      </c>
      <c r="G52" s="232" t="s">
        <v>268</v>
      </c>
      <c r="H52" s="232"/>
      <c r="I52" s="240" t="s">
        <v>159</v>
      </c>
      <c r="J52" s="604"/>
    </row>
    <row r="53" spans="2:10" ht="29.95" customHeight="1" x14ac:dyDescent="0.25">
      <c r="C53" s="212" t="s">
        <v>282</v>
      </c>
      <c r="D53" s="238" t="s">
        <v>283</v>
      </c>
      <c r="E53" s="233" t="s">
        <v>171</v>
      </c>
      <c r="F53" s="232" t="s">
        <v>214</v>
      </c>
      <c r="G53" s="232" t="s">
        <v>286</v>
      </c>
      <c r="H53" s="232" t="s">
        <v>287</v>
      </c>
      <c r="I53" s="240" t="s">
        <v>159</v>
      </c>
      <c r="J53" s="217">
        <v>1</v>
      </c>
    </row>
    <row r="54" spans="2:10" ht="29.95" customHeight="1" x14ac:dyDescent="0.3">
      <c r="B54" s="16"/>
      <c r="C54" s="212" t="s">
        <v>288</v>
      </c>
      <c r="D54" s="241" t="s">
        <v>289</v>
      </c>
      <c r="E54" s="233" t="s">
        <v>290</v>
      </c>
      <c r="F54" s="232" t="s">
        <v>214</v>
      </c>
      <c r="G54" s="232" t="s">
        <v>286</v>
      </c>
      <c r="H54" s="232"/>
      <c r="I54" s="240" t="s">
        <v>159</v>
      </c>
      <c r="J54" s="604">
        <v>60</v>
      </c>
    </row>
    <row r="55" spans="2:10" ht="14" x14ac:dyDescent="0.25">
      <c r="C55" s="212" t="s">
        <v>291</v>
      </c>
      <c r="D55" s="241" t="s">
        <v>292</v>
      </c>
      <c r="E55" s="233" t="s">
        <v>290</v>
      </c>
      <c r="F55" s="232" t="s">
        <v>214</v>
      </c>
      <c r="G55" s="232" t="s">
        <v>286</v>
      </c>
      <c r="H55" s="232"/>
      <c r="I55" s="240" t="s">
        <v>159</v>
      </c>
      <c r="J55" s="604"/>
    </row>
    <row r="56" spans="2:10" ht="14" x14ac:dyDescent="0.25">
      <c r="C56" s="212" t="s">
        <v>293</v>
      </c>
      <c r="D56" s="241" t="s">
        <v>294</v>
      </c>
      <c r="E56" s="233" t="s">
        <v>290</v>
      </c>
      <c r="F56" s="232" t="s">
        <v>214</v>
      </c>
      <c r="G56" s="232" t="s">
        <v>286</v>
      </c>
      <c r="H56" s="232"/>
      <c r="I56" s="240" t="s">
        <v>159</v>
      </c>
      <c r="J56" s="604"/>
    </row>
    <row r="57" spans="2:10" ht="14" x14ac:dyDescent="0.25">
      <c r="C57" s="212" t="s">
        <v>295</v>
      </c>
      <c r="D57" s="241" t="s">
        <v>296</v>
      </c>
      <c r="E57" s="233" t="s">
        <v>290</v>
      </c>
      <c r="F57" s="232" t="s">
        <v>214</v>
      </c>
      <c r="G57" s="232" t="s">
        <v>286</v>
      </c>
      <c r="H57" s="232"/>
      <c r="I57" s="240" t="s">
        <v>159</v>
      </c>
      <c r="J57" s="604"/>
    </row>
    <row r="58" spans="2:10" ht="14" x14ac:dyDescent="0.25">
      <c r="C58" s="212" t="s">
        <v>297</v>
      </c>
      <c r="D58" s="241" t="s">
        <v>298</v>
      </c>
      <c r="E58" s="233" t="s">
        <v>290</v>
      </c>
      <c r="F58" s="232" t="s">
        <v>214</v>
      </c>
      <c r="G58" s="232" t="s">
        <v>286</v>
      </c>
      <c r="H58" s="232"/>
      <c r="I58" s="240" t="s">
        <v>159</v>
      </c>
      <c r="J58" s="604"/>
    </row>
    <row r="59" spans="2:10" ht="14" x14ac:dyDescent="0.25">
      <c r="C59" s="212" t="s">
        <v>299</v>
      </c>
      <c r="D59" s="241" t="s">
        <v>300</v>
      </c>
      <c r="E59" s="233" t="s">
        <v>290</v>
      </c>
      <c r="F59" s="232" t="s">
        <v>214</v>
      </c>
      <c r="G59" s="232" t="s">
        <v>286</v>
      </c>
      <c r="H59" s="232"/>
      <c r="I59" s="240" t="s">
        <v>159</v>
      </c>
      <c r="J59" s="604"/>
    </row>
    <row r="60" spans="2:10" ht="14" x14ac:dyDescent="0.25">
      <c r="C60" s="212" t="s">
        <v>301</v>
      </c>
      <c r="D60" s="241" t="s">
        <v>302</v>
      </c>
      <c r="E60" s="233" t="s">
        <v>290</v>
      </c>
      <c r="F60" s="232" t="s">
        <v>214</v>
      </c>
      <c r="G60" s="232" t="s">
        <v>286</v>
      </c>
      <c r="H60" s="232"/>
      <c r="I60" s="240" t="s">
        <v>159</v>
      </c>
      <c r="J60" s="604"/>
    </row>
    <row r="61" spans="2:10" ht="14" x14ac:dyDescent="0.25">
      <c r="C61" s="212" t="s">
        <v>303</v>
      </c>
      <c r="D61" s="241" t="s">
        <v>304</v>
      </c>
      <c r="E61" s="233" t="s">
        <v>290</v>
      </c>
      <c r="F61" s="232" t="s">
        <v>214</v>
      </c>
      <c r="G61" s="232" t="s">
        <v>286</v>
      </c>
      <c r="H61" s="232"/>
      <c r="I61" s="240" t="s">
        <v>159</v>
      </c>
      <c r="J61" s="604"/>
    </row>
    <row r="62" spans="2:10" ht="14" x14ac:dyDescent="0.25">
      <c r="C62" s="212" t="s">
        <v>305</v>
      </c>
      <c r="D62" s="241" t="s">
        <v>306</v>
      </c>
      <c r="E62" s="233" t="s">
        <v>290</v>
      </c>
      <c r="F62" s="232" t="s">
        <v>214</v>
      </c>
      <c r="G62" s="232" t="s">
        <v>286</v>
      </c>
      <c r="H62" s="232"/>
      <c r="I62" s="240" t="s">
        <v>159</v>
      </c>
      <c r="J62" s="604"/>
    </row>
    <row r="63" spans="2:10" ht="29.95" customHeight="1" x14ac:dyDescent="0.25">
      <c r="C63" s="212" t="s">
        <v>307</v>
      </c>
      <c r="D63" s="238" t="s">
        <v>308</v>
      </c>
      <c r="E63" s="233" t="s">
        <v>290</v>
      </c>
      <c r="F63" s="232" t="s">
        <v>214</v>
      </c>
      <c r="G63" s="232" t="s">
        <v>286</v>
      </c>
      <c r="H63" s="232"/>
      <c r="I63" s="240" t="s">
        <v>246</v>
      </c>
      <c r="J63" s="604"/>
    </row>
    <row r="64" spans="2:10" ht="14" x14ac:dyDescent="0.25">
      <c r="C64" s="212" t="s">
        <v>309</v>
      </c>
      <c r="D64" s="241" t="s">
        <v>310</v>
      </c>
      <c r="E64" s="233" t="s">
        <v>290</v>
      </c>
      <c r="F64" s="232" t="s">
        <v>214</v>
      </c>
      <c r="G64" s="232" t="s">
        <v>286</v>
      </c>
      <c r="H64" s="232"/>
      <c r="I64" s="240" t="s">
        <v>159</v>
      </c>
      <c r="J64" s="604"/>
    </row>
    <row r="65" spans="2:10" ht="14" x14ac:dyDescent="0.25">
      <c r="C65" s="212" t="s">
        <v>311</v>
      </c>
      <c r="D65" s="241" t="s">
        <v>312</v>
      </c>
      <c r="E65" s="233" t="s">
        <v>290</v>
      </c>
      <c r="F65" s="232" t="s">
        <v>214</v>
      </c>
      <c r="G65" s="232" t="s">
        <v>286</v>
      </c>
      <c r="H65" s="232"/>
      <c r="I65" s="240" t="s">
        <v>159</v>
      </c>
      <c r="J65" s="604"/>
    </row>
    <row r="66" spans="2:10" ht="14" x14ac:dyDescent="0.25">
      <c r="C66" s="212" t="s">
        <v>313</v>
      </c>
      <c r="D66" s="241" t="s">
        <v>314</v>
      </c>
      <c r="E66" s="233" t="s">
        <v>290</v>
      </c>
      <c r="F66" s="232" t="s">
        <v>214</v>
      </c>
      <c r="G66" s="232" t="s">
        <v>286</v>
      </c>
      <c r="H66" s="232"/>
      <c r="I66" s="240" t="s">
        <v>159</v>
      </c>
      <c r="J66" s="604"/>
    </row>
    <row r="67" spans="2:10" ht="14" x14ac:dyDescent="0.25">
      <c r="C67" s="212" t="s">
        <v>315</v>
      </c>
      <c r="D67" s="241" t="s">
        <v>316</v>
      </c>
      <c r="E67" s="233" t="s">
        <v>290</v>
      </c>
      <c r="F67" s="232" t="s">
        <v>214</v>
      </c>
      <c r="G67" s="232" t="s">
        <v>286</v>
      </c>
      <c r="H67" s="232"/>
      <c r="I67" s="240" t="s">
        <v>159</v>
      </c>
      <c r="J67" s="604"/>
    </row>
    <row r="68" spans="2:10" ht="14" x14ac:dyDescent="0.25">
      <c r="C68" s="212" t="s">
        <v>317</v>
      </c>
      <c r="D68" s="241" t="s">
        <v>318</v>
      </c>
      <c r="E68" s="233" t="s">
        <v>290</v>
      </c>
      <c r="F68" s="232" t="s">
        <v>214</v>
      </c>
      <c r="G68" s="232" t="s">
        <v>286</v>
      </c>
      <c r="H68" s="232"/>
      <c r="I68" s="240" t="s">
        <v>159</v>
      </c>
      <c r="J68" s="604"/>
    </row>
    <row r="69" spans="2:10" ht="14" x14ac:dyDescent="0.25">
      <c r="C69" s="212" t="s">
        <v>319</v>
      </c>
      <c r="D69" s="241" t="s">
        <v>320</v>
      </c>
      <c r="E69" s="233" t="s">
        <v>290</v>
      </c>
      <c r="F69" s="232" t="s">
        <v>214</v>
      </c>
      <c r="G69" s="232" t="s">
        <v>286</v>
      </c>
      <c r="H69" s="232"/>
      <c r="I69" s="240" t="s">
        <v>159</v>
      </c>
      <c r="J69" s="604"/>
    </row>
    <row r="70" spans="2:10" ht="14" x14ac:dyDescent="0.25">
      <c r="C70" s="212" t="s">
        <v>321</v>
      </c>
      <c r="D70" s="241" t="s">
        <v>322</v>
      </c>
      <c r="E70" s="233" t="s">
        <v>290</v>
      </c>
      <c r="F70" s="232" t="s">
        <v>214</v>
      </c>
      <c r="G70" s="232" t="s">
        <v>286</v>
      </c>
      <c r="H70" s="232"/>
      <c r="I70" s="240" t="s">
        <v>159</v>
      </c>
      <c r="J70" s="604"/>
    </row>
    <row r="71" spans="2:10" ht="14" x14ac:dyDescent="0.25">
      <c r="C71" s="212" t="s">
        <v>323</v>
      </c>
      <c r="D71" s="241" t="s">
        <v>324</v>
      </c>
      <c r="E71" s="233" t="s">
        <v>290</v>
      </c>
      <c r="F71" s="232" t="s">
        <v>214</v>
      </c>
      <c r="G71" s="232" t="s">
        <v>286</v>
      </c>
      <c r="H71" s="232"/>
      <c r="I71" s="240" t="s">
        <v>159</v>
      </c>
      <c r="J71" s="604"/>
    </row>
    <row r="72" spans="2:10" ht="14" x14ac:dyDescent="0.25">
      <c r="C72" s="212" t="s">
        <v>325</v>
      </c>
      <c r="D72" s="241" t="s">
        <v>326</v>
      </c>
      <c r="E72" s="233" t="s">
        <v>290</v>
      </c>
      <c r="F72" s="232" t="s">
        <v>214</v>
      </c>
      <c r="G72" s="232" t="s">
        <v>286</v>
      </c>
      <c r="H72" s="232"/>
      <c r="I72" s="240" t="s">
        <v>159</v>
      </c>
      <c r="J72" s="604"/>
    </row>
    <row r="73" spans="2:10" ht="14" x14ac:dyDescent="0.25">
      <c r="C73" s="212" t="s">
        <v>327</v>
      </c>
      <c r="D73" s="241" t="s">
        <v>328</v>
      </c>
      <c r="E73" s="233" t="s">
        <v>290</v>
      </c>
      <c r="F73" s="232" t="s">
        <v>214</v>
      </c>
      <c r="G73" s="232" t="s">
        <v>286</v>
      </c>
      <c r="H73" s="232"/>
      <c r="I73" s="240" t="s">
        <v>159</v>
      </c>
      <c r="J73" s="604"/>
    </row>
    <row r="74" spans="2:10" ht="14" x14ac:dyDescent="0.25">
      <c r="C74" s="212" t="s">
        <v>329</v>
      </c>
      <c r="D74" s="241" t="s">
        <v>330</v>
      </c>
      <c r="E74" s="233" t="s">
        <v>290</v>
      </c>
      <c r="F74" s="232" t="s">
        <v>214</v>
      </c>
      <c r="G74" s="232" t="s">
        <v>286</v>
      </c>
      <c r="H74" s="232"/>
      <c r="I74" s="240" t="s">
        <v>159</v>
      </c>
      <c r="J74" s="604"/>
    </row>
    <row r="75" spans="2:10" ht="14" x14ac:dyDescent="0.25">
      <c r="C75" s="212" t="s">
        <v>331</v>
      </c>
      <c r="D75" s="241" t="s">
        <v>332</v>
      </c>
      <c r="E75" s="233" t="s">
        <v>290</v>
      </c>
      <c r="F75" s="232" t="s">
        <v>214</v>
      </c>
      <c r="G75" s="232" t="s">
        <v>286</v>
      </c>
      <c r="H75" s="232"/>
      <c r="I75" s="240" t="s">
        <v>159</v>
      </c>
      <c r="J75" s="604"/>
    </row>
    <row r="76" spans="2:10" ht="14" x14ac:dyDescent="0.25">
      <c r="C76" s="212" t="s">
        <v>333</v>
      </c>
      <c r="D76" s="241" t="s">
        <v>334</v>
      </c>
      <c r="E76" s="233" t="s">
        <v>290</v>
      </c>
      <c r="F76" s="232" t="s">
        <v>214</v>
      </c>
      <c r="G76" s="232" t="s">
        <v>286</v>
      </c>
      <c r="H76" s="232"/>
      <c r="I76" s="240" t="s">
        <v>159</v>
      </c>
      <c r="J76" s="604"/>
    </row>
    <row r="77" spans="2:10" ht="14" x14ac:dyDescent="0.25">
      <c r="C77" s="212" t="s">
        <v>335</v>
      </c>
      <c r="D77" s="241" t="s">
        <v>336</v>
      </c>
      <c r="E77" s="233" t="s">
        <v>290</v>
      </c>
      <c r="F77" s="232" t="s">
        <v>214</v>
      </c>
      <c r="G77" s="232" t="s">
        <v>286</v>
      </c>
      <c r="H77" s="232"/>
      <c r="I77" s="240" t="s">
        <v>159</v>
      </c>
      <c r="J77" s="604"/>
    </row>
    <row r="78" spans="2:10" ht="14" x14ac:dyDescent="0.25">
      <c r="C78" s="212" t="s">
        <v>337</v>
      </c>
      <c r="D78" s="241" t="s">
        <v>338</v>
      </c>
      <c r="E78" s="233" t="s">
        <v>290</v>
      </c>
      <c r="F78" s="232" t="s">
        <v>214</v>
      </c>
      <c r="G78" s="232" t="s">
        <v>286</v>
      </c>
      <c r="H78" s="232"/>
      <c r="I78" s="240" t="s">
        <v>159</v>
      </c>
      <c r="J78" s="604"/>
    </row>
    <row r="79" spans="2:10" ht="14" x14ac:dyDescent="0.25">
      <c r="C79" s="212" t="s">
        <v>339</v>
      </c>
      <c r="D79" s="241" t="s">
        <v>340</v>
      </c>
      <c r="E79" s="233" t="s">
        <v>290</v>
      </c>
      <c r="F79" s="232" t="s">
        <v>214</v>
      </c>
      <c r="G79" s="232" t="s">
        <v>286</v>
      </c>
      <c r="H79" s="232"/>
      <c r="I79" s="240" t="s">
        <v>159</v>
      </c>
      <c r="J79" s="604"/>
    </row>
    <row r="80" spans="2:10" ht="14" x14ac:dyDescent="0.3">
      <c r="B80" s="16"/>
      <c r="C80" s="212" t="s">
        <v>341</v>
      </c>
      <c r="D80" s="232" t="s">
        <v>342</v>
      </c>
      <c r="E80" s="233" t="s">
        <v>171</v>
      </c>
      <c r="F80" s="232" t="s">
        <v>214</v>
      </c>
      <c r="G80" s="232" t="s">
        <v>286</v>
      </c>
      <c r="H80" s="232"/>
      <c r="I80" s="240" t="s">
        <v>159</v>
      </c>
      <c r="J80" s="604"/>
    </row>
    <row r="81" spans="2:11" ht="14" x14ac:dyDescent="0.25">
      <c r="C81" s="212" t="s">
        <v>343</v>
      </c>
      <c r="D81" s="241" t="s">
        <v>344</v>
      </c>
      <c r="E81" s="233" t="s">
        <v>290</v>
      </c>
      <c r="F81" s="232" t="s">
        <v>214</v>
      </c>
      <c r="G81" s="232" t="s">
        <v>286</v>
      </c>
      <c r="H81" s="232"/>
      <c r="I81" s="240" t="s">
        <v>159</v>
      </c>
      <c r="J81" s="604"/>
      <c r="K81">
        <v>28</v>
      </c>
    </row>
    <row r="82" spans="2:11" ht="29.95" customHeight="1" x14ac:dyDescent="0.25">
      <c r="C82" s="212" t="s">
        <v>345</v>
      </c>
      <c r="D82" s="238" t="s">
        <v>346</v>
      </c>
      <c r="E82" s="233" t="s">
        <v>290</v>
      </c>
      <c r="F82" s="232" t="s">
        <v>214</v>
      </c>
      <c r="G82" s="232" t="s">
        <v>286</v>
      </c>
      <c r="H82" s="232"/>
      <c r="I82" s="240" t="s">
        <v>168</v>
      </c>
      <c r="J82" s="604"/>
    </row>
    <row r="83" spans="2:11" ht="14" x14ac:dyDescent="0.25">
      <c r="C83" s="212" t="s">
        <v>347</v>
      </c>
      <c r="D83" s="241" t="s">
        <v>348</v>
      </c>
      <c r="E83" s="233" t="s">
        <v>290</v>
      </c>
      <c r="F83" s="232" t="s">
        <v>214</v>
      </c>
      <c r="G83" s="232" t="s">
        <v>286</v>
      </c>
      <c r="H83" s="232"/>
      <c r="I83" s="240" t="s">
        <v>159</v>
      </c>
      <c r="J83" s="604"/>
    </row>
    <row r="84" spans="2:11" ht="14" x14ac:dyDescent="0.25">
      <c r="C84" s="212" t="s">
        <v>349</v>
      </c>
      <c r="D84" s="241" t="s">
        <v>350</v>
      </c>
      <c r="E84" s="233" t="s">
        <v>290</v>
      </c>
      <c r="F84" s="232" t="s">
        <v>214</v>
      </c>
      <c r="G84" s="232" t="s">
        <v>286</v>
      </c>
      <c r="H84" s="232"/>
      <c r="I84" s="240" t="s">
        <v>159</v>
      </c>
      <c r="J84" s="604"/>
    </row>
    <row r="85" spans="2:11" ht="14" x14ac:dyDescent="0.25">
      <c r="C85" s="212" t="s">
        <v>351</v>
      </c>
      <c r="D85" s="241" t="s">
        <v>352</v>
      </c>
      <c r="E85" s="233" t="s">
        <v>290</v>
      </c>
      <c r="F85" s="232" t="s">
        <v>214</v>
      </c>
      <c r="G85" s="232" t="s">
        <v>286</v>
      </c>
      <c r="H85" s="232"/>
      <c r="I85" s="240" t="s">
        <v>159</v>
      </c>
      <c r="J85" s="604"/>
    </row>
    <row r="86" spans="2:11" ht="14" x14ac:dyDescent="0.25">
      <c r="C86" s="212" t="s">
        <v>353</v>
      </c>
      <c r="D86" s="241" t="s">
        <v>354</v>
      </c>
      <c r="E86" s="233" t="s">
        <v>290</v>
      </c>
      <c r="F86" s="232" t="s">
        <v>214</v>
      </c>
      <c r="G86" s="232" t="s">
        <v>286</v>
      </c>
      <c r="H86" s="232"/>
      <c r="I86" s="240" t="s">
        <v>159</v>
      </c>
      <c r="J86" s="604"/>
    </row>
    <row r="87" spans="2:11" ht="14" x14ac:dyDescent="0.25">
      <c r="C87" s="212" t="s">
        <v>355</v>
      </c>
      <c r="D87" s="241" t="s">
        <v>356</v>
      </c>
      <c r="E87" s="233" t="s">
        <v>290</v>
      </c>
      <c r="F87" s="232" t="s">
        <v>214</v>
      </c>
      <c r="G87" s="232" t="s">
        <v>286</v>
      </c>
      <c r="H87" s="232"/>
      <c r="I87" s="240" t="s">
        <v>159</v>
      </c>
      <c r="J87" s="604"/>
    </row>
    <row r="88" spans="2:11" ht="14" x14ac:dyDescent="0.25">
      <c r="C88" s="212" t="s">
        <v>357</v>
      </c>
      <c r="D88" s="241" t="s">
        <v>358</v>
      </c>
      <c r="E88" s="233" t="s">
        <v>290</v>
      </c>
      <c r="F88" s="232" t="s">
        <v>214</v>
      </c>
      <c r="G88" s="232" t="s">
        <v>286</v>
      </c>
      <c r="H88" s="232"/>
      <c r="I88" s="240" t="s">
        <v>159</v>
      </c>
      <c r="J88" s="604"/>
    </row>
    <row r="89" spans="2:11" ht="14" x14ac:dyDescent="0.25">
      <c r="C89" s="212" t="s">
        <v>359</v>
      </c>
      <c r="D89" s="241" t="s">
        <v>360</v>
      </c>
      <c r="E89" s="233" t="s">
        <v>290</v>
      </c>
      <c r="F89" s="232" t="s">
        <v>214</v>
      </c>
      <c r="G89" s="232" t="s">
        <v>286</v>
      </c>
      <c r="H89" s="232"/>
      <c r="I89" s="240" t="s">
        <v>159</v>
      </c>
      <c r="J89" s="604"/>
    </row>
    <row r="90" spans="2:11" ht="29.95" customHeight="1" x14ac:dyDescent="0.25">
      <c r="C90" s="212" t="s">
        <v>361</v>
      </c>
      <c r="D90" s="238" t="s">
        <v>362</v>
      </c>
      <c r="E90" s="233" t="s">
        <v>290</v>
      </c>
      <c r="F90" s="232" t="s">
        <v>214</v>
      </c>
      <c r="G90" s="232" t="s">
        <v>286</v>
      </c>
      <c r="H90" s="232"/>
      <c r="I90" s="240" t="s">
        <v>168</v>
      </c>
      <c r="J90" s="604"/>
    </row>
    <row r="91" spans="2:11" ht="14" x14ac:dyDescent="0.25">
      <c r="C91" s="212" t="s">
        <v>363</v>
      </c>
      <c r="D91" s="241" t="s">
        <v>364</v>
      </c>
      <c r="E91" s="233" t="s">
        <v>290</v>
      </c>
      <c r="F91" s="232" t="s">
        <v>214</v>
      </c>
      <c r="G91" s="232" t="s">
        <v>286</v>
      </c>
      <c r="H91" s="232"/>
      <c r="I91" s="240" t="s">
        <v>159</v>
      </c>
      <c r="J91" s="604"/>
    </row>
    <row r="92" spans="2:11" ht="14" x14ac:dyDescent="0.25">
      <c r="C92" s="212" t="s">
        <v>365</v>
      </c>
      <c r="D92" s="241" t="s">
        <v>366</v>
      </c>
      <c r="E92" s="233" t="s">
        <v>290</v>
      </c>
      <c r="F92" s="232" t="s">
        <v>214</v>
      </c>
      <c r="G92" s="232" t="s">
        <v>286</v>
      </c>
      <c r="H92" s="232"/>
      <c r="I92" s="240" t="s">
        <v>159</v>
      </c>
      <c r="J92" s="604"/>
    </row>
    <row r="93" spans="2:11" ht="14" x14ac:dyDescent="0.25">
      <c r="C93" s="212" t="s">
        <v>367</v>
      </c>
      <c r="D93" s="241" t="s">
        <v>368</v>
      </c>
      <c r="E93" s="233" t="s">
        <v>290</v>
      </c>
      <c r="F93" s="232" t="s">
        <v>214</v>
      </c>
      <c r="G93" s="232" t="s">
        <v>286</v>
      </c>
      <c r="H93" s="232"/>
      <c r="I93" s="240" t="s">
        <v>159</v>
      </c>
      <c r="J93" s="604"/>
    </row>
    <row r="94" spans="2:11" ht="14" x14ac:dyDescent="0.3">
      <c r="B94" s="16"/>
      <c r="C94" s="212" t="s">
        <v>369</v>
      </c>
      <c r="D94" s="232" t="s">
        <v>370</v>
      </c>
      <c r="E94" s="233" t="s">
        <v>171</v>
      </c>
      <c r="F94" s="232" t="s">
        <v>214</v>
      </c>
      <c r="G94" s="232" t="s">
        <v>286</v>
      </c>
      <c r="H94" s="232"/>
      <c r="I94" s="240" t="s">
        <v>159</v>
      </c>
      <c r="J94" s="604"/>
    </row>
    <row r="95" spans="2:11" ht="14" x14ac:dyDescent="0.25">
      <c r="C95" s="212" t="s">
        <v>371</v>
      </c>
      <c r="D95" s="238" t="s">
        <v>372</v>
      </c>
      <c r="E95" s="233" t="s">
        <v>290</v>
      </c>
      <c r="F95" s="232" t="s">
        <v>214</v>
      </c>
      <c r="G95" s="232" t="s">
        <v>286</v>
      </c>
      <c r="H95" s="232"/>
      <c r="I95" s="240" t="s">
        <v>159</v>
      </c>
      <c r="J95" s="604"/>
    </row>
    <row r="96" spans="2:11" ht="14" x14ac:dyDescent="0.25">
      <c r="C96" s="212" t="s">
        <v>373</v>
      </c>
      <c r="D96" s="241" t="s">
        <v>374</v>
      </c>
      <c r="E96" s="233" t="s">
        <v>290</v>
      </c>
      <c r="F96" s="232" t="s">
        <v>214</v>
      </c>
      <c r="G96" s="232" t="s">
        <v>286</v>
      </c>
      <c r="H96" s="232"/>
      <c r="I96" s="240" t="s">
        <v>159</v>
      </c>
      <c r="J96" s="604"/>
    </row>
    <row r="97" spans="3:10" ht="14" x14ac:dyDescent="0.25">
      <c r="C97" s="212" t="s">
        <v>375</v>
      </c>
      <c r="D97" s="241" t="s">
        <v>376</v>
      </c>
      <c r="E97" s="233" t="s">
        <v>290</v>
      </c>
      <c r="F97" s="232" t="s">
        <v>214</v>
      </c>
      <c r="G97" s="232" t="s">
        <v>286</v>
      </c>
      <c r="H97" s="232"/>
      <c r="I97" s="240" t="s">
        <v>159</v>
      </c>
      <c r="J97" s="604"/>
    </row>
    <row r="98" spans="3:10" ht="14" x14ac:dyDescent="0.25">
      <c r="C98" s="212" t="s">
        <v>377</v>
      </c>
      <c r="D98" s="241" t="s">
        <v>378</v>
      </c>
      <c r="E98" s="233" t="s">
        <v>290</v>
      </c>
      <c r="F98" s="232" t="s">
        <v>214</v>
      </c>
      <c r="G98" s="232" t="s">
        <v>286</v>
      </c>
      <c r="H98" s="232"/>
      <c r="I98" s="240" t="s">
        <v>159</v>
      </c>
      <c r="J98" s="604"/>
    </row>
    <row r="99" spans="3:10" ht="14" x14ac:dyDescent="0.25">
      <c r="C99" s="212" t="s">
        <v>379</v>
      </c>
      <c r="D99" s="241" t="s">
        <v>380</v>
      </c>
      <c r="E99" s="233" t="s">
        <v>290</v>
      </c>
      <c r="F99" s="232" t="s">
        <v>214</v>
      </c>
      <c r="G99" s="232" t="s">
        <v>286</v>
      </c>
      <c r="H99" s="232"/>
      <c r="I99" s="240" t="s">
        <v>159</v>
      </c>
      <c r="J99" s="604"/>
    </row>
    <row r="100" spans="3:10" ht="14" x14ac:dyDescent="0.25">
      <c r="C100" s="212" t="s">
        <v>381</v>
      </c>
      <c r="D100" s="241" t="s">
        <v>382</v>
      </c>
      <c r="E100" s="233" t="s">
        <v>290</v>
      </c>
      <c r="F100" s="232" t="s">
        <v>214</v>
      </c>
      <c r="G100" s="232" t="s">
        <v>286</v>
      </c>
      <c r="H100" s="232"/>
      <c r="I100" s="240" t="s">
        <v>159</v>
      </c>
      <c r="J100" s="604"/>
    </row>
    <row r="101" spans="3:10" ht="14" x14ac:dyDescent="0.25">
      <c r="C101" s="212" t="s">
        <v>383</v>
      </c>
      <c r="D101" s="241" t="s">
        <v>384</v>
      </c>
      <c r="E101" s="233" t="s">
        <v>290</v>
      </c>
      <c r="F101" s="232" t="s">
        <v>214</v>
      </c>
      <c r="G101" s="232" t="s">
        <v>286</v>
      </c>
      <c r="H101" s="232"/>
      <c r="I101" s="240" t="s">
        <v>159</v>
      </c>
      <c r="J101" s="604"/>
    </row>
    <row r="102" spans="3:10" ht="14" x14ac:dyDescent="0.25">
      <c r="C102" s="212" t="s">
        <v>385</v>
      </c>
      <c r="D102" s="241" t="s">
        <v>386</v>
      </c>
      <c r="E102" s="233" t="s">
        <v>290</v>
      </c>
      <c r="F102" s="232" t="s">
        <v>214</v>
      </c>
      <c r="G102" s="232" t="s">
        <v>286</v>
      </c>
      <c r="H102" s="232"/>
      <c r="I102" s="240" t="s">
        <v>159</v>
      </c>
      <c r="J102" s="604"/>
    </row>
    <row r="103" spans="3:10" ht="29.95" customHeight="1" x14ac:dyDescent="0.25">
      <c r="C103" s="212" t="s">
        <v>387</v>
      </c>
      <c r="D103" s="238" t="s">
        <v>388</v>
      </c>
      <c r="E103" s="233" t="s">
        <v>290</v>
      </c>
      <c r="F103" s="232" t="s">
        <v>214</v>
      </c>
      <c r="G103" s="232" t="s">
        <v>286</v>
      </c>
      <c r="H103" s="232"/>
      <c r="I103" s="240" t="s">
        <v>168</v>
      </c>
      <c r="J103" s="604"/>
    </row>
    <row r="104" spans="3:10" ht="14" x14ac:dyDescent="0.25">
      <c r="C104" s="212" t="s">
        <v>389</v>
      </c>
      <c r="D104" s="241" t="s">
        <v>390</v>
      </c>
      <c r="E104" s="233" t="s">
        <v>290</v>
      </c>
      <c r="F104" s="232" t="s">
        <v>214</v>
      </c>
      <c r="G104" s="232" t="s">
        <v>286</v>
      </c>
      <c r="H104" s="232"/>
      <c r="I104" s="240" t="s">
        <v>159</v>
      </c>
      <c r="J104" s="604"/>
    </row>
    <row r="105" spans="3:10" ht="14" x14ac:dyDescent="0.25">
      <c r="C105" s="212" t="s">
        <v>391</v>
      </c>
      <c r="D105" s="241" t="s">
        <v>392</v>
      </c>
      <c r="E105" s="233" t="s">
        <v>290</v>
      </c>
      <c r="F105" s="232" t="s">
        <v>214</v>
      </c>
      <c r="G105" s="232" t="s">
        <v>286</v>
      </c>
      <c r="H105" s="232"/>
      <c r="I105" s="240" t="s">
        <v>159</v>
      </c>
      <c r="J105" s="604"/>
    </row>
    <row r="106" spans="3:10" ht="14" x14ac:dyDescent="0.25">
      <c r="C106" s="212" t="s">
        <v>393</v>
      </c>
      <c r="D106" s="241" t="s">
        <v>394</v>
      </c>
      <c r="E106" s="233" t="s">
        <v>290</v>
      </c>
      <c r="F106" s="232" t="s">
        <v>214</v>
      </c>
      <c r="G106" s="232" t="s">
        <v>286</v>
      </c>
      <c r="H106" s="232"/>
      <c r="I106" s="240" t="s">
        <v>159</v>
      </c>
      <c r="J106" s="604"/>
    </row>
    <row r="107" spans="3:10" ht="14" x14ac:dyDescent="0.25">
      <c r="C107" s="212" t="s">
        <v>395</v>
      </c>
      <c r="D107" s="241" t="s">
        <v>396</v>
      </c>
      <c r="E107" s="233" t="s">
        <v>290</v>
      </c>
      <c r="F107" s="232" t="s">
        <v>214</v>
      </c>
      <c r="G107" s="232" t="s">
        <v>286</v>
      </c>
      <c r="H107" s="232"/>
      <c r="I107" s="240" t="s">
        <v>159</v>
      </c>
      <c r="J107" s="604"/>
    </row>
    <row r="108" spans="3:10" ht="14" x14ac:dyDescent="0.25">
      <c r="C108" s="212" t="s">
        <v>397</v>
      </c>
      <c r="D108" s="241" t="s">
        <v>398</v>
      </c>
      <c r="E108" s="233" t="s">
        <v>290</v>
      </c>
      <c r="F108" s="232" t="s">
        <v>214</v>
      </c>
      <c r="G108" s="232" t="s">
        <v>286</v>
      </c>
      <c r="H108" s="232"/>
      <c r="I108" s="240" t="s">
        <v>159</v>
      </c>
      <c r="J108" s="604"/>
    </row>
    <row r="109" spans="3:10" ht="14" x14ac:dyDescent="0.25">
      <c r="C109" s="212" t="s">
        <v>399</v>
      </c>
      <c r="D109" s="241" t="s">
        <v>400</v>
      </c>
      <c r="E109" s="233" t="s">
        <v>290</v>
      </c>
      <c r="F109" s="232" t="s">
        <v>214</v>
      </c>
      <c r="G109" s="232" t="s">
        <v>286</v>
      </c>
      <c r="H109" s="232"/>
      <c r="I109" s="240" t="s">
        <v>159</v>
      </c>
      <c r="J109" s="604"/>
    </row>
    <row r="110" spans="3:10" ht="14" x14ac:dyDescent="0.25">
      <c r="C110" s="212" t="s">
        <v>401</v>
      </c>
      <c r="D110" s="241" t="s">
        <v>402</v>
      </c>
      <c r="E110" s="233" t="s">
        <v>290</v>
      </c>
      <c r="F110" s="232" t="s">
        <v>214</v>
      </c>
      <c r="G110" s="232" t="s">
        <v>286</v>
      </c>
      <c r="H110" s="232"/>
      <c r="I110" s="240" t="s">
        <v>159</v>
      </c>
      <c r="J110" s="604"/>
    </row>
    <row r="111" spans="3:10" ht="14" x14ac:dyDescent="0.25">
      <c r="C111" s="212" t="s">
        <v>403</v>
      </c>
      <c r="D111" s="241" t="s">
        <v>404</v>
      </c>
      <c r="E111" s="233" t="s">
        <v>290</v>
      </c>
      <c r="F111" s="232" t="s">
        <v>214</v>
      </c>
      <c r="G111" s="232" t="s">
        <v>286</v>
      </c>
      <c r="H111" s="232"/>
      <c r="I111" s="240" t="s">
        <v>159</v>
      </c>
      <c r="J111" s="604"/>
    </row>
    <row r="112" spans="3:10" ht="14" x14ac:dyDescent="0.25">
      <c r="C112" s="212" t="s">
        <v>405</v>
      </c>
      <c r="D112" s="241" t="s">
        <v>406</v>
      </c>
      <c r="E112" s="233" t="s">
        <v>290</v>
      </c>
      <c r="F112" s="232" t="s">
        <v>214</v>
      </c>
      <c r="G112" s="232" t="s">
        <v>286</v>
      </c>
      <c r="H112" s="232"/>
      <c r="I112" s="240" t="s">
        <v>159</v>
      </c>
      <c r="J112" s="604"/>
    </row>
    <row r="113" spans="2:11" ht="14" x14ac:dyDescent="0.25">
      <c r="C113" s="212" t="s">
        <v>407</v>
      </c>
      <c r="D113" s="241" t="s">
        <v>408</v>
      </c>
      <c r="E113" s="233" t="s">
        <v>290</v>
      </c>
      <c r="F113" s="232" t="s">
        <v>214</v>
      </c>
      <c r="G113" s="232" t="s">
        <v>286</v>
      </c>
      <c r="H113" s="232"/>
      <c r="I113" s="240" t="s">
        <v>159</v>
      </c>
      <c r="J113" s="604"/>
    </row>
    <row r="114" spans="2:11" ht="14" x14ac:dyDescent="0.25">
      <c r="C114" s="212" t="s">
        <v>409</v>
      </c>
      <c r="D114" s="241" t="s">
        <v>410</v>
      </c>
      <c r="E114" s="233" t="s">
        <v>290</v>
      </c>
      <c r="F114" s="232" t="s">
        <v>214</v>
      </c>
      <c r="G114" s="232" t="s">
        <v>286</v>
      </c>
      <c r="H114" s="232"/>
      <c r="I114" s="240" t="s">
        <v>159</v>
      </c>
      <c r="J114" s="604"/>
    </row>
    <row r="115" spans="2:11" ht="14" x14ac:dyDescent="0.25">
      <c r="C115" s="212" t="s">
        <v>411</v>
      </c>
      <c r="D115" s="241" t="s">
        <v>412</v>
      </c>
      <c r="E115" s="233" t="s">
        <v>290</v>
      </c>
      <c r="F115" s="232" t="s">
        <v>214</v>
      </c>
      <c r="G115" s="232" t="s">
        <v>286</v>
      </c>
      <c r="H115" s="232"/>
      <c r="I115" s="240" t="s">
        <v>159</v>
      </c>
      <c r="J115" s="604"/>
    </row>
    <row r="116" spans="2:11" ht="14" x14ac:dyDescent="0.25">
      <c r="C116" s="212" t="s">
        <v>413</v>
      </c>
      <c r="D116" s="241" t="s">
        <v>414</v>
      </c>
      <c r="E116" s="233" t="s">
        <v>290</v>
      </c>
      <c r="F116" s="232" t="s">
        <v>214</v>
      </c>
      <c r="G116" s="232" t="s">
        <v>286</v>
      </c>
      <c r="H116" s="232"/>
      <c r="I116" s="240" t="s">
        <v>159</v>
      </c>
      <c r="J116" s="604"/>
    </row>
    <row r="117" spans="2:11" ht="29.95" customHeight="1" x14ac:dyDescent="0.25">
      <c r="C117" s="212" t="s">
        <v>415</v>
      </c>
      <c r="D117" s="238" t="s">
        <v>416</v>
      </c>
      <c r="E117" s="233" t="s">
        <v>290</v>
      </c>
      <c r="F117" s="232" t="s">
        <v>214</v>
      </c>
      <c r="G117" s="232" t="s">
        <v>286</v>
      </c>
      <c r="H117" s="232"/>
      <c r="I117" s="240" t="s">
        <v>168</v>
      </c>
      <c r="J117" s="604"/>
    </row>
    <row r="118" spans="2:11" ht="14" x14ac:dyDescent="0.25">
      <c r="C118" s="212" t="s">
        <v>417</v>
      </c>
      <c r="D118" s="241" t="s">
        <v>418</v>
      </c>
      <c r="E118" s="233" t="s">
        <v>290</v>
      </c>
      <c r="F118" s="232" t="s">
        <v>214</v>
      </c>
      <c r="G118" s="232" t="s">
        <v>286</v>
      </c>
      <c r="H118" s="232"/>
      <c r="I118" s="240" t="s">
        <v>159</v>
      </c>
      <c r="J118" s="604"/>
    </row>
    <row r="119" spans="2:11" ht="14" x14ac:dyDescent="0.25">
      <c r="C119" s="212" t="s">
        <v>419</v>
      </c>
      <c r="D119" s="241" t="s">
        <v>420</v>
      </c>
      <c r="E119" s="233" t="s">
        <v>290</v>
      </c>
      <c r="F119" s="232" t="s">
        <v>214</v>
      </c>
      <c r="G119" s="232" t="s">
        <v>286</v>
      </c>
      <c r="H119" s="232"/>
      <c r="I119" s="240" t="s">
        <v>159</v>
      </c>
      <c r="J119" s="604"/>
    </row>
    <row r="120" spans="2:11" ht="14" x14ac:dyDescent="0.3">
      <c r="C120" s="249" t="s">
        <v>421</v>
      </c>
      <c r="D120" s="232" t="s">
        <v>422</v>
      </c>
      <c r="E120" s="233" t="s">
        <v>178</v>
      </c>
      <c r="F120" s="232" t="s">
        <v>214</v>
      </c>
      <c r="G120" s="232" t="s">
        <v>286</v>
      </c>
      <c r="H120" s="232"/>
      <c r="I120" s="240" t="s">
        <v>159</v>
      </c>
      <c r="J120" s="604"/>
    </row>
    <row r="121" spans="2:11" ht="14" x14ac:dyDescent="0.25">
      <c r="C121" s="212" t="s">
        <v>423</v>
      </c>
      <c r="D121" s="241" t="s">
        <v>424</v>
      </c>
      <c r="E121" s="233" t="s">
        <v>290</v>
      </c>
      <c r="F121" s="232" t="s">
        <v>214</v>
      </c>
      <c r="G121" s="232" t="s">
        <v>286</v>
      </c>
      <c r="H121" s="232"/>
      <c r="I121" s="240" t="s">
        <v>159</v>
      </c>
      <c r="J121" s="604"/>
      <c r="K121">
        <v>40</v>
      </c>
    </row>
    <row r="122" spans="2:11" ht="29.95" customHeight="1" x14ac:dyDescent="0.25">
      <c r="C122" s="212" t="s">
        <v>425</v>
      </c>
      <c r="D122" s="238" t="s">
        <v>426</v>
      </c>
      <c r="E122" s="233"/>
      <c r="F122" s="232" t="s">
        <v>214</v>
      </c>
      <c r="G122" s="232" t="s">
        <v>427</v>
      </c>
      <c r="H122" s="232" t="s">
        <v>428</v>
      </c>
      <c r="I122" s="240" t="s">
        <v>164</v>
      </c>
      <c r="J122" s="217">
        <v>1</v>
      </c>
    </row>
    <row r="123" spans="2:11" ht="29.95" customHeight="1" x14ac:dyDescent="0.3">
      <c r="B123" s="16"/>
      <c r="C123" s="212" t="s">
        <v>429</v>
      </c>
      <c r="D123" s="241" t="s">
        <v>430</v>
      </c>
      <c r="E123" s="233" t="s">
        <v>171</v>
      </c>
      <c r="F123" s="232" t="s">
        <v>214</v>
      </c>
      <c r="G123" s="232" t="s">
        <v>427</v>
      </c>
      <c r="H123" s="232"/>
      <c r="I123" s="240" t="s">
        <v>159</v>
      </c>
      <c r="J123" s="604">
        <v>3</v>
      </c>
    </row>
    <row r="124" spans="2:11" ht="29.95" customHeight="1" x14ac:dyDescent="0.3">
      <c r="B124" s="16"/>
      <c r="C124" s="212" t="s">
        <v>431</v>
      </c>
      <c r="D124" s="241" t="s">
        <v>432</v>
      </c>
      <c r="E124" s="233" t="s">
        <v>171</v>
      </c>
      <c r="F124" s="232" t="s">
        <v>214</v>
      </c>
      <c r="G124" s="232" t="s">
        <v>427</v>
      </c>
      <c r="H124" s="232"/>
      <c r="I124" s="240" t="s">
        <v>159</v>
      </c>
      <c r="J124" s="604"/>
    </row>
    <row r="125" spans="2:11" ht="29.95" customHeight="1" x14ac:dyDescent="0.3">
      <c r="B125" s="16"/>
      <c r="C125" s="212"/>
      <c r="D125" s="241" t="s">
        <v>273</v>
      </c>
      <c r="E125" s="233"/>
      <c r="F125" s="232" t="s">
        <v>214</v>
      </c>
      <c r="G125" s="232"/>
      <c r="H125" s="232"/>
      <c r="I125" s="240"/>
      <c r="J125" s="604"/>
    </row>
    <row r="126" spans="2:11" ht="29.95" customHeight="1" x14ac:dyDescent="0.3">
      <c r="B126" s="16"/>
      <c r="C126" s="212" t="s">
        <v>433</v>
      </c>
      <c r="D126" s="232" t="s">
        <v>434</v>
      </c>
      <c r="E126" s="233" t="s">
        <v>171</v>
      </c>
      <c r="F126" s="232" t="s">
        <v>214</v>
      </c>
      <c r="G126" s="232" t="s">
        <v>427</v>
      </c>
      <c r="H126" s="232"/>
      <c r="I126" s="240" t="s">
        <v>159</v>
      </c>
      <c r="J126" s="604"/>
    </row>
    <row r="127" spans="2:11" ht="29.95" customHeight="1" x14ac:dyDescent="0.3">
      <c r="B127" s="16"/>
      <c r="C127" s="226" t="s">
        <v>435</v>
      </c>
      <c r="D127" s="250" t="s">
        <v>436</v>
      </c>
      <c r="E127" s="233"/>
      <c r="F127" s="250" t="s">
        <v>437</v>
      </c>
      <c r="G127" s="250" t="s">
        <v>438</v>
      </c>
      <c r="H127" s="250"/>
      <c r="I127" s="251" t="s">
        <v>159</v>
      </c>
      <c r="J127" s="217"/>
    </row>
    <row r="128" spans="2:11" ht="29.95" customHeight="1" x14ac:dyDescent="0.25">
      <c r="C128" s="212" t="s">
        <v>439</v>
      </c>
      <c r="D128" s="250" t="s">
        <v>440</v>
      </c>
      <c r="E128" s="252"/>
      <c r="F128" s="250" t="s">
        <v>437</v>
      </c>
      <c r="G128" s="250" t="s">
        <v>438</v>
      </c>
      <c r="H128" s="250" t="s">
        <v>217</v>
      </c>
      <c r="I128" s="251" t="s">
        <v>164</v>
      </c>
      <c r="J128" s="217"/>
    </row>
    <row r="129" spans="2:10" ht="27.95" x14ac:dyDescent="0.25">
      <c r="C129" s="212" t="s">
        <v>441</v>
      </c>
      <c r="D129" s="250" t="s">
        <v>442</v>
      </c>
      <c r="E129" s="252"/>
      <c r="F129" s="250" t="s">
        <v>437</v>
      </c>
      <c r="G129" s="250" t="s">
        <v>443</v>
      </c>
      <c r="H129" s="250"/>
      <c r="I129" s="251" t="s">
        <v>164</v>
      </c>
      <c r="J129" s="217"/>
    </row>
    <row r="130" spans="2:10" ht="29.95" customHeight="1" x14ac:dyDescent="0.25">
      <c r="C130" s="212" t="s">
        <v>444</v>
      </c>
      <c r="D130" s="250" t="s">
        <v>445</v>
      </c>
      <c r="E130" s="252"/>
      <c r="F130" s="250" t="s">
        <v>437</v>
      </c>
      <c r="G130" s="250" t="s">
        <v>443</v>
      </c>
      <c r="H130" s="250" t="s">
        <v>446</v>
      </c>
      <c r="I130" s="251" t="s">
        <v>164</v>
      </c>
      <c r="J130" s="217"/>
    </row>
    <row r="131" spans="2:10" ht="29.95" customHeight="1" x14ac:dyDescent="0.3">
      <c r="B131" s="16"/>
      <c r="C131" s="212" t="s">
        <v>447</v>
      </c>
      <c r="D131" s="250" t="s">
        <v>448</v>
      </c>
      <c r="E131" s="252" t="s">
        <v>171</v>
      </c>
      <c r="F131" s="250" t="s">
        <v>437</v>
      </c>
      <c r="G131" s="250" t="s">
        <v>443</v>
      </c>
      <c r="H131" s="250" t="s">
        <v>446</v>
      </c>
      <c r="I131" s="251" t="s">
        <v>159</v>
      </c>
      <c r="J131" s="217"/>
    </row>
    <row r="132" spans="2:10" ht="27.95" x14ac:dyDescent="0.3">
      <c r="B132" s="16"/>
      <c r="C132" s="212" t="s">
        <v>449</v>
      </c>
      <c r="D132" s="250" t="s">
        <v>450</v>
      </c>
      <c r="E132" s="252" t="s">
        <v>451</v>
      </c>
      <c r="F132" s="250" t="s">
        <v>437</v>
      </c>
      <c r="G132" s="250" t="s">
        <v>443</v>
      </c>
      <c r="H132" s="250" t="s">
        <v>452</v>
      </c>
      <c r="I132" s="251" t="s">
        <v>159</v>
      </c>
      <c r="J132" s="217"/>
    </row>
    <row r="133" spans="2:10" ht="27.95" x14ac:dyDescent="0.3">
      <c r="B133" s="16"/>
      <c r="C133" s="212" t="s">
        <v>453</v>
      </c>
      <c r="D133" s="250" t="s">
        <v>454</v>
      </c>
      <c r="E133" s="252" t="s">
        <v>171</v>
      </c>
      <c r="F133" s="250" t="s">
        <v>437</v>
      </c>
      <c r="G133" s="250" t="s">
        <v>443</v>
      </c>
      <c r="H133" s="250" t="s">
        <v>452</v>
      </c>
      <c r="I133" s="251" t="s">
        <v>159</v>
      </c>
      <c r="J133" s="217"/>
    </row>
    <row r="134" spans="2:10" ht="27.95" x14ac:dyDescent="0.3">
      <c r="B134" s="16"/>
      <c r="C134" s="212" t="s">
        <v>455</v>
      </c>
      <c r="D134" s="250" t="s">
        <v>456</v>
      </c>
      <c r="E134" s="252"/>
      <c r="F134" s="250" t="s">
        <v>437</v>
      </c>
      <c r="G134" s="250" t="s">
        <v>443</v>
      </c>
      <c r="H134" s="250" t="s">
        <v>457</v>
      </c>
      <c r="I134" s="251" t="s">
        <v>164</v>
      </c>
      <c r="J134" s="217"/>
    </row>
    <row r="135" spans="2:10" ht="14" x14ac:dyDescent="0.3">
      <c r="B135" s="16"/>
      <c r="C135" s="212" t="s">
        <v>458</v>
      </c>
      <c r="D135" s="250" t="s">
        <v>459</v>
      </c>
      <c r="E135" s="252" t="s">
        <v>171</v>
      </c>
      <c r="F135" s="250" t="s">
        <v>437</v>
      </c>
      <c r="G135" s="250" t="s">
        <v>460</v>
      </c>
      <c r="H135" s="250"/>
      <c r="I135" s="251" t="s">
        <v>159</v>
      </c>
      <c r="J135" s="217"/>
    </row>
    <row r="136" spans="2:10" ht="14" x14ac:dyDescent="0.25">
      <c r="C136" s="212" t="s">
        <v>461</v>
      </c>
      <c r="D136" s="250" t="s">
        <v>462</v>
      </c>
      <c r="E136" s="252" t="s">
        <v>171</v>
      </c>
      <c r="F136" s="250" t="s">
        <v>437</v>
      </c>
      <c r="G136" s="250" t="s">
        <v>460</v>
      </c>
      <c r="H136" s="250"/>
      <c r="I136" s="251" t="s">
        <v>168</v>
      </c>
      <c r="J136" s="217"/>
    </row>
    <row r="137" spans="2:10" ht="14" x14ac:dyDescent="0.3">
      <c r="B137" s="16"/>
      <c r="C137" s="212" t="s">
        <v>463</v>
      </c>
      <c r="D137" s="250" t="s">
        <v>464</v>
      </c>
      <c r="E137" s="252" t="s">
        <v>171</v>
      </c>
      <c r="F137" s="250" t="s">
        <v>437</v>
      </c>
      <c r="G137" s="250" t="s">
        <v>460</v>
      </c>
      <c r="H137" s="250"/>
      <c r="I137" s="251" t="s">
        <v>159</v>
      </c>
      <c r="J137" s="217"/>
    </row>
    <row r="138" spans="2:10" ht="14" x14ac:dyDescent="0.3">
      <c r="B138" s="16"/>
      <c r="C138" s="212" t="s">
        <v>465</v>
      </c>
      <c r="D138" s="253" t="s">
        <v>466</v>
      </c>
      <c r="E138" s="252" t="s">
        <v>171</v>
      </c>
      <c r="F138" s="250" t="s">
        <v>437</v>
      </c>
      <c r="G138" s="250" t="s">
        <v>460</v>
      </c>
      <c r="H138" s="250" t="s">
        <v>467</v>
      </c>
      <c r="I138" s="251" t="s">
        <v>159</v>
      </c>
      <c r="J138" s="217"/>
    </row>
    <row r="139" spans="2:10" ht="14" x14ac:dyDescent="0.25">
      <c r="C139" s="212" t="s">
        <v>468</v>
      </c>
      <c r="D139" s="250" t="s">
        <v>469</v>
      </c>
      <c r="E139" s="252"/>
      <c r="F139" s="250" t="s">
        <v>437</v>
      </c>
      <c r="G139" s="250" t="s">
        <v>460</v>
      </c>
      <c r="H139" s="250" t="s">
        <v>470</v>
      </c>
      <c r="I139" s="251" t="s">
        <v>164</v>
      </c>
      <c r="J139" s="217"/>
    </row>
    <row r="140" spans="2:10" ht="27.95" x14ac:dyDescent="0.25">
      <c r="C140" s="212" t="s">
        <v>471</v>
      </c>
      <c r="D140" s="254" t="s">
        <v>472</v>
      </c>
      <c r="E140" s="255" t="s">
        <v>473</v>
      </c>
      <c r="F140" s="256" t="s">
        <v>474</v>
      </c>
      <c r="G140" s="256" t="s">
        <v>475</v>
      </c>
      <c r="H140" s="256"/>
      <c r="I140" s="257" t="s">
        <v>159</v>
      </c>
      <c r="J140" s="217"/>
    </row>
    <row r="141" spans="2:10" ht="27.95" x14ac:dyDescent="0.3">
      <c r="B141" s="16"/>
      <c r="C141" s="212" t="s">
        <v>476</v>
      </c>
      <c r="D141" s="254" t="s">
        <v>477</v>
      </c>
      <c r="E141" s="255" t="s">
        <v>178</v>
      </c>
      <c r="F141" s="256" t="s">
        <v>474</v>
      </c>
      <c r="G141" s="256" t="s">
        <v>475</v>
      </c>
      <c r="H141" s="256" t="s">
        <v>478</v>
      </c>
      <c r="I141" s="257" t="s">
        <v>159</v>
      </c>
      <c r="J141" s="217"/>
    </row>
    <row r="142" spans="2:10" ht="27.95" x14ac:dyDescent="0.3">
      <c r="B142" s="16"/>
      <c r="C142" s="212" t="s">
        <v>479</v>
      </c>
      <c r="D142" s="254" t="s">
        <v>480</v>
      </c>
      <c r="E142" s="255" t="s">
        <v>171</v>
      </c>
      <c r="F142" s="256" t="s">
        <v>481</v>
      </c>
      <c r="G142" s="256" t="s">
        <v>482</v>
      </c>
      <c r="H142" s="256"/>
      <c r="I142" s="257" t="s">
        <v>159</v>
      </c>
      <c r="J142" s="217"/>
    </row>
    <row r="143" spans="2:10" ht="14" x14ac:dyDescent="0.3">
      <c r="B143" s="16"/>
      <c r="C143" s="212" t="s">
        <v>483</v>
      </c>
      <c r="D143" s="253" t="s">
        <v>484</v>
      </c>
      <c r="E143" s="255" t="s">
        <v>171</v>
      </c>
      <c r="F143" s="256" t="s">
        <v>474</v>
      </c>
      <c r="G143" s="256" t="s">
        <v>485</v>
      </c>
      <c r="H143" s="256"/>
      <c r="I143" s="257" t="s">
        <v>159</v>
      </c>
      <c r="J143" s="217"/>
    </row>
    <row r="144" spans="2:10" ht="14" x14ac:dyDescent="0.25">
      <c r="C144" s="212" t="s">
        <v>486</v>
      </c>
      <c r="D144" s="254" t="s">
        <v>487</v>
      </c>
      <c r="E144" s="255" t="s">
        <v>488</v>
      </c>
      <c r="F144" s="256" t="s">
        <v>474</v>
      </c>
      <c r="G144" s="256" t="s">
        <v>485</v>
      </c>
      <c r="H144" s="256" t="s">
        <v>489</v>
      </c>
      <c r="I144" s="257" t="s">
        <v>159</v>
      </c>
      <c r="J144" s="217"/>
    </row>
    <row r="145" spans="2:10" ht="29.95" customHeight="1" x14ac:dyDescent="0.3">
      <c r="B145" s="16"/>
      <c r="C145" s="212" t="s">
        <v>490</v>
      </c>
      <c r="D145" s="253" t="s">
        <v>491</v>
      </c>
      <c r="E145" s="255" t="s">
        <v>488</v>
      </c>
      <c r="F145" s="256" t="s">
        <v>474</v>
      </c>
      <c r="G145" s="256" t="s">
        <v>485</v>
      </c>
      <c r="H145" s="256"/>
      <c r="I145" s="257" t="s">
        <v>159</v>
      </c>
      <c r="J145" s="217"/>
    </row>
    <row r="146" spans="2:10" ht="29.95" customHeight="1" x14ac:dyDescent="0.3">
      <c r="B146" s="16"/>
      <c r="C146" s="212" t="s">
        <v>492</v>
      </c>
      <c r="D146" s="253" t="s">
        <v>493</v>
      </c>
      <c r="E146" s="255" t="s">
        <v>171</v>
      </c>
      <c r="F146" s="256" t="s">
        <v>474</v>
      </c>
      <c r="G146" s="256" t="s">
        <v>485</v>
      </c>
      <c r="H146" s="256" t="s">
        <v>494</v>
      </c>
      <c r="I146" s="257" t="s">
        <v>159</v>
      </c>
      <c r="J146" s="217"/>
    </row>
    <row r="147" spans="2:10" ht="14" x14ac:dyDescent="0.25">
      <c r="C147" s="212" t="s">
        <v>495</v>
      </c>
      <c r="D147" s="254" t="s">
        <v>496</v>
      </c>
      <c r="E147" s="255" t="s">
        <v>167</v>
      </c>
      <c r="F147" s="256" t="s">
        <v>474</v>
      </c>
      <c r="G147" s="256" t="s">
        <v>497</v>
      </c>
      <c r="H147" s="256" t="s">
        <v>478</v>
      </c>
      <c r="I147" s="257" t="s">
        <v>159</v>
      </c>
      <c r="J147" s="217"/>
    </row>
    <row r="148" spans="2:10" ht="14" x14ac:dyDescent="0.3">
      <c r="B148" s="16"/>
      <c r="C148" s="212" t="s">
        <v>498</v>
      </c>
      <c r="D148" s="254" t="s">
        <v>499</v>
      </c>
      <c r="E148" s="255" t="s">
        <v>171</v>
      </c>
      <c r="F148" s="256" t="s">
        <v>474</v>
      </c>
      <c r="G148" s="256" t="s">
        <v>497</v>
      </c>
      <c r="H148" s="256"/>
      <c r="I148" s="257" t="s">
        <v>159</v>
      </c>
      <c r="J148" s="217"/>
    </row>
    <row r="149" spans="2:10" ht="14" x14ac:dyDescent="0.3">
      <c r="B149" s="16"/>
      <c r="C149" s="212" t="s">
        <v>500</v>
      </c>
      <c r="D149" s="254" t="s">
        <v>501</v>
      </c>
      <c r="E149" s="255" t="s">
        <v>171</v>
      </c>
      <c r="F149" s="256" t="s">
        <v>474</v>
      </c>
      <c r="G149" s="256" t="s">
        <v>502</v>
      </c>
      <c r="H149" s="256"/>
      <c r="I149" s="257" t="s">
        <v>159</v>
      </c>
      <c r="J149" s="217"/>
    </row>
    <row r="150" spans="2:10" ht="14" x14ac:dyDescent="0.25">
      <c r="C150" s="212" t="s">
        <v>503</v>
      </c>
      <c r="D150" s="254" t="s">
        <v>504</v>
      </c>
      <c r="E150" s="255" t="s">
        <v>213</v>
      </c>
      <c r="F150" s="256" t="s">
        <v>474</v>
      </c>
      <c r="G150" s="256" t="s">
        <v>502</v>
      </c>
      <c r="H150" s="256" t="s">
        <v>505</v>
      </c>
      <c r="I150" s="257" t="s">
        <v>159</v>
      </c>
      <c r="J150" s="217"/>
    </row>
    <row r="151" spans="2:10" ht="29.95" customHeight="1" x14ac:dyDescent="0.25">
      <c r="C151" s="212" t="s">
        <v>506</v>
      </c>
      <c r="D151" s="254" t="s">
        <v>507</v>
      </c>
      <c r="E151" s="255" t="s">
        <v>508</v>
      </c>
      <c r="F151" s="256" t="s">
        <v>474</v>
      </c>
      <c r="G151" s="256" t="s">
        <v>502</v>
      </c>
      <c r="H151" s="256" t="s">
        <v>509</v>
      </c>
      <c r="I151" s="257" t="s">
        <v>159</v>
      </c>
      <c r="J151" s="217"/>
    </row>
    <row r="152" spans="2:10" ht="14" x14ac:dyDescent="0.25">
      <c r="C152" s="212" t="s">
        <v>510</v>
      </c>
      <c r="D152" s="254" t="s">
        <v>511</v>
      </c>
      <c r="E152" s="255" t="s">
        <v>512</v>
      </c>
      <c r="F152" s="256" t="s">
        <v>474</v>
      </c>
      <c r="G152" s="256" t="s">
        <v>502</v>
      </c>
      <c r="H152" s="256" t="s">
        <v>513</v>
      </c>
      <c r="I152" s="257" t="s">
        <v>159</v>
      </c>
      <c r="J152" s="217"/>
    </row>
    <row r="153" spans="2:10" ht="29.95" customHeight="1" x14ac:dyDescent="0.25">
      <c r="C153" s="212" t="s">
        <v>514</v>
      </c>
      <c r="D153" s="254" t="s">
        <v>515</v>
      </c>
      <c r="E153" s="255" t="s">
        <v>473</v>
      </c>
      <c r="F153" s="256" t="s">
        <v>474</v>
      </c>
      <c r="G153" s="256" t="s">
        <v>502</v>
      </c>
      <c r="H153" s="256" t="s">
        <v>516</v>
      </c>
      <c r="I153" s="257" t="s">
        <v>164</v>
      </c>
      <c r="J153" s="217"/>
    </row>
    <row r="154" spans="2:10" ht="29.95" customHeight="1" x14ac:dyDescent="0.25">
      <c r="C154" s="212" t="s">
        <v>517</v>
      </c>
      <c r="D154" s="254" t="s">
        <v>518</v>
      </c>
      <c r="E154" s="255"/>
      <c r="F154" s="256" t="s">
        <v>474</v>
      </c>
      <c r="G154" s="256" t="s">
        <v>502</v>
      </c>
      <c r="H154" s="256" t="s">
        <v>516</v>
      </c>
      <c r="I154" s="257" t="s">
        <v>159</v>
      </c>
      <c r="J154" s="217"/>
    </row>
    <row r="155" spans="2:10" ht="29.95" customHeight="1" x14ac:dyDescent="0.25">
      <c r="C155" s="212" t="s">
        <v>519</v>
      </c>
      <c r="D155" s="254" t="s">
        <v>520</v>
      </c>
      <c r="E155" s="255"/>
      <c r="F155" s="256" t="s">
        <v>474</v>
      </c>
      <c r="G155" s="256" t="s">
        <v>521</v>
      </c>
      <c r="H155" s="256"/>
      <c r="I155" s="257" t="s">
        <v>164</v>
      </c>
      <c r="J155" s="217"/>
    </row>
    <row r="156" spans="2:10" ht="29.95" customHeight="1" x14ac:dyDescent="0.25">
      <c r="C156" s="212" t="s">
        <v>522</v>
      </c>
      <c r="D156" s="254" t="s">
        <v>523</v>
      </c>
      <c r="E156" s="255"/>
      <c r="F156" s="256" t="s">
        <v>474</v>
      </c>
      <c r="G156" s="256" t="s">
        <v>502</v>
      </c>
      <c r="H156" s="256"/>
      <c r="I156" s="257"/>
      <c r="J156" s="217"/>
    </row>
    <row r="157" spans="2:10" ht="29.95" customHeight="1" x14ac:dyDescent="0.25">
      <c r="C157" s="212" t="s">
        <v>524</v>
      </c>
      <c r="D157" s="254" t="s">
        <v>525</v>
      </c>
      <c r="E157" s="255"/>
      <c r="F157" s="256" t="s">
        <v>474</v>
      </c>
      <c r="G157" s="256" t="s">
        <v>502</v>
      </c>
      <c r="H157" s="256"/>
      <c r="I157" s="257"/>
      <c r="J157" s="217"/>
    </row>
    <row r="158" spans="2:10" ht="29.95" customHeight="1" x14ac:dyDescent="0.25">
      <c r="C158" s="212" t="s">
        <v>526</v>
      </c>
      <c r="D158" s="254" t="s">
        <v>527</v>
      </c>
      <c r="E158" s="255"/>
      <c r="F158" s="256" t="s">
        <v>474</v>
      </c>
      <c r="G158" s="256" t="s">
        <v>502</v>
      </c>
      <c r="H158" s="256"/>
      <c r="I158" s="257"/>
      <c r="J158" s="217"/>
    </row>
    <row r="159" spans="2:10" ht="29.95" customHeight="1" x14ac:dyDescent="0.25">
      <c r="C159" s="212" t="s">
        <v>528</v>
      </c>
      <c r="D159" s="254" t="s">
        <v>529</v>
      </c>
      <c r="E159" s="255"/>
      <c r="F159" s="256" t="s">
        <v>474</v>
      </c>
      <c r="G159" s="256" t="s">
        <v>502</v>
      </c>
      <c r="H159" s="256"/>
      <c r="I159" s="257"/>
      <c r="J159" s="217"/>
    </row>
    <row r="160" spans="2:10" ht="29.95" customHeight="1" x14ac:dyDescent="0.25">
      <c r="C160" s="212" t="s">
        <v>530</v>
      </c>
      <c r="D160" s="254" t="s">
        <v>531</v>
      </c>
      <c r="E160" s="255"/>
      <c r="F160" s="256" t="s">
        <v>474</v>
      </c>
      <c r="G160" s="256" t="s">
        <v>502</v>
      </c>
      <c r="H160" s="256"/>
      <c r="I160" s="257"/>
      <c r="J160" s="217"/>
    </row>
    <row r="161" spans="2:10" ht="29.95" customHeight="1" x14ac:dyDescent="0.25">
      <c r="C161" s="212" t="s">
        <v>532</v>
      </c>
      <c r="D161" s="254" t="s">
        <v>533</v>
      </c>
      <c r="E161" s="255"/>
      <c r="F161" s="256" t="s">
        <v>474</v>
      </c>
      <c r="G161" s="256" t="s">
        <v>502</v>
      </c>
      <c r="H161" s="256"/>
      <c r="I161" s="257"/>
      <c r="J161" s="217"/>
    </row>
    <row r="162" spans="2:10" ht="29.95" customHeight="1" x14ac:dyDescent="0.25">
      <c r="C162" s="212" t="s">
        <v>155</v>
      </c>
      <c r="D162" s="258" t="s">
        <v>534</v>
      </c>
      <c r="E162" s="259" t="s">
        <v>167</v>
      </c>
      <c r="F162" s="260" t="s">
        <v>535</v>
      </c>
      <c r="G162" s="260" t="s">
        <v>536</v>
      </c>
      <c r="H162" s="260"/>
      <c r="I162" s="261" t="s">
        <v>159</v>
      </c>
      <c r="J162" s="217"/>
    </row>
    <row r="163" spans="2:10" ht="29.95" customHeight="1" x14ac:dyDescent="0.25">
      <c r="C163" s="212" t="s">
        <v>537</v>
      </c>
      <c r="D163" s="258" t="s">
        <v>538</v>
      </c>
      <c r="E163" s="259" t="s">
        <v>539</v>
      </c>
      <c r="F163" s="260" t="s">
        <v>535</v>
      </c>
      <c r="G163" s="260" t="s">
        <v>536</v>
      </c>
      <c r="H163" s="260" t="s">
        <v>540</v>
      </c>
      <c r="I163" s="261" t="s">
        <v>159</v>
      </c>
      <c r="J163" s="217"/>
    </row>
    <row r="164" spans="2:10" ht="29.95" customHeight="1" x14ac:dyDescent="0.3">
      <c r="B164" s="16"/>
      <c r="C164" s="212" t="s">
        <v>541</v>
      </c>
      <c r="D164" s="258" t="s">
        <v>542</v>
      </c>
      <c r="E164" s="259" t="s">
        <v>171</v>
      </c>
      <c r="F164" s="260" t="s">
        <v>535</v>
      </c>
      <c r="G164" s="260" t="s">
        <v>536</v>
      </c>
      <c r="H164" s="260"/>
      <c r="I164" s="261" t="s">
        <v>159</v>
      </c>
      <c r="J164" s="217"/>
    </row>
    <row r="165" spans="2:10" ht="45" customHeight="1" x14ac:dyDescent="0.25">
      <c r="C165" s="212" t="s">
        <v>543</v>
      </c>
      <c r="D165" s="258" t="s">
        <v>544</v>
      </c>
      <c r="E165" s="259" t="s">
        <v>171</v>
      </c>
      <c r="F165" s="260" t="s">
        <v>535</v>
      </c>
      <c r="G165" s="260" t="s">
        <v>536</v>
      </c>
      <c r="H165" s="260"/>
      <c r="I165" s="261" t="s">
        <v>168</v>
      </c>
      <c r="J165" s="217"/>
    </row>
    <row r="166" spans="2:10" ht="45" customHeight="1" x14ac:dyDescent="0.25">
      <c r="C166" s="262" t="s">
        <v>545</v>
      </c>
      <c r="D166" s="263" t="s">
        <v>546</v>
      </c>
      <c r="E166" s="259" t="s">
        <v>171</v>
      </c>
      <c r="F166" s="260" t="s">
        <v>535</v>
      </c>
      <c r="G166" s="260" t="s">
        <v>547</v>
      </c>
      <c r="H166" s="260" t="s">
        <v>548</v>
      </c>
      <c r="I166" s="261" t="s">
        <v>159</v>
      </c>
      <c r="J166" s="217"/>
    </row>
    <row r="167" spans="2:10" ht="14" x14ac:dyDescent="0.3">
      <c r="B167" s="16"/>
      <c r="C167" s="212" t="s">
        <v>549</v>
      </c>
      <c r="D167" s="258" t="s">
        <v>550</v>
      </c>
      <c r="E167" s="259" t="s">
        <v>171</v>
      </c>
      <c r="F167" s="260" t="s">
        <v>535</v>
      </c>
      <c r="G167" s="260" t="s">
        <v>551</v>
      </c>
      <c r="H167" s="260"/>
      <c r="I167" s="261" t="s">
        <v>159</v>
      </c>
      <c r="J167" s="217"/>
    </row>
    <row r="168" spans="2:10" ht="14" x14ac:dyDescent="0.3">
      <c r="B168" s="16"/>
      <c r="C168" s="212" t="s">
        <v>552</v>
      </c>
      <c r="D168" s="258" t="s">
        <v>553</v>
      </c>
      <c r="E168" s="259" t="s">
        <v>171</v>
      </c>
      <c r="F168" s="260" t="s">
        <v>535</v>
      </c>
      <c r="G168" s="260" t="s">
        <v>551</v>
      </c>
      <c r="H168" s="260"/>
      <c r="I168" s="261" t="s">
        <v>159</v>
      </c>
      <c r="J168" s="217"/>
    </row>
    <row r="169" spans="2:10" ht="27.95" x14ac:dyDescent="0.25">
      <c r="C169" s="212" t="s">
        <v>554</v>
      </c>
      <c r="D169" s="258" t="s">
        <v>555</v>
      </c>
      <c r="E169" s="259" t="s">
        <v>171</v>
      </c>
      <c r="F169" s="260" t="s">
        <v>535</v>
      </c>
      <c r="G169" s="260" t="s">
        <v>551</v>
      </c>
      <c r="H169" s="260" t="s">
        <v>556</v>
      </c>
      <c r="I169" s="261" t="s">
        <v>168</v>
      </c>
      <c r="J169" s="217"/>
    </row>
    <row r="170" spans="2:10" ht="14" x14ac:dyDescent="0.3">
      <c r="B170" s="16"/>
      <c r="C170" s="212" t="s">
        <v>557</v>
      </c>
      <c r="D170" s="258" t="s">
        <v>558</v>
      </c>
      <c r="E170" s="259" t="s">
        <v>171</v>
      </c>
      <c r="F170" s="260" t="s">
        <v>535</v>
      </c>
      <c r="G170" s="260" t="s">
        <v>551</v>
      </c>
      <c r="H170" s="260" t="s">
        <v>559</v>
      </c>
      <c r="I170" s="261" t="s">
        <v>159</v>
      </c>
      <c r="J170" s="217"/>
    </row>
    <row r="171" spans="2:10" ht="14" x14ac:dyDescent="0.25">
      <c r="C171" s="212" t="s">
        <v>560</v>
      </c>
      <c r="D171" s="258" t="s">
        <v>561</v>
      </c>
      <c r="E171" s="259" t="s">
        <v>171</v>
      </c>
      <c r="F171" s="260" t="s">
        <v>535</v>
      </c>
      <c r="G171" s="260" t="s">
        <v>551</v>
      </c>
      <c r="H171" s="260" t="s">
        <v>562</v>
      </c>
      <c r="I171" s="261" t="s">
        <v>164</v>
      </c>
      <c r="J171" s="217"/>
    </row>
    <row r="172" spans="2:10" ht="14" x14ac:dyDescent="0.25">
      <c r="C172" s="264" t="s">
        <v>563</v>
      </c>
      <c r="D172" s="258" t="s">
        <v>564</v>
      </c>
      <c r="E172" s="259" t="s">
        <v>171</v>
      </c>
      <c r="F172" s="260" t="s">
        <v>535</v>
      </c>
      <c r="G172" s="260" t="s">
        <v>551</v>
      </c>
      <c r="H172" s="260"/>
      <c r="I172" s="261" t="s">
        <v>159</v>
      </c>
      <c r="J172" s="217"/>
    </row>
    <row r="173" spans="2:10" ht="14" x14ac:dyDescent="0.25">
      <c r="C173" s="264" t="s">
        <v>565</v>
      </c>
      <c r="D173" s="258" t="s">
        <v>566</v>
      </c>
      <c r="E173" s="259" t="s">
        <v>213</v>
      </c>
      <c r="F173" s="260" t="s">
        <v>535</v>
      </c>
      <c r="G173" s="260" t="s">
        <v>547</v>
      </c>
      <c r="H173" s="260" t="s">
        <v>567</v>
      </c>
      <c r="I173" s="261" t="s">
        <v>159</v>
      </c>
      <c r="J173" s="217"/>
    </row>
    <row r="174" spans="2:10" ht="14" x14ac:dyDescent="0.25">
      <c r="C174" s="212" t="s">
        <v>568</v>
      </c>
      <c r="D174" s="258" t="s">
        <v>569</v>
      </c>
      <c r="E174" s="259" t="s">
        <v>171</v>
      </c>
      <c r="F174" s="260" t="s">
        <v>535</v>
      </c>
      <c r="G174" s="260" t="s">
        <v>547</v>
      </c>
      <c r="H174" s="260" t="s">
        <v>570</v>
      </c>
      <c r="I174" s="261" t="s">
        <v>164</v>
      </c>
      <c r="J174" s="217"/>
    </row>
    <row r="175" spans="2:10" ht="14" x14ac:dyDescent="0.3">
      <c r="B175" s="16"/>
      <c r="C175" s="212" t="s">
        <v>571</v>
      </c>
      <c r="D175" s="258" t="s">
        <v>572</v>
      </c>
      <c r="E175" s="259" t="s">
        <v>171</v>
      </c>
      <c r="F175" s="260" t="s">
        <v>535</v>
      </c>
      <c r="G175" s="260" t="s">
        <v>547</v>
      </c>
      <c r="H175" s="260"/>
      <c r="I175" s="261" t="s">
        <v>159</v>
      </c>
      <c r="J175" s="217"/>
    </row>
    <row r="176" spans="2:10" ht="27.95" x14ac:dyDescent="0.3">
      <c r="B176" s="16"/>
      <c r="C176" s="212" t="s">
        <v>573</v>
      </c>
      <c r="D176" s="258" t="s">
        <v>574</v>
      </c>
      <c r="E176" s="259" t="s">
        <v>171</v>
      </c>
      <c r="F176" s="260" t="s">
        <v>535</v>
      </c>
      <c r="G176" s="260" t="s">
        <v>575</v>
      </c>
      <c r="H176" s="260" t="s">
        <v>576</v>
      </c>
      <c r="I176" s="261" t="s">
        <v>159</v>
      </c>
      <c r="J176" s="217"/>
    </row>
    <row r="177" spans="2:10" ht="27.95" x14ac:dyDescent="0.3">
      <c r="B177" s="16"/>
      <c r="C177" s="212" t="s">
        <v>577</v>
      </c>
      <c r="D177" s="258" t="s">
        <v>578</v>
      </c>
      <c r="E177" s="259" t="s">
        <v>171</v>
      </c>
      <c r="F177" s="260" t="s">
        <v>535</v>
      </c>
      <c r="G177" s="260" t="s">
        <v>575</v>
      </c>
      <c r="H177" s="260"/>
      <c r="I177" s="261" t="s">
        <v>159</v>
      </c>
      <c r="J177" s="217"/>
    </row>
    <row r="178" spans="2:10" ht="27.95" x14ac:dyDescent="0.3">
      <c r="B178" s="16"/>
      <c r="C178" s="212" t="s">
        <v>579</v>
      </c>
      <c r="D178" s="258" t="s">
        <v>580</v>
      </c>
      <c r="E178" s="259" t="s">
        <v>171</v>
      </c>
      <c r="F178" s="260" t="s">
        <v>535</v>
      </c>
      <c r="G178" s="260" t="s">
        <v>575</v>
      </c>
      <c r="H178" s="260"/>
      <c r="I178" s="261" t="s">
        <v>159</v>
      </c>
      <c r="J178" s="217"/>
    </row>
    <row r="179" spans="2:10" ht="27.95" x14ac:dyDescent="0.3">
      <c r="B179" s="16"/>
      <c r="C179" s="212" t="s">
        <v>581</v>
      </c>
      <c r="D179" s="258" t="s">
        <v>582</v>
      </c>
      <c r="E179" s="259"/>
      <c r="F179" s="260" t="s">
        <v>535</v>
      </c>
      <c r="G179" s="260" t="s">
        <v>575</v>
      </c>
      <c r="H179" s="260"/>
      <c r="I179" s="261" t="s">
        <v>164</v>
      </c>
      <c r="J179" s="217"/>
    </row>
    <row r="180" spans="2:10" ht="14" x14ac:dyDescent="0.3">
      <c r="B180" s="16"/>
      <c r="C180" s="212" t="s">
        <v>583</v>
      </c>
      <c r="D180" s="258" t="s">
        <v>584</v>
      </c>
      <c r="E180" s="259" t="s">
        <v>171</v>
      </c>
      <c r="F180" s="260" t="s">
        <v>535</v>
      </c>
      <c r="G180" s="260" t="s">
        <v>585</v>
      </c>
      <c r="H180" s="260" t="s">
        <v>586</v>
      </c>
      <c r="I180" s="261" t="s">
        <v>159</v>
      </c>
      <c r="J180" s="217"/>
    </row>
    <row r="181" spans="2:10" ht="29.95" customHeight="1" x14ac:dyDescent="0.25">
      <c r="C181" s="212" t="s">
        <v>587</v>
      </c>
      <c r="D181" s="258" t="s">
        <v>588</v>
      </c>
      <c r="E181" s="259"/>
      <c r="F181" s="260" t="s">
        <v>535</v>
      </c>
      <c r="G181" s="260" t="s">
        <v>585</v>
      </c>
      <c r="H181" s="260" t="s">
        <v>589</v>
      </c>
      <c r="I181" s="261" t="s">
        <v>164</v>
      </c>
      <c r="J181" s="217"/>
    </row>
    <row r="182" spans="2:10" ht="14" x14ac:dyDescent="0.3">
      <c r="B182" s="16"/>
      <c r="C182" s="212" t="s">
        <v>590</v>
      </c>
      <c r="D182" s="265"/>
      <c r="E182" s="259" t="s">
        <v>171</v>
      </c>
      <c r="F182" s="260" t="s">
        <v>535</v>
      </c>
      <c r="G182" s="260" t="s">
        <v>585</v>
      </c>
      <c r="H182" s="260"/>
      <c r="I182" s="261" t="s">
        <v>159</v>
      </c>
      <c r="J182" s="217"/>
    </row>
    <row r="183" spans="2:10" ht="14" x14ac:dyDescent="0.3">
      <c r="B183" s="16"/>
      <c r="C183" s="212" t="s">
        <v>591</v>
      </c>
      <c r="D183" s="258" t="s">
        <v>592</v>
      </c>
      <c r="E183" s="259" t="s">
        <v>171</v>
      </c>
      <c r="F183" s="260" t="s">
        <v>535</v>
      </c>
      <c r="G183" s="260" t="s">
        <v>585</v>
      </c>
      <c r="H183" s="260"/>
      <c r="I183" s="261" t="s">
        <v>159</v>
      </c>
      <c r="J183" s="217"/>
    </row>
    <row r="184" spans="2:10" ht="14" x14ac:dyDescent="0.25">
      <c r="C184" s="212" t="s">
        <v>593</v>
      </c>
      <c r="D184" s="258" t="s">
        <v>594</v>
      </c>
      <c r="E184" s="259" t="s">
        <v>178</v>
      </c>
      <c r="F184" s="260" t="s">
        <v>535</v>
      </c>
      <c r="G184" s="260" t="s">
        <v>585</v>
      </c>
      <c r="H184" s="260" t="s">
        <v>586</v>
      </c>
      <c r="I184" s="261" t="s">
        <v>159</v>
      </c>
      <c r="J184" s="217"/>
    </row>
    <row r="185" spans="2:10" ht="14" x14ac:dyDescent="0.25">
      <c r="C185" s="237" t="s">
        <v>595</v>
      </c>
      <c r="D185" s="266" t="s">
        <v>596</v>
      </c>
      <c r="E185" s="267"/>
      <c r="F185" s="268" t="s">
        <v>597</v>
      </c>
      <c r="G185" s="269" t="s">
        <v>598</v>
      </c>
      <c r="H185" s="268"/>
      <c r="I185" s="270" t="s">
        <v>159</v>
      </c>
      <c r="J185" s="217"/>
    </row>
    <row r="186" spans="2:10" ht="27.95" x14ac:dyDescent="0.25">
      <c r="C186" s="212" t="s">
        <v>599</v>
      </c>
      <c r="D186" s="266" t="s">
        <v>600</v>
      </c>
      <c r="E186" s="267"/>
      <c r="F186" s="268" t="s">
        <v>597</v>
      </c>
      <c r="G186" s="268" t="s">
        <v>601</v>
      </c>
      <c r="H186" s="268" t="s">
        <v>602</v>
      </c>
      <c r="I186" s="270" t="s">
        <v>164</v>
      </c>
      <c r="J186" s="217"/>
    </row>
    <row r="187" spans="2:10" ht="27.95" x14ac:dyDescent="0.25">
      <c r="C187" s="212" t="s">
        <v>603</v>
      </c>
      <c r="D187" s="266" t="s">
        <v>604</v>
      </c>
      <c r="E187" s="267"/>
      <c r="F187" s="268" t="s">
        <v>597</v>
      </c>
      <c r="G187" s="268" t="s">
        <v>605</v>
      </c>
      <c r="H187" s="268" t="s">
        <v>606</v>
      </c>
      <c r="I187" s="270" t="s">
        <v>164</v>
      </c>
      <c r="J187" s="217"/>
    </row>
    <row r="188" spans="2:10" ht="27.95" x14ac:dyDescent="0.25">
      <c r="C188" s="212" t="s">
        <v>607</v>
      </c>
      <c r="D188" s="266" t="s">
        <v>608</v>
      </c>
      <c r="E188" s="267"/>
      <c r="F188" s="268" t="s">
        <v>597</v>
      </c>
      <c r="G188" s="268" t="s">
        <v>609</v>
      </c>
      <c r="H188" s="268" t="s">
        <v>602</v>
      </c>
      <c r="I188" s="270" t="s">
        <v>168</v>
      </c>
      <c r="J188" s="217"/>
    </row>
    <row r="189" spans="2:10" ht="29.95" customHeight="1" x14ac:dyDescent="0.3">
      <c r="B189" s="16"/>
      <c r="C189" s="212" t="s">
        <v>610</v>
      </c>
      <c r="D189" s="271" t="s">
        <v>611</v>
      </c>
      <c r="E189" s="272" t="s">
        <v>171</v>
      </c>
      <c r="F189" s="273" t="s">
        <v>612</v>
      </c>
      <c r="G189" s="273" t="s">
        <v>613</v>
      </c>
      <c r="H189" s="273"/>
      <c r="I189" s="274" t="s">
        <v>159</v>
      </c>
      <c r="J189" s="217"/>
    </row>
    <row r="190" spans="2:10" ht="14" x14ac:dyDescent="0.25">
      <c r="C190" s="212" t="s">
        <v>614</v>
      </c>
      <c r="D190" s="275" t="s">
        <v>615</v>
      </c>
      <c r="E190" s="272" t="s">
        <v>171</v>
      </c>
      <c r="F190" s="273" t="s">
        <v>612</v>
      </c>
      <c r="G190" s="273" t="s">
        <v>616</v>
      </c>
      <c r="H190" s="273"/>
      <c r="I190" s="274" t="s">
        <v>168</v>
      </c>
      <c r="J190" s="217"/>
    </row>
    <row r="191" spans="2:10" ht="14" x14ac:dyDescent="0.25">
      <c r="C191" s="212" t="s">
        <v>617</v>
      </c>
      <c r="D191" s="271" t="s">
        <v>618</v>
      </c>
      <c r="E191" s="272"/>
      <c r="F191" s="273" t="s">
        <v>612</v>
      </c>
      <c r="G191" s="273" t="s">
        <v>619</v>
      </c>
      <c r="H191" s="273"/>
      <c r="I191" s="274" t="s">
        <v>164</v>
      </c>
      <c r="J191" s="217"/>
    </row>
    <row r="192" spans="2:10" ht="14" x14ac:dyDescent="0.3">
      <c r="B192" s="16"/>
      <c r="C192" s="212" t="s">
        <v>620</v>
      </c>
      <c r="D192" s="271" t="s">
        <v>621</v>
      </c>
      <c r="E192" s="272" t="s">
        <v>171</v>
      </c>
      <c r="F192" s="273" t="s">
        <v>612</v>
      </c>
      <c r="G192" s="273" t="s">
        <v>619</v>
      </c>
      <c r="H192" s="273" t="s">
        <v>622</v>
      </c>
      <c r="I192" s="274" t="s">
        <v>159</v>
      </c>
      <c r="J192" s="217"/>
    </row>
    <row r="193" spans="1:29" ht="14" x14ac:dyDescent="0.25">
      <c r="C193" s="212" t="s">
        <v>623</v>
      </c>
      <c r="D193" s="271" t="s">
        <v>624</v>
      </c>
      <c r="E193" s="272" t="s">
        <v>171</v>
      </c>
      <c r="F193" s="273" t="s">
        <v>612</v>
      </c>
      <c r="G193" s="273" t="s">
        <v>619</v>
      </c>
      <c r="H193" s="273" t="s">
        <v>622</v>
      </c>
      <c r="I193" s="274" t="s">
        <v>168</v>
      </c>
      <c r="J193" s="217"/>
    </row>
    <row r="194" spans="1:29" ht="29.95" customHeight="1" x14ac:dyDescent="0.3">
      <c r="B194" s="16"/>
      <c r="C194" s="212" t="s">
        <v>625</v>
      </c>
      <c r="D194" s="271" t="s">
        <v>626</v>
      </c>
      <c r="E194" s="272" t="s">
        <v>171</v>
      </c>
      <c r="F194" s="273" t="s">
        <v>612</v>
      </c>
      <c r="G194" s="273" t="s">
        <v>613</v>
      </c>
      <c r="H194" s="273" t="s">
        <v>627</v>
      </c>
      <c r="I194" s="274" t="s">
        <v>159</v>
      </c>
      <c r="J194" s="217"/>
    </row>
    <row r="195" spans="1:29" ht="29.95" customHeight="1" x14ac:dyDescent="0.25">
      <c r="C195" s="212" t="s">
        <v>628</v>
      </c>
      <c r="D195" s="271" t="s">
        <v>629</v>
      </c>
      <c r="E195" s="272" t="s">
        <v>178</v>
      </c>
      <c r="F195" s="273" t="s">
        <v>612</v>
      </c>
      <c r="G195" s="273" t="s">
        <v>630</v>
      </c>
      <c r="H195" s="273"/>
      <c r="I195" s="274" t="s">
        <v>159</v>
      </c>
      <c r="J195" s="217"/>
    </row>
    <row r="196" spans="1:29" ht="29.95" customHeight="1" x14ac:dyDescent="0.3">
      <c r="A196" s="16"/>
      <c r="B196" s="276"/>
      <c r="C196" s="237" t="s">
        <v>631</v>
      </c>
      <c r="D196" s="277" t="s">
        <v>632</v>
      </c>
      <c r="E196" s="278" t="s">
        <v>171</v>
      </c>
      <c r="F196" s="273" t="s">
        <v>612</v>
      </c>
      <c r="G196" s="273" t="s">
        <v>630</v>
      </c>
      <c r="H196" s="273" t="s">
        <v>633</v>
      </c>
      <c r="I196" s="279" t="s">
        <v>159</v>
      </c>
      <c r="J196" s="217"/>
      <c r="K196" s="16"/>
      <c r="L196" s="16"/>
      <c r="M196" s="16"/>
      <c r="N196" s="16"/>
      <c r="O196" s="16"/>
      <c r="P196" s="16"/>
      <c r="Q196" s="16"/>
      <c r="R196" s="16"/>
      <c r="S196" s="16"/>
      <c r="T196" s="16"/>
      <c r="U196" s="16"/>
      <c r="V196" s="16"/>
      <c r="W196" s="16"/>
      <c r="X196" s="16"/>
      <c r="Y196" s="16"/>
      <c r="Z196" s="16"/>
      <c r="AA196" s="16"/>
      <c r="AB196" s="16"/>
      <c r="AC196" s="16"/>
    </row>
    <row r="197" spans="1:29" ht="29.95" customHeight="1" x14ac:dyDescent="0.3">
      <c r="A197" s="16"/>
      <c r="B197" s="16"/>
      <c r="C197" s="212" t="s">
        <v>634</v>
      </c>
      <c r="D197" s="277" t="s">
        <v>635</v>
      </c>
      <c r="E197" s="272" t="s">
        <v>178</v>
      </c>
      <c r="F197" s="273" t="s">
        <v>612</v>
      </c>
      <c r="G197" s="273" t="s">
        <v>630</v>
      </c>
      <c r="H197" s="273"/>
      <c r="I197" s="274" t="s">
        <v>159</v>
      </c>
      <c r="J197" s="217"/>
      <c r="K197" s="16"/>
      <c r="L197" s="16"/>
      <c r="M197" s="16"/>
      <c r="N197" s="16"/>
      <c r="O197" s="16"/>
      <c r="P197" s="16"/>
      <c r="Q197" s="16"/>
      <c r="R197" s="16"/>
      <c r="S197" s="16"/>
      <c r="T197" s="16"/>
      <c r="U197" s="16"/>
      <c r="V197" s="16"/>
      <c r="W197" s="16"/>
      <c r="X197" s="16"/>
      <c r="Y197" s="16"/>
      <c r="Z197" s="16"/>
      <c r="AA197" s="16"/>
      <c r="AB197" s="16"/>
      <c r="AC197" s="16"/>
    </row>
    <row r="198" spans="1:29" ht="27.95" x14ac:dyDescent="0.3">
      <c r="B198" s="16"/>
      <c r="C198" s="212" t="s">
        <v>636</v>
      </c>
      <c r="D198" s="277" t="s">
        <v>637</v>
      </c>
      <c r="E198" s="278" t="s">
        <v>171</v>
      </c>
      <c r="F198" s="273" t="s">
        <v>612</v>
      </c>
      <c r="G198" s="273" t="s">
        <v>630</v>
      </c>
      <c r="H198" s="273"/>
      <c r="I198" s="274" t="s">
        <v>159</v>
      </c>
      <c r="J198" s="217"/>
    </row>
    <row r="199" spans="1:29" ht="27.95" x14ac:dyDescent="0.3">
      <c r="B199" s="16"/>
      <c r="C199" s="212" t="s">
        <v>638</v>
      </c>
      <c r="D199" s="271" t="s">
        <v>639</v>
      </c>
      <c r="E199" s="272" t="s">
        <v>171</v>
      </c>
      <c r="F199" s="273" t="s">
        <v>612</v>
      </c>
      <c r="G199" s="273" t="s">
        <v>640</v>
      </c>
      <c r="H199" s="273" t="s">
        <v>641</v>
      </c>
      <c r="I199" s="274" t="s">
        <v>159</v>
      </c>
      <c r="J199" s="217"/>
    </row>
    <row r="200" spans="1:29" ht="29.95" customHeight="1" x14ac:dyDescent="0.3">
      <c r="B200" s="16"/>
      <c r="C200" s="212" t="s">
        <v>642</v>
      </c>
      <c r="D200" s="271" t="s">
        <v>643</v>
      </c>
      <c r="E200" s="272" t="s">
        <v>171</v>
      </c>
      <c r="F200" s="273" t="s">
        <v>612</v>
      </c>
      <c r="G200" s="273" t="s">
        <v>640</v>
      </c>
      <c r="H200" s="273" t="s">
        <v>644</v>
      </c>
      <c r="I200" s="274" t="s">
        <v>159</v>
      </c>
      <c r="J200" s="217"/>
    </row>
    <row r="201" spans="1:29" ht="14" x14ac:dyDescent="0.25">
      <c r="C201" s="212" t="s">
        <v>645</v>
      </c>
      <c r="D201" s="271" t="s">
        <v>646</v>
      </c>
      <c r="E201" s="272" t="s">
        <v>171</v>
      </c>
      <c r="F201" s="273" t="s">
        <v>612</v>
      </c>
      <c r="G201" s="273" t="s">
        <v>640</v>
      </c>
      <c r="H201" s="273"/>
      <c r="I201" s="274" t="s">
        <v>168</v>
      </c>
      <c r="J201" s="217"/>
    </row>
    <row r="202" spans="1:29" ht="29.95" customHeight="1" x14ac:dyDescent="0.25">
      <c r="C202" s="212" t="s">
        <v>647</v>
      </c>
      <c r="D202" s="271" t="s">
        <v>648</v>
      </c>
      <c r="E202" s="272" t="s">
        <v>167</v>
      </c>
      <c r="F202" s="273" t="s">
        <v>612</v>
      </c>
      <c r="G202" s="273" t="s">
        <v>640</v>
      </c>
      <c r="H202" s="273" t="s">
        <v>649</v>
      </c>
      <c r="I202" s="274" t="s">
        <v>159</v>
      </c>
      <c r="J202" s="217"/>
    </row>
    <row r="203" spans="1:29" ht="14" x14ac:dyDescent="0.25">
      <c r="C203" s="212" t="s">
        <v>650</v>
      </c>
      <c r="D203" s="271" t="s">
        <v>651</v>
      </c>
      <c r="E203" s="272" t="s">
        <v>539</v>
      </c>
      <c r="F203" s="273" t="s">
        <v>612</v>
      </c>
      <c r="G203" s="273" t="s">
        <v>640</v>
      </c>
      <c r="H203" s="273"/>
      <c r="I203" s="274" t="s">
        <v>159</v>
      </c>
      <c r="J203" s="217"/>
    </row>
    <row r="204" spans="1:29" ht="14" x14ac:dyDescent="0.25">
      <c r="C204" s="212" t="s">
        <v>652</v>
      </c>
      <c r="D204" s="271" t="s">
        <v>653</v>
      </c>
      <c r="E204" s="272" t="s">
        <v>167</v>
      </c>
      <c r="F204" s="273" t="s">
        <v>612</v>
      </c>
      <c r="G204" s="273" t="s">
        <v>640</v>
      </c>
      <c r="H204" s="273" t="s">
        <v>654</v>
      </c>
      <c r="I204" s="274" t="s">
        <v>159</v>
      </c>
      <c r="J204" s="217"/>
    </row>
    <row r="205" spans="1:29" ht="14" x14ac:dyDescent="0.25">
      <c r="C205" s="212" t="s">
        <v>655</v>
      </c>
      <c r="D205" s="271" t="s">
        <v>656</v>
      </c>
      <c r="E205" s="272"/>
      <c r="F205" s="273" t="s">
        <v>612</v>
      </c>
      <c r="G205" s="273" t="s">
        <v>640</v>
      </c>
      <c r="H205" s="273"/>
      <c r="I205" s="274" t="s">
        <v>159</v>
      </c>
      <c r="J205" s="217"/>
    </row>
    <row r="206" spans="1:29" ht="14" x14ac:dyDescent="0.3">
      <c r="B206" s="16"/>
      <c r="C206" s="212" t="s">
        <v>657</v>
      </c>
      <c r="D206" s="271" t="s">
        <v>658</v>
      </c>
      <c r="E206" s="272"/>
      <c r="F206" s="273" t="s">
        <v>612</v>
      </c>
      <c r="G206" s="273" t="s">
        <v>640</v>
      </c>
      <c r="H206" s="273"/>
      <c r="I206" s="274" t="s">
        <v>159</v>
      </c>
      <c r="J206" s="217"/>
    </row>
    <row r="207" spans="1:29" ht="27.95" x14ac:dyDescent="0.3">
      <c r="B207" s="16"/>
      <c r="C207" s="212" t="s">
        <v>659</v>
      </c>
      <c r="D207" s="271" t="s">
        <v>660</v>
      </c>
      <c r="E207" s="272" t="s">
        <v>171</v>
      </c>
      <c r="F207" s="273" t="s">
        <v>612</v>
      </c>
      <c r="G207" s="273" t="s">
        <v>661</v>
      </c>
      <c r="H207" s="273"/>
      <c r="I207" s="274" t="s">
        <v>159</v>
      </c>
      <c r="J207" s="217"/>
    </row>
    <row r="208" spans="1:29" ht="27.95" x14ac:dyDescent="0.3">
      <c r="B208" s="16"/>
      <c r="C208" s="212" t="s">
        <v>662</v>
      </c>
      <c r="D208" s="271" t="s">
        <v>663</v>
      </c>
      <c r="E208" s="272" t="s">
        <v>171</v>
      </c>
      <c r="F208" s="273" t="s">
        <v>612</v>
      </c>
      <c r="G208" s="273" t="s">
        <v>661</v>
      </c>
      <c r="H208" s="273" t="s">
        <v>664</v>
      </c>
      <c r="I208" s="274" t="s">
        <v>159</v>
      </c>
      <c r="J208" s="217"/>
    </row>
    <row r="209" spans="2:10" ht="27.95" x14ac:dyDescent="0.3">
      <c r="B209" s="16"/>
      <c r="C209" s="212" t="s">
        <v>665</v>
      </c>
      <c r="D209" s="271" t="s">
        <v>666</v>
      </c>
      <c r="E209" s="272"/>
      <c r="F209" s="273" t="s">
        <v>612</v>
      </c>
      <c r="G209" s="273" t="s">
        <v>661</v>
      </c>
      <c r="H209" s="273" t="s">
        <v>664</v>
      </c>
      <c r="I209" s="274" t="s">
        <v>164</v>
      </c>
      <c r="J209" s="217"/>
    </row>
    <row r="210" spans="2:10" ht="27.95" x14ac:dyDescent="0.3">
      <c r="B210" s="16"/>
      <c r="C210" s="212" t="s">
        <v>667</v>
      </c>
      <c r="D210" s="271" t="s">
        <v>668</v>
      </c>
      <c r="E210" s="272" t="s">
        <v>171</v>
      </c>
      <c r="F210" s="273" t="s">
        <v>612</v>
      </c>
      <c r="G210" s="273" t="s">
        <v>661</v>
      </c>
      <c r="H210" s="273"/>
      <c r="I210" s="274" t="s">
        <v>159</v>
      </c>
      <c r="J210" s="217"/>
    </row>
    <row r="211" spans="2:10" ht="29.95" customHeight="1" x14ac:dyDescent="0.25">
      <c r="C211" s="212" t="s">
        <v>669</v>
      </c>
      <c r="D211" s="271" t="s">
        <v>670</v>
      </c>
      <c r="E211" s="272" t="s">
        <v>671</v>
      </c>
      <c r="F211" s="273" t="s">
        <v>612</v>
      </c>
      <c r="G211" s="273" t="s">
        <v>661</v>
      </c>
      <c r="H211" s="273"/>
      <c r="I211" s="274" t="s">
        <v>159</v>
      </c>
      <c r="J211" s="217"/>
    </row>
    <row r="212" spans="2:10" ht="27.95" x14ac:dyDescent="0.25">
      <c r="C212" s="212" t="s">
        <v>672</v>
      </c>
      <c r="D212" s="271" t="s">
        <v>673</v>
      </c>
      <c r="E212" s="272" t="s">
        <v>671</v>
      </c>
      <c r="F212" s="273" t="s">
        <v>612</v>
      </c>
      <c r="G212" s="273" t="s">
        <v>661</v>
      </c>
      <c r="H212" s="273"/>
      <c r="I212" s="274" t="s">
        <v>159</v>
      </c>
      <c r="J212" s="217"/>
    </row>
    <row r="213" spans="2:10" ht="27.95" x14ac:dyDescent="0.25">
      <c r="C213" s="212" t="s">
        <v>674</v>
      </c>
      <c r="D213" s="271" t="s">
        <v>675</v>
      </c>
      <c r="E213" s="272"/>
      <c r="F213" s="273" t="s">
        <v>612</v>
      </c>
      <c r="G213" s="273" t="s">
        <v>661</v>
      </c>
      <c r="H213" s="273" t="s">
        <v>676</v>
      </c>
      <c r="I213" s="274" t="s">
        <v>164</v>
      </c>
      <c r="J213" s="217"/>
    </row>
    <row r="214" spans="2:10" ht="27.95" x14ac:dyDescent="0.25">
      <c r="C214" s="212" t="s">
        <v>677</v>
      </c>
      <c r="D214" s="271" t="s">
        <v>678</v>
      </c>
      <c r="E214" s="272" t="s">
        <v>171</v>
      </c>
      <c r="F214" s="273" t="s">
        <v>612</v>
      </c>
      <c r="G214" s="273" t="s">
        <v>661</v>
      </c>
      <c r="H214" s="273" t="s">
        <v>679</v>
      </c>
      <c r="I214" s="274" t="s">
        <v>159</v>
      </c>
      <c r="J214" s="217"/>
    </row>
    <row r="215" spans="2:10" ht="45" customHeight="1" x14ac:dyDescent="0.3">
      <c r="B215" s="16"/>
      <c r="C215" s="212" t="s">
        <v>680</v>
      </c>
      <c r="D215" s="271" t="s">
        <v>681</v>
      </c>
      <c r="E215" s="272" t="s">
        <v>171</v>
      </c>
      <c r="F215" s="273" t="s">
        <v>612</v>
      </c>
      <c r="G215" s="273" t="s">
        <v>682</v>
      </c>
      <c r="H215" s="273" t="s">
        <v>683</v>
      </c>
      <c r="I215" s="274" t="s">
        <v>159</v>
      </c>
      <c r="J215" s="217"/>
    </row>
    <row r="216" spans="2:10" ht="29.95" customHeight="1" x14ac:dyDescent="0.25">
      <c r="C216" s="212" t="s">
        <v>684</v>
      </c>
      <c r="D216" s="271" t="s">
        <v>685</v>
      </c>
      <c r="E216" s="272" t="s">
        <v>171</v>
      </c>
      <c r="F216" s="273" t="s">
        <v>612</v>
      </c>
      <c r="G216" s="273" t="s">
        <v>682</v>
      </c>
      <c r="H216" s="273"/>
      <c r="I216" s="274" t="s">
        <v>164</v>
      </c>
      <c r="J216" s="217"/>
    </row>
    <row r="217" spans="2:10" ht="41.95" x14ac:dyDescent="0.3">
      <c r="B217" s="16"/>
      <c r="C217" s="212" t="s">
        <v>686</v>
      </c>
      <c r="D217" s="271" t="s">
        <v>687</v>
      </c>
      <c r="E217" s="272" t="s">
        <v>171</v>
      </c>
      <c r="F217" s="273" t="s">
        <v>612</v>
      </c>
      <c r="G217" s="273" t="s">
        <v>682</v>
      </c>
      <c r="H217" s="273" t="s">
        <v>688</v>
      </c>
      <c r="I217" s="274" t="s">
        <v>159</v>
      </c>
      <c r="J217" s="217"/>
    </row>
    <row r="218" spans="2:10" ht="14" x14ac:dyDescent="0.25">
      <c r="C218" s="212" t="s">
        <v>689</v>
      </c>
      <c r="D218" s="280" t="s">
        <v>690</v>
      </c>
      <c r="E218" s="281" t="s">
        <v>213</v>
      </c>
      <c r="F218" s="282" t="s">
        <v>691</v>
      </c>
      <c r="G218" s="282" t="s">
        <v>692</v>
      </c>
      <c r="H218" s="282"/>
      <c r="I218" s="283" t="s">
        <v>159</v>
      </c>
      <c r="J218" s="217"/>
    </row>
    <row r="219" spans="2:10" ht="14" x14ac:dyDescent="0.25">
      <c r="C219" s="212" t="s">
        <v>693</v>
      </c>
      <c r="D219" s="280" t="s">
        <v>694</v>
      </c>
      <c r="E219" s="281" t="s">
        <v>213</v>
      </c>
      <c r="F219" s="282" t="s">
        <v>691</v>
      </c>
      <c r="G219" s="282" t="s">
        <v>692</v>
      </c>
      <c r="H219" s="282"/>
      <c r="I219" s="283" t="s">
        <v>159</v>
      </c>
      <c r="J219" s="217"/>
    </row>
    <row r="220" spans="2:10" ht="14" x14ac:dyDescent="0.25">
      <c r="C220" s="212" t="s">
        <v>695</v>
      </c>
      <c r="D220" s="280" t="s">
        <v>696</v>
      </c>
      <c r="E220" s="281" t="s">
        <v>213</v>
      </c>
      <c r="F220" s="282" t="s">
        <v>691</v>
      </c>
      <c r="G220" s="282" t="s">
        <v>692</v>
      </c>
      <c r="H220" s="282"/>
      <c r="I220" s="283" t="s">
        <v>159</v>
      </c>
      <c r="J220" s="217"/>
    </row>
    <row r="221" spans="2:10" ht="14" x14ac:dyDescent="0.25">
      <c r="C221" s="212" t="s">
        <v>697</v>
      </c>
      <c r="D221" s="284" t="s">
        <v>698</v>
      </c>
      <c r="E221" s="281" t="s">
        <v>213</v>
      </c>
      <c r="F221" s="282" t="s">
        <v>691</v>
      </c>
      <c r="G221" s="282" t="s">
        <v>692</v>
      </c>
      <c r="H221" s="282"/>
      <c r="I221" s="283" t="s">
        <v>159</v>
      </c>
      <c r="J221" s="217"/>
    </row>
    <row r="222" spans="2:10" ht="14" x14ac:dyDescent="0.25">
      <c r="C222" s="212" t="s">
        <v>699</v>
      </c>
      <c r="D222" s="284" t="s">
        <v>700</v>
      </c>
      <c r="E222" s="281" t="s">
        <v>213</v>
      </c>
      <c r="F222" s="282" t="s">
        <v>691</v>
      </c>
      <c r="G222" s="282" t="s">
        <v>692</v>
      </c>
      <c r="H222" s="282"/>
      <c r="I222" s="283" t="s">
        <v>159</v>
      </c>
      <c r="J222" s="217"/>
    </row>
    <row r="223" spans="2:10" ht="14" x14ac:dyDescent="0.25">
      <c r="C223" s="212" t="s">
        <v>701</v>
      </c>
      <c r="D223" s="280" t="s">
        <v>107</v>
      </c>
      <c r="E223" s="281" t="s">
        <v>213</v>
      </c>
      <c r="F223" s="282" t="s">
        <v>691</v>
      </c>
      <c r="G223" s="282" t="s">
        <v>692</v>
      </c>
      <c r="H223" s="282"/>
      <c r="I223" s="283" t="s">
        <v>168</v>
      </c>
      <c r="J223" s="217"/>
    </row>
    <row r="224" spans="2:10" ht="14" x14ac:dyDescent="0.25">
      <c r="C224" s="212" t="s">
        <v>702</v>
      </c>
      <c r="D224" s="280" t="s">
        <v>703</v>
      </c>
      <c r="E224" s="281" t="s">
        <v>213</v>
      </c>
      <c r="F224" s="282" t="s">
        <v>691</v>
      </c>
      <c r="G224" s="282" t="s">
        <v>692</v>
      </c>
      <c r="H224" s="282"/>
      <c r="I224" s="283" t="s">
        <v>159</v>
      </c>
      <c r="J224" s="217"/>
    </row>
    <row r="225" spans="3:10" ht="14" x14ac:dyDescent="0.25">
      <c r="C225" s="212" t="s">
        <v>704</v>
      </c>
      <c r="D225" s="280" t="s">
        <v>105</v>
      </c>
      <c r="E225" s="281" t="s">
        <v>213</v>
      </c>
      <c r="F225" s="282" t="s">
        <v>691</v>
      </c>
      <c r="G225" s="282" t="s">
        <v>692</v>
      </c>
      <c r="H225" s="282"/>
      <c r="I225" s="283" t="s">
        <v>159</v>
      </c>
      <c r="J225" s="217"/>
    </row>
    <row r="226" spans="3:10" ht="14" x14ac:dyDescent="0.25">
      <c r="C226" s="212" t="s">
        <v>705</v>
      </c>
      <c r="D226" s="280" t="s">
        <v>104</v>
      </c>
      <c r="E226" s="281" t="s">
        <v>213</v>
      </c>
      <c r="F226" s="282" t="s">
        <v>691</v>
      </c>
      <c r="G226" s="282" t="s">
        <v>692</v>
      </c>
      <c r="H226" s="282"/>
      <c r="I226" s="283" t="s">
        <v>159</v>
      </c>
      <c r="J226" s="217"/>
    </row>
    <row r="227" spans="3:10" ht="14" x14ac:dyDescent="0.25">
      <c r="C227" s="212" t="s">
        <v>706</v>
      </c>
      <c r="D227" s="280" t="s">
        <v>707</v>
      </c>
      <c r="E227" s="281" t="s">
        <v>213</v>
      </c>
      <c r="F227" s="282" t="s">
        <v>691</v>
      </c>
      <c r="G227" s="282" t="s">
        <v>692</v>
      </c>
      <c r="H227" s="282"/>
      <c r="I227" s="283" t="s">
        <v>159</v>
      </c>
      <c r="J227" s="217"/>
    </row>
    <row r="228" spans="3:10" ht="14" x14ac:dyDescent="0.25">
      <c r="C228" s="212" t="s">
        <v>708</v>
      </c>
      <c r="D228" s="280" t="s">
        <v>709</v>
      </c>
      <c r="E228" s="281" t="s">
        <v>213</v>
      </c>
      <c r="F228" s="282" t="s">
        <v>691</v>
      </c>
      <c r="G228" s="282" t="s">
        <v>692</v>
      </c>
      <c r="H228" s="282"/>
      <c r="I228" s="283" t="s">
        <v>159</v>
      </c>
      <c r="J228" s="217"/>
    </row>
    <row r="229" spans="3:10" ht="14" x14ac:dyDescent="0.25">
      <c r="C229" s="212" t="s">
        <v>710</v>
      </c>
      <c r="D229" s="280" t="s">
        <v>711</v>
      </c>
      <c r="E229" s="281" t="s">
        <v>213</v>
      </c>
      <c r="F229" s="282" t="s">
        <v>691</v>
      </c>
      <c r="G229" s="282" t="s">
        <v>692</v>
      </c>
      <c r="H229" s="282"/>
      <c r="I229" s="283" t="s">
        <v>159</v>
      </c>
      <c r="J229" s="217"/>
    </row>
    <row r="230" spans="3:10" ht="14" x14ac:dyDescent="0.25">
      <c r="C230" s="212" t="s">
        <v>712</v>
      </c>
      <c r="D230" s="280" t="s">
        <v>713</v>
      </c>
      <c r="E230" s="281" t="s">
        <v>213</v>
      </c>
      <c r="F230" s="282" t="s">
        <v>691</v>
      </c>
      <c r="G230" s="282" t="s">
        <v>692</v>
      </c>
      <c r="H230" s="282"/>
      <c r="I230" s="283" t="s">
        <v>159</v>
      </c>
      <c r="J230" s="217"/>
    </row>
    <row r="231" spans="3:10" ht="14" x14ac:dyDescent="0.25">
      <c r="C231" s="212" t="s">
        <v>714</v>
      </c>
      <c r="D231" s="280" t="s">
        <v>715</v>
      </c>
      <c r="E231" s="281" t="s">
        <v>213</v>
      </c>
      <c r="F231" s="282" t="s">
        <v>691</v>
      </c>
      <c r="G231" s="282" t="s">
        <v>692</v>
      </c>
      <c r="H231" s="282"/>
      <c r="I231" s="283" t="s">
        <v>159</v>
      </c>
      <c r="J231" s="217"/>
    </row>
    <row r="232" spans="3:10" ht="14" x14ac:dyDescent="0.25">
      <c r="C232" s="212" t="s">
        <v>716</v>
      </c>
      <c r="D232" s="280" t="s">
        <v>717</v>
      </c>
      <c r="E232" s="281" t="s">
        <v>213</v>
      </c>
      <c r="F232" s="282" t="s">
        <v>691</v>
      </c>
      <c r="G232" s="282" t="s">
        <v>692</v>
      </c>
      <c r="H232" s="282"/>
      <c r="I232" s="283" t="s">
        <v>159</v>
      </c>
      <c r="J232" s="217"/>
    </row>
    <row r="233" spans="3:10" ht="29.95" customHeight="1" x14ac:dyDescent="0.25">
      <c r="C233" s="212" t="s">
        <v>718</v>
      </c>
      <c r="D233" s="280" t="s">
        <v>719</v>
      </c>
      <c r="E233" s="281"/>
      <c r="F233" s="282" t="s">
        <v>691</v>
      </c>
      <c r="G233" s="282" t="s">
        <v>720</v>
      </c>
      <c r="H233" s="282"/>
      <c r="I233" s="283" t="s">
        <v>164</v>
      </c>
      <c r="J233" s="217"/>
    </row>
    <row r="234" spans="3:10" ht="14" x14ac:dyDescent="0.25">
      <c r="C234" s="212" t="s">
        <v>721</v>
      </c>
      <c r="D234" s="280" t="s">
        <v>722</v>
      </c>
      <c r="E234" s="281" t="s">
        <v>213</v>
      </c>
      <c r="F234" s="282" t="s">
        <v>691</v>
      </c>
      <c r="G234" s="282" t="s">
        <v>692</v>
      </c>
      <c r="H234" s="282"/>
      <c r="I234" s="283" t="s">
        <v>159</v>
      </c>
      <c r="J234" s="217"/>
    </row>
    <row r="235" spans="3:10" ht="14" x14ac:dyDescent="0.25">
      <c r="C235" s="212" t="s">
        <v>723</v>
      </c>
      <c r="D235" s="280" t="s">
        <v>724</v>
      </c>
      <c r="E235" s="281" t="s">
        <v>213</v>
      </c>
      <c r="F235" s="282" t="s">
        <v>691</v>
      </c>
      <c r="G235" s="282" t="s">
        <v>692</v>
      </c>
      <c r="H235" s="282"/>
      <c r="I235" s="283" t="s">
        <v>159</v>
      </c>
      <c r="J235" s="217"/>
    </row>
    <row r="236" spans="3:10" ht="14" x14ac:dyDescent="0.25">
      <c r="C236" s="212" t="s">
        <v>725</v>
      </c>
      <c r="D236" s="280" t="s">
        <v>726</v>
      </c>
      <c r="E236" s="281" t="s">
        <v>213</v>
      </c>
      <c r="F236" s="282" t="s">
        <v>691</v>
      </c>
      <c r="G236" s="282" t="s">
        <v>692</v>
      </c>
      <c r="H236" s="282"/>
      <c r="I236" s="283" t="s">
        <v>159</v>
      </c>
      <c r="J236" s="217"/>
    </row>
    <row r="237" spans="3:10" ht="14" x14ac:dyDescent="0.25">
      <c r="C237" s="212" t="s">
        <v>727</v>
      </c>
      <c r="D237" s="280" t="s">
        <v>728</v>
      </c>
      <c r="E237" s="281" t="s">
        <v>213</v>
      </c>
      <c r="F237" s="282" t="s">
        <v>691</v>
      </c>
      <c r="G237" s="282" t="s">
        <v>692</v>
      </c>
      <c r="H237" s="282" t="s">
        <v>729</v>
      </c>
      <c r="I237" s="283" t="s">
        <v>159</v>
      </c>
      <c r="J237" s="217"/>
    </row>
    <row r="238" spans="3:10" ht="14" x14ac:dyDescent="0.25">
      <c r="C238" s="212" t="s">
        <v>730</v>
      </c>
      <c r="D238" s="280" t="s">
        <v>731</v>
      </c>
      <c r="E238" s="281" t="s">
        <v>213</v>
      </c>
      <c r="F238" s="282" t="s">
        <v>691</v>
      </c>
      <c r="G238" s="282" t="s">
        <v>692</v>
      </c>
      <c r="H238" s="282"/>
      <c r="I238" s="283" t="s">
        <v>159</v>
      </c>
      <c r="J238" s="217"/>
    </row>
    <row r="239" spans="3:10" ht="14" x14ac:dyDescent="0.25">
      <c r="C239" s="212" t="s">
        <v>732</v>
      </c>
      <c r="D239" s="280" t="s">
        <v>733</v>
      </c>
      <c r="E239" s="281" t="s">
        <v>213</v>
      </c>
      <c r="F239" s="282" t="s">
        <v>691</v>
      </c>
      <c r="G239" s="282" t="s">
        <v>692</v>
      </c>
      <c r="H239" s="282"/>
      <c r="I239" s="283" t="s">
        <v>159</v>
      </c>
      <c r="J239" s="217"/>
    </row>
    <row r="240" spans="3:10" ht="14" x14ac:dyDescent="0.25">
      <c r="C240" s="212" t="s">
        <v>734</v>
      </c>
      <c r="D240" s="280" t="s">
        <v>735</v>
      </c>
      <c r="E240" s="281" t="s">
        <v>213</v>
      </c>
      <c r="F240" s="282" t="s">
        <v>691</v>
      </c>
      <c r="G240" s="282" t="s">
        <v>692</v>
      </c>
      <c r="H240" s="282"/>
      <c r="I240" s="283" t="s">
        <v>159</v>
      </c>
      <c r="J240" s="217"/>
    </row>
    <row r="241" spans="2:10" ht="14" x14ac:dyDescent="0.25">
      <c r="C241" s="212" t="s">
        <v>736</v>
      </c>
      <c r="D241" s="280" t="s">
        <v>737</v>
      </c>
      <c r="E241" s="281" t="s">
        <v>213</v>
      </c>
      <c r="F241" s="282" t="s">
        <v>691</v>
      </c>
      <c r="G241" s="282" t="s">
        <v>692</v>
      </c>
      <c r="H241" s="282"/>
      <c r="I241" s="283" t="s">
        <v>159</v>
      </c>
      <c r="J241" s="217"/>
    </row>
    <row r="242" spans="2:10" ht="14" x14ac:dyDescent="0.25">
      <c r="C242" s="212" t="s">
        <v>738</v>
      </c>
      <c r="D242" s="280" t="s">
        <v>739</v>
      </c>
      <c r="E242" s="281" t="s">
        <v>213</v>
      </c>
      <c r="F242" s="282" t="s">
        <v>691</v>
      </c>
      <c r="G242" s="282" t="s">
        <v>692</v>
      </c>
      <c r="H242" s="282"/>
      <c r="I242" s="283" t="s">
        <v>159</v>
      </c>
      <c r="J242" s="217"/>
    </row>
    <row r="243" spans="2:10" ht="14" x14ac:dyDescent="0.25">
      <c r="C243" s="212" t="s">
        <v>740</v>
      </c>
      <c r="D243" s="280" t="s">
        <v>741</v>
      </c>
      <c r="E243" s="281" t="s">
        <v>213</v>
      </c>
      <c r="F243" s="282" t="s">
        <v>691</v>
      </c>
      <c r="G243" s="282" t="s">
        <v>692</v>
      </c>
      <c r="H243" s="282"/>
      <c r="I243" s="283" t="s">
        <v>159</v>
      </c>
      <c r="J243" s="217"/>
    </row>
    <row r="244" spans="2:10" ht="29.95" customHeight="1" x14ac:dyDescent="0.25">
      <c r="C244" s="212" t="s">
        <v>742</v>
      </c>
      <c r="D244" s="280" t="s">
        <v>743</v>
      </c>
      <c r="E244" s="281" t="s">
        <v>213</v>
      </c>
      <c r="F244" s="282" t="s">
        <v>691</v>
      </c>
      <c r="G244" s="282" t="s">
        <v>692</v>
      </c>
      <c r="H244" s="282" t="s">
        <v>729</v>
      </c>
      <c r="I244" s="283" t="s">
        <v>159</v>
      </c>
      <c r="J244" s="217"/>
    </row>
    <row r="245" spans="2:10" ht="14" x14ac:dyDescent="0.25">
      <c r="C245" s="212" t="s">
        <v>744</v>
      </c>
      <c r="D245" s="280" t="s">
        <v>745</v>
      </c>
      <c r="E245" s="281" t="s">
        <v>213</v>
      </c>
      <c r="F245" s="282" t="s">
        <v>691</v>
      </c>
      <c r="G245" s="282" t="s">
        <v>692</v>
      </c>
      <c r="H245" s="282"/>
      <c r="I245" s="283" t="s">
        <v>159</v>
      </c>
      <c r="J245" s="217"/>
    </row>
    <row r="246" spans="2:10" ht="14" x14ac:dyDescent="0.25">
      <c r="C246" s="212" t="s">
        <v>746</v>
      </c>
      <c r="D246" s="280" t="s">
        <v>747</v>
      </c>
      <c r="E246" s="281" t="s">
        <v>213</v>
      </c>
      <c r="F246" s="282" t="s">
        <v>691</v>
      </c>
      <c r="G246" s="282" t="s">
        <v>692</v>
      </c>
      <c r="H246" s="282" t="s">
        <v>748</v>
      </c>
      <c r="I246" s="283" t="s">
        <v>159</v>
      </c>
      <c r="J246" s="217"/>
    </row>
    <row r="247" spans="2:10" ht="14" x14ac:dyDescent="0.3">
      <c r="B247" s="242"/>
      <c r="C247" s="285" t="s">
        <v>749</v>
      </c>
      <c r="D247" s="286" t="s">
        <v>750</v>
      </c>
      <c r="E247" s="287" t="s">
        <v>213</v>
      </c>
      <c r="F247" s="288" t="s">
        <v>691</v>
      </c>
      <c r="G247" s="288" t="s">
        <v>692</v>
      </c>
      <c r="H247" s="288"/>
      <c r="I247" s="289" t="s">
        <v>159</v>
      </c>
      <c r="J247" s="217"/>
    </row>
    <row r="248" spans="2:10" ht="14" x14ac:dyDescent="0.3">
      <c r="C248" s="237" t="s">
        <v>751</v>
      </c>
      <c r="D248" s="290" t="s">
        <v>752</v>
      </c>
      <c r="E248" s="291" t="s">
        <v>213</v>
      </c>
      <c r="F248" s="288" t="s">
        <v>691</v>
      </c>
      <c r="G248" s="288" t="s">
        <v>692</v>
      </c>
      <c r="H248" s="292"/>
      <c r="I248" s="289" t="s">
        <v>159</v>
      </c>
      <c r="J248" s="217"/>
    </row>
    <row r="249" spans="2:10" ht="14" x14ac:dyDescent="0.25">
      <c r="C249" s="293"/>
      <c r="D249" s="294"/>
      <c r="E249" s="220"/>
      <c r="F249" s="295"/>
      <c r="G249" s="295"/>
      <c r="H249" s="296"/>
      <c r="I249" s="296"/>
      <c r="J249" s="297"/>
    </row>
    <row r="250" spans="2:10" ht="14" x14ac:dyDescent="0.25">
      <c r="C250" s="293"/>
      <c r="D250" s="294"/>
      <c r="E250" s="220"/>
      <c r="F250" s="295"/>
      <c r="G250" s="295"/>
      <c r="H250" s="296"/>
      <c r="I250" s="296"/>
      <c r="J250" s="297"/>
    </row>
    <row r="251" spans="2:10" ht="14" x14ac:dyDescent="0.25">
      <c r="C251" s="18"/>
      <c r="D251" s="298" t="s">
        <v>753</v>
      </c>
      <c r="E251" s="299"/>
      <c r="F251" s="300"/>
      <c r="G251" s="301"/>
      <c r="H251" s="301"/>
      <c r="I251" s="209"/>
    </row>
    <row r="252" spans="2:10" ht="13.45" x14ac:dyDescent="0.25">
      <c r="C252" s="18"/>
      <c r="D252" s="302"/>
      <c r="E252" s="299"/>
      <c r="F252" s="300"/>
      <c r="G252" s="301"/>
      <c r="H252" s="301"/>
      <c r="I252" s="209"/>
    </row>
    <row r="253" spans="2:10" ht="14" x14ac:dyDescent="0.25">
      <c r="C253" s="18"/>
      <c r="D253" s="298" t="s">
        <v>754</v>
      </c>
      <c r="E253" s="299"/>
      <c r="F253" s="300"/>
      <c r="G253" s="301"/>
      <c r="H253" s="301"/>
      <c r="I253" s="209"/>
    </row>
    <row r="254" spans="2:10" ht="13.45" x14ac:dyDescent="0.25">
      <c r="C254" s="18"/>
      <c r="D254" s="302"/>
      <c r="E254" s="299"/>
      <c r="F254" s="300"/>
      <c r="G254" s="301"/>
      <c r="H254" s="301"/>
      <c r="I254" s="209"/>
    </row>
    <row r="255" spans="2:10" ht="14" x14ac:dyDescent="0.25">
      <c r="C255" s="18"/>
      <c r="D255" s="298" t="s">
        <v>755</v>
      </c>
      <c r="E255" s="299"/>
      <c r="F255" s="300"/>
      <c r="G255" s="301"/>
      <c r="H255" s="301"/>
      <c r="I255" s="209"/>
    </row>
    <row r="256" spans="2:10" ht="13.45" x14ac:dyDescent="0.25">
      <c r="C256" s="18"/>
      <c r="D256" s="302"/>
      <c r="E256" s="299"/>
      <c r="F256" s="300"/>
      <c r="G256" s="301"/>
      <c r="H256" s="301"/>
      <c r="I256" s="209"/>
    </row>
    <row r="257" spans="3:9" ht="14" x14ac:dyDescent="0.25">
      <c r="C257" s="18"/>
      <c r="D257" s="298" t="s">
        <v>756</v>
      </c>
      <c r="E257" s="299"/>
      <c r="F257" s="300"/>
      <c r="G257" s="301"/>
      <c r="H257" s="301"/>
      <c r="I257" s="209"/>
    </row>
    <row r="258" spans="3:9" ht="14" x14ac:dyDescent="0.25">
      <c r="C258" s="18"/>
      <c r="D258" s="298" t="s">
        <v>757</v>
      </c>
      <c r="E258" s="299"/>
      <c r="F258" s="300"/>
      <c r="G258" s="301"/>
      <c r="H258" s="301"/>
      <c r="I258" s="209"/>
    </row>
    <row r="259" spans="3:9" ht="14" x14ac:dyDescent="0.25">
      <c r="C259" s="18"/>
      <c r="D259" s="298" t="s">
        <v>758</v>
      </c>
      <c r="E259" s="299"/>
      <c r="F259" s="300"/>
      <c r="G259" s="301"/>
      <c r="H259" s="301"/>
      <c r="I259" s="209"/>
    </row>
    <row r="260" spans="3:9" ht="14" x14ac:dyDescent="0.25">
      <c r="C260" s="18"/>
      <c r="D260" s="298" t="s">
        <v>759</v>
      </c>
      <c r="E260" s="299"/>
      <c r="F260" s="300"/>
      <c r="G260" s="301"/>
      <c r="H260" s="301"/>
      <c r="I260" s="209"/>
    </row>
    <row r="261" spans="3:9" ht="13.45" x14ac:dyDescent="0.25">
      <c r="C261" s="18"/>
      <c r="D261" s="302"/>
      <c r="E261" s="299"/>
      <c r="F261" s="300"/>
      <c r="G261" s="301"/>
      <c r="H261" s="301"/>
      <c r="I261" s="209"/>
    </row>
    <row r="262" spans="3:9" ht="14" x14ac:dyDescent="0.25">
      <c r="C262" s="18"/>
      <c r="D262" s="298" t="s">
        <v>760</v>
      </c>
      <c r="E262" s="299"/>
      <c r="F262" s="300"/>
      <c r="G262" s="301"/>
      <c r="H262" s="301"/>
      <c r="I262" s="209"/>
    </row>
    <row r="263" spans="3:9" ht="14" x14ac:dyDescent="0.25">
      <c r="C263" s="18"/>
      <c r="D263" s="298" t="s">
        <v>761</v>
      </c>
      <c r="E263" s="299"/>
      <c r="F263" s="300"/>
      <c r="G263" s="301"/>
      <c r="H263" s="301"/>
      <c r="I263" s="209"/>
    </row>
    <row r="264" spans="3:9" ht="14" x14ac:dyDescent="0.25">
      <c r="C264" s="18"/>
      <c r="D264" s="298" t="s">
        <v>762</v>
      </c>
      <c r="E264" s="299"/>
      <c r="F264" s="300"/>
      <c r="G264" s="301"/>
      <c r="H264" s="301"/>
      <c r="I264" s="209"/>
    </row>
    <row r="265" spans="3:9" ht="14" x14ac:dyDescent="0.25">
      <c r="C265" s="18"/>
      <c r="D265" s="298" t="s">
        <v>763</v>
      </c>
      <c r="E265" s="299"/>
      <c r="F265" s="300"/>
      <c r="G265" s="301"/>
      <c r="H265" s="301"/>
      <c r="I265" s="209"/>
    </row>
    <row r="266" spans="3:9" ht="14" x14ac:dyDescent="0.25">
      <c r="C266" s="18"/>
      <c r="D266" s="298" t="s">
        <v>764</v>
      </c>
      <c r="E266" s="299"/>
      <c r="F266" s="300"/>
      <c r="G266" s="301"/>
      <c r="H266" s="301"/>
      <c r="I266" s="209"/>
    </row>
    <row r="267" spans="3:9" ht="14" x14ac:dyDescent="0.25">
      <c r="C267" s="18"/>
      <c r="D267" s="298" t="s">
        <v>765</v>
      </c>
      <c r="E267" s="299"/>
      <c r="F267" s="300"/>
      <c r="G267" s="301"/>
      <c r="H267" s="301"/>
      <c r="I267" s="209"/>
    </row>
    <row r="268" spans="3:9" ht="14" x14ac:dyDescent="0.25">
      <c r="C268" s="18"/>
      <c r="D268" s="298" t="s">
        <v>766</v>
      </c>
      <c r="E268" s="299"/>
      <c r="F268" s="300"/>
      <c r="G268" s="301"/>
      <c r="H268" s="301"/>
      <c r="I268" s="209"/>
    </row>
    <row r="269" spans="3:9" ht="13.45" x14ac:dyDescent="0.25">
      <c r="C269" s="18"/>
      <c r="D269" s="302"/>
      <c r="E269" s="299"/>
      <c r="F269" s="300"/>
      <c r="G269" s="301"/>
      <c r="H269" s="301"/>
      <c r="I269" s="209"/>
    </row>
    <row r="270" spans="3:9" ht="14" x14ac:dyDescent="0.25">
      <c r="C270" s="18"/>
      <c r="D270" s="298" t="s">
        <v>767</v>
      </c>
      <c r="E270" s="299"/>
      <c r="F270" s="300"/>
      <c r="G270" s="301"/>
      <c r="H270" s="301"/>
      <c r="I270" s="209"/>
    </row>
    <row r="271" spans="3:9" ht="14" x14ac:dyDescent="0.25">
      <c r="C271" s="18"/>
      <c r="D271" s="298" t="s">
        <v>768</v>
      </c>
      <c r="E271" s="299"/>
      <c r="F271" s="300"/>
      <c r="G271" s="301"/>
      <c r="H271" s="301"/>
      <c r="I271" s="209"/>
    </row>
    <row r="272" spans="3:9" ht="14" x14ac:dyDescent="0.25">
      <c r="C272" s="18"/>
      <c r="D272" s="298" t="s">
        <v>769</v>
      </c>
      <c r="E272" s="299"/>
      <c r="F272" s="300"/>
      <c r="G272" s="301"/>
      <c r="H272" s="301"/>
      <c r="I272" s="209"/>
    </row>
    <row r="273" spans="3:9" ht="14" x14ac:dyDescent="0.25">
      <c r="C273" s="18"/>
      <c r="D273" s="298" t="s">
        <v>770</v>
      </c>
      <c r="E273" s="299"/>
      <c r="F273" s="300"/>
      <c r="G273" s="301"/>
      <c r="H273" s="301"/>
      <c r="I273" s="209"/>
    </row>
    <row r="274" spans="3:9" ht="14" x14ac:dyDescent="0.25">
      <c r="C274" s="18"/>
      <c r="D274" s="298" t="s">
        <v>771</v>
      </c>
      <c r="E274" s="299"/>
      <c r="F274" s="300"/>
      <c r="G274" s="301"/>
      <c r="H274" s="301"/>
      <c r="I274" s="209"/>
    </row>
    <row r="275" spans="3:9" ht="14" x14ac:dyDescent="0.25">
      <c r="C275" s="18"/>
      <c r="D275" s="298" t="s">
        <v>772</v>
      </c>
      <c r="E275" s="299"/>
      <c r="F275" s="300"/>
      <c r="G275" s="301"/>
      <c r="H275" s="301"/>
      <c r="I275" s="209"/>
    </row>
    <row r="276" spans="3:9" ht="14" x14ac:dyDescent="0.25">
      <c r="C276" s="18"/>
      <c r="D276" s="298" t="s">
        <v>773</v>
      </c>
      <c r="E276" s="299"/>
      <c r="F276" s="300"/>
      <c r="G276" s="301"/>
      <c r="H276" s="301"/>
      <c r="I276" s="209"/>
    </row>
    <row r="277" spans="3:9" ht="14" x14ac:dyDescent="0.25">
      <c r="C277" s="18"/>
      <c r="D277" s="298" t="s">
        <v>774</v>
      </c>
      <c r="E277" s="299"/>
      <c r="F277" s="300"/>
      <c r="G277" s="301"/>
      <c r="H277" s="301"/>
      <c r="I277" s="209"/>
    </row>
    <row r="278" spans="3:9" ht="14" x14ac:dyDescent="0.25">
      <c r="C278" s="18"/>
      <c r="D278" s="298" t="s">
        <v>775</v>
      </c>
      <c r="E278" s="299"/>
      <c r="F278" s="300"/>
      <c r="G278" s="301"/>
      <c r="H278" s="301"/>
      <c r="I278" s="209"/>
    </row>
    <row r="279" spans="3:9" ht="14" x14ac:dyDescent="0.25">
      <c r="C279" s="18"/>
      <c r="D279" s="298" t="s">
        <v>776</v>
      </c>
      <c r="E279" s="299"/>
      <c r="F279" s="300"/>
      <c r="G279" s="301"/>
      <c r="H279" s="301"/>
      <c r="I279" s="209"/>
    </row>
    <row r="280" spans="3:9" ht="14" x14ac:dyDescent="0.25">
      <c r="C280" s="18"/>
      <c r="D280" s="298" t="s">
        <v>777</v>
      </c>
      <c r="E280" s="299"/>
      <c r="F280" s="300"/>
      <c r="G280" s="301"/>
      <c r="H280" s="301"/>
      <c r="I280" s="209"/>
    </row>
    <row r="281" spans="3:9" ht="14" x14ac:dyDescent="0.25">
      <c r="C281" s="18"/>
      <c r="D281" s="298" t="s">
        <v>778</v>
      </c>
      <c r="E281" s="299"/>
      <c r="F281" s="300"/>
      <c r="G281" s="301"/>
      <c r="H281" s="301"/>
      <c r="I281" s="209"/>
    </row>
    <row r="282" spans="3:9" ht="14" x14ac:dyDescent="0.25">
      <c r="C282" s="18"/>
      <c r="D282" s="298" t="s">
        <v>779</v>
      </c>
      <c r="E282" s="299"/>
      <c r="F282" s="300"/>
      <c r="G282" s="301"/>
      <c r="H282" s="301"/>
      <c r="I282" s="209"/>
    </row>
    <row r="283" spans="3:9" ht="14" x14ac:dyDescent="0.25">
      <c r="C283" s="18"/>
      <c r="D283" s="298" t="s">
        <v>780</v>
      </c>
      <c r="E283" s="299"/>
      <c r="F283" s="300"/>
      <c r="G283" s="301"/>
      <c r="H283" s="301"/>
      <c r="I283" s="209"/>
    </row>
    <row r="284" spans="3:9" ht="14" x14ac:dyDescent="0.25">
      <c r="C284" s="18"/>
      <c r="D284" s="298" t="s">
        <v>781</v>
      </c>
      <c r="E284" s="299"/>
      <c r="F284" s="300"/>
      <c r="G284" s="301"/>
      <c r="H284" s="301"/>
      <c r="I284" s="209"/>
    </row>
    <row r="285" spans="3:9" ht="13.45" x14ac:dyDescent="0.25">
      <c r="C285" s="18"/>
      <c r="D285" s="302"/>
      <c r="E285" s="299"/>
      <c r="F285" s="300"/>
      <c r="G285" s="301"/>
      <c r="H285" s="301"/>
      <c r="I285" s="209"/>
    </row>
    <row r="286" spans="3:9" ht="14" x14ac:dyDescent="0.25">
      <c r="C286" s="18"/>
      <c r="D286" s="298" t="s">
        <v>782</v>
      </c>
      <c r="E286" s="299"/>
      <c r="F286" s="300"/>
      <c r="G286" s="301"/>
      <c r="H286" s="301"/>
      <c r="I286" s="209"/>
    </row>
    <row r="287" spans="3:9" ht="14" x14ac:dyDescent="0.25">
      <c r="C287" s="18"/>
      <c r="D287" s="298" t="s">
        <v>783</v>
      </c>
      <c r="E287" s="299"/>
      <c r="F287" s="300"/>
      <c r="G287" s="301"/>
      <c r="H287" s="301"/>
      <c r="I287" s="209"/>
    </row>
    <row r="288" spans="3:9" ht="83.85" x14ac:dyDescent="0.25">
      <c r="C288" s="18"/>
      <c r="D288" s="303" t="s">
        <v>784</v>
      </c>
      <c r="E288" s="299"/>
      <c r="F288" s="300"/>
      <c r="G288" s="301"/>
      <c r="H288" s="301"/>
      <c r="I288" s="209"/>
    </row>
    <row r="289" spans="3:9" ht="14" x14ac:dyDescent="0.25">
      <c r="C289" s="18"/>
      <c r="D289" s="298" t="s">
        <v>785</v>
      </c>
      <c r="E289" s="299"/>
      <c r="F289" s="300"/>
      <c r="G289" s="301"/>
      <c r="H289" s="301"/>
      <c r="I289" s="209"/>
    </row>
    <row r="290" spans="3:9" ht="14" x14ac:dyDescent="0.25">
      <c r="C290" s="18"/>
      <c r="D290" s="298" t="s">
        <v>786</v>
      </c>
      <c r="E290" s="299"/>
      <c r="F290" s="300"/>
      <c r="G290" s="301"/>
      <c r="H290" s="301"/>
      <c r="I290" s="209"/>
    </row>
    <row r="291" spans="3:9" ht="14" x14ac:dyDescent="0.25">
      <c r="C291" s="18"/>
      <c r="D291" s="298" t="s">
        <v>787</v>
      </c>
      <c r="E291" s="299"/>
      <c r="F291" s="300"/>
      <c r="G291" s="301"/>
      <c r="H291" s="301"/>
      <c r="I291" s="209"/>
    </row>
    <row r="292" spans="3:9" ht="14" x14ac:dyDescent="0.25">
      <c r="C292" s="18"/>
      <c r="D292" s="298" t="s">
        <v>788</v>
      </c>
      <c r="E292" s="299"/>
      <c r="F292" s="300"/>
      <c r="G292" s="301"/>
      <c r="H292" s="301"/>
      <c r="I292" s="209"/>
    </row>
    <row r="293" spans="3:9" ht="14" x14ac:dyDescent="0.25">
      <c r="C293" s="18"/>
      <c r="D293" s="298" t="s">
        <v>789</v>
      </c>
      <c r="E293" s="299"/>
      <c r="F293" s="300"/>
      <c r="G293" s="301"/>
      <c r="H293" s="301"/>
      <c r="I293" s="209"/>
    </row>
    <row r="294" spans="3:9" ht="13.45" x14ac:dyDescent="0.25">
      <c r="C294" s="18"/>
      <c r="D294" s="302"/>
      <c r="E294" s="299"/>
      <c r="F294" s="300"/>
      <c r="G294" s="301"/>
      <c r="H294" s="301"/>
      <c r="I294" s="209"/>
    </row>
    <row r="295" spans="3:9" ht="14" x14ac:dyDescent="0.25">
      <c r="C295" s="18"/>
      <c r="D295" s="298" t="s">
        <v>790</v>
      </c>
      <c r="E295" s="299"/>
      <c r="F295" s="300"/>
      <c r="G295" s="301"/>
      <c r="H295" s="301"/>
      <c r="I295" s="209"/>
    </row>
    <row r="296" spans="3:9" ht="14" x14ac:dyDescent="0.25">
      <c r="C296" s="18"/>
      <c r="D296" s="298" t="s">
        <v>791</v>
      </c>
      <c r="E296" s="299"/>
      <c r="F296" s="300"/>
      <c r="G296" s="301"/>
      <c r="H296" s="301"/>
      <c r="I296" s="209"/>
    </row>
    <row r="297" spans="3:9" ht="14" x14ac:dyDescent="0.25">
      <c r="C297" s="18"/>
      <c r="D297" s="298" t="s">
        <v>792</v>
      </c>
      <c r="E297" s="299"/>
      <c r="F297" s="300"/>
      <c r="G297" s="301"/>
      <c r="H297" s="301"/>
      <c r="I297" s="209"/>
    </row>
    <row r="298" spans="3:9" ht="14" x14ac:dyDescent="0.25">
      <c r="C298" s="18"/>
      <c r="D298" s="298" t="s">
        <v>793</v>
      </c>
      <c r="E298" s="299"/>
      <c r="F298" s="300"/>
      <c r="G298" s="301"/>
      <c r="H298" s="301"/>
      <c r="I298" s="209"/>
    </row>
    <row r="299" spans="3:9" ht="13.45" x14ac:dyDescent="0.25">
      <c r="C299" s="18"/>
      <c r="D299" s="302"/>
      <c r="E299" s="299"/>
      <c r="F299" s="300"/>
      <c r="G299" s="301"/>
      <c r="H299" s="301"/>
      <c r="I299" s="209"/>
    </row>
    <row r="300" spans="3:9" ht="14" x14ac:dyDescent="0.25">
      <c r="C300" s="18"/>
      <c r="D300" s="298" t="s">
        <v>794</v>
      </c>
      <c r="E300" s="299"/>
      <c r="F300" s="300"/>
      <c r="G300" s="301"/>
      <c r="H300" s="301"/>
      <c r="I300" s="209"/>
    </row>
    <row r="301" spans="3:9" ht="14" x14ac:dyDescent="0.25">
      <c r="C301" s="18"/>
      <c r="D301" s="298" t="s">
        <v>795</v>
      </c>
      <c r="E301" s="299"/>
      <c r="F301" s="300"/>
      <c r="G301" s="301"/>
      <c r="H301" s="301"/>
      <c r="I301" s="209"/>
    </row>
    <row r="302" spans="3:9" ht="14" x14ac:dyDescent="0.25">
      <c r="C302" s="18"/>
      <c r="D302" s="298" t="s">
        <v>796</v>
      </c>
      <c r="E302" s="299"/>
      <c r="F302" s="300"/>
      <c r="G302" s="301"/>
      <c r="H302" s="301"/>
      <c r="I302" s="209"/>
    </row>
    <row r="303" spans="3:9" ht="14" x14ac:dyDescent="0.25">
      <c r="C303" s="18"/>
      <c r="D303" s="298" t="s">
        <v>797</v>
      </c>
      <c r="E303" s="299"/>
      <c r="F303" s="300"/>
      <c r="G303" s="301"/>
      <c r="H303" s="301"/>
      <c r="I303" s="209"/>
    </row>
    <row r="304" spans="3:9" ht="14" x14ac:dyDescent="0.25">
      <c r="C304" s="18"/>
      <c r="D304" s="298" t="s">
        <v>798</v>
      </c>
      <c r="E304" s="299"/>
      <c r="F304" s="300"/>
      <c r="G304" s="301"/>
      <c r="H304" s="301"/>
      <c r="I304" s="209"/>
    </row>
    <row r="305" spans="3:9" ht="14" x14ac:dyDescent="0.25">
      <c r="C305" s="18"/>
      <c r="D305" s="298" t="s">
        <v>799</v>
      </c>
      <c r="E305" s="299"/>
      <c r="F305" s="300"/>
      <c r="G305" s="301"/>
      <c r="H305" s="301"/>
      <c r="I305" s="209"/>
    </row>
    <row r="306" spans="3:9" ht="14" x14ac:dyDescent="0.25">
      <c r="C306" s="18"/>
      <c r="D306" s="298" t="s">
        <v>800</v>
      </c>
      <c r="E306" s="299"/>
      <c r="F306" s="300"/>
      <c r="G306" s="301"/>
      <c r="H306" s="301"/>
      <c r="I306" s="209"/>
    </row>
    <row r="307" spans="3:9" ht="14" x14ac:dyDescent="0.25">
      <c r="C307" s="18"/>
      <c r="D307" s="298" t="s">
        <v>801</v>
      </c>
      <c r="E307" s="299"/>
      <c r="F307" s="300"/>
      <c r="G307" s="301"/>
      <c r="H307" s="301"/>
      <c r="I307" s="209"/>
    </row>
    <row r="308" spans="3:9" ht="13.45" x14ac:dyDescent="0.25">
      <c r="C308" s="18"/>
      <c r="D308" s="302"/>
      <c r="E308" s="299"/>
      <c r="F308" s="300"/>
      <c r="G308" s="301"/>
      <c r="H308" s="301"/>
      <c r="I308" s="209"/>
    </row>
    <row r="309" spans="3:9" ht="14" x14ac:dyDescent="0.25">
      <c r="C309" s="18"/>
      <c r="D309" s="298" t="s">
        <v>802</v>
      </c>
      <c r="E309" s="299"/>
      <c r="F309" s="300"/>
      <c r="G309" s="301"/>
      <c r="H309" s="301"/>
      <c r="I309" s="209"/>
    </row>
    <row r="310" spans="3:9" ht="14" x14ac:dyDescent="0.25">
      <c r="C310" s="18"/>
      <c r="D310" s="298" t="s">
        <v>803</v>
      </c>
      <c r="E310" s="299"/>
      <c r="F310" s="300"/>
      <c r="G310" s="301"/>
      <c r="H310" s="301"/>
      <c r="I310" s="209"/>
    </row>
    <row r="311" spans="3:9" ht="14" x14ac:dyDescent="0.25">
      <c r="C311" s="18"/>
      <c r="D311" s="298" t="s">
        <v>804</v>
      </c>
      <c r="E311" s="299"/>
      <c r="F311" s="300"/>
      <c r="G311" s="301"/>
      <c r="H311" s="301"/>
      <c r="I311" s="209"/>
    </row>
    <row r="312" spans="3:9" ht="14" x14ac:dyDescent="0.25">
      <c r="C312" s="18"/>
      <c r="D312" s="298" t="s">
        <v>805</v>
      </c>
      <c r="E312" s="299"/>
      <c r="F312" s="300"/>
      <c r="G312" s="301"/>
      <c r="H312" s="301"/>
      <c r="I312" s="209"/>
    </row>
    <row r="313" spans="3:9" ht="14" x14ac:dyDescent="0.25">
      <c r="C313" s="18"/>
      <c r="D313" s="298" t="s">
        <v>806</v>
      </c>
      <c r="E313" s="299"/>
      <c r="F313" s="300"/>
      <c r="G313" s="301"/>
      <c r="H313" s="301"/>
      <c r="I313" s="209"/>
    </row>
    <row r="314" spans="3:9" ht="13.45" x14ac:dyDescent="0.25">
      <c r="C314" s="18"/>
      <c r="D314" s="302"/>
      <c r="E314" s="299"/>
      <c r="F314" s="300"/>
      <c r="G314" s="301"/>
      <c r="H314" s="301"/>
      <c r="I314" s="209"/>
    </row>
    <row r="315" spans="3:9" ht="14" x14ac:dyDescent="0.25">
      <c r="C315" s="18"/>
      <c r="D315" s="298" t="s">
        <v>807</v>
      </c>
      <c r="E315" s="299"/>
      <c r="F315" s="300"/>
      <c r="G315" s="301"/>
      <c r="H315" s="301"/>
      <c r="I315" s="209"/>
    </row>
    <row r="316" spans="3:9" ht="14" x14ac:dyDescent="0.25">
      <c r="C316" s="18"/>
      <c r="D316" s="298" t="s">
        <v>808</v>
      </c>
      <c r="E316" s="299"/>
      <c r="F316" s="300"/>
      <c r="G316" s="301"/>
      <c r="H316" s="301"/>
      <c r="I316" s="209"/>
    </row>
    <row r="317" spans="3:9" ht="14" x14ac:dyDescent="0.25">
      <c r="C317" s="18"/>
      <c r="D317" s="298" t="s">
        <v>809</v>
      </c>
      <c r="E317" s="299"/>
      <c r="F317" s="300"/>
      <c r="G317" s="301"/>
      <c r="H317" s="301"/>
      <c r="I317" s="209"/>
    </row>
    <row r="318" spans="3:9" ht="14" x14ac:dyDescent="0.25">
      <c r="C318" s="18"/>
      <c r="D318" s="298" t="s">
        <v>810</v>
      </c>
      <c r="E318" s="299"/>
      <c r="F318" s="300"/>
      <c r="G318" s="301"/>
      <c r="H318" s="301"/>
      <c r="I318" s="209"/>
    </row>
    <row r="319" spans="3:9" ht="14" x14ac:dyDescent="0.25">
      <c r="C319" s="18"/>
      <c r="D319" s="298" t="s">
        <v>811</v>
      </c>
      <c r="E319" s="299"/>
      <c r="F319" s="300"/>
      <c r="G319" s="301"/>
      <c r="H319" s="301"/>
      <c r="I319" s="209"/>
    </row>
    <row r="320" spans="3:9" ht="14" x14ac:dyDescent="0.25">
      <c r="C320" s="18"/>
      <c r="D320" s="304" t="s">
        <v>812</v>
      </c>
      <c r="E320" s="305"/>
      <c r="F320" s="300"/>
      <c r="G320" s="306"/>
      <c r="H320" s="301"/>
      <c r="I320" s="209"/>
    </row>
    <row r="321" spans="3:9" ht="14" x14ac:dyDescent="0.25">
      <c r="C321" s="18"/>
      <c r="D321" s="298" t="s">
        <v>813</v>
      </c>
      <c r="E321" s="299"/>
      <c r="F321" s="300"/>
      <c r="G321" s="301"/>
      <c r="H321" s="301"/>
      <c r="I321" s="209"/>
    </row>
    <row r="322" spans="3:9" ht="14" x14ac:dyDescent="0.25">
      <c r="C322" s="18"/>
      <c r="D322" s="298" t="s">
        <v>814</v>
      </c>
      <c r="E322" s="299"/>
      <c r="F322" s="300"/>
      <c r="G322" s="301"/>
      <c r="H322" s="301"/>
      <c r="I322" s="209"/>
    </row>
    <row r="323" spans="3:9" ht="14" x14ac:dyDescent="0.25">
      <c r="C323" s="18"/>
      <c r="D323" s="298" t="s">
        <v>815</v>
      </c>
      <c r="E323" s="299"/>
      <c r="F323" s="300"/>
      <c r="G323" s="301"/>
      <c r="H323" s="301"/>
      <c r="I323" s="209"/>
    </row>
    <row r="324" spans="3:9" ht="13.45" x14ac:dyDescent="0.25">
      <c r="C324" s="18"/>
      <c r="D324" s="302"/>
      <c r="E324" s="299"/>
      <c r="F324" s="300"/>
      <c r="G324" s="301"/>
      <c r="H324" s="301"/>
      <c r="I324" s="209"/>
    </row>
    <row r="325" spans="3:9" ht="14" x14ac:dyDescent="0.25">
      <c r="C325" s="18"/>
      <c r="D325" s="298" t="s">
        <v>816</v>
      </c>
      <c r="E325" s="299"/>
      <c r="F325" s="300"/>
      <c r="G325" s="301"/>
      <c r="H325" s="301"/>
      <c r="I325" s="209"/>
    </row>
    <row r="326" spans="3:9" ht="14" x14ac:dyDescent="0.25">
      <c r="C326" s="18"/>
      <c r="D326" s="298" t="s">
        <v>817</v>
      </c>
      <c r="E326" s="299"/>
      <c r="F326" s="300"/>
      <c r="G326" s="301"/>
      <c r="H326" s="301"/>
      <c r="I326" s="209"/>
    </row>
    <row r="327" spans="3:9" ht="14" x14ac:dyDescent="0.25">
      <c r="C327" s="18"/>
      <c r="D327" s="298" t="s">
        <v>818</v>
      </c>
      <c r="E327" s="299"/>
      <c r="F327" s="300"/>
      <c r="G327" s="301"/>
      <c r="H327" s="301"/>
      <c r="I327" s="209"/>
    </row>
    <row r="328" spans="3:9" ht="14" x14ac:dyDescent="0.25">
      <c r="C328" s="18"/>
      <c r="D328" s="298" t="s">
        <v>819</v>
      </c>
      <c r="E328" s="299"/>
      <c r="F328" s="300"/>
      <c r="G328" s="301"/>
      <c r="H328" s="301"/>
      <c r="I328" s="209"/>
    </row>
    <row r="329" spans="3:9" ht="14" x14ac:dyDescent="0.25">
      <c r="C329" s="18"/>
      <c r="D329" s="304" t="s">
        <v>820</v>
      </c>
      <c r="E329" s="299"/>
      <c r="F329" s="300"/>
      <c r="G329" s="301"/>
      <c r="H329" s="301"/>
      <c r="I329" s="209"/>
    </row>
    <row r="330" spans="3:9" ht="13.45" x14ac:dyDescent="0.25">
      <c r="C330" s="18"/>
      <c r="D330" s="302"/>
      <c r="E330" s="299"/>
      <c r="F330" s="300"/>
      <c r="G330" s="301"/>
      <c r="H330" s="301"/>
      <c r="I330" s="209"/>
    </row>
    <row r="331" spans="3:9" ht="13.45" x14ac:dyDescent="0.25">
      <c r="C331" s="18"/>
      <c r="D331" s="302"/>
      <c r="E331" s="299"/>
      <c r="F331" s="300"/>
      <c r="G331" s="301"/>
      <c r="H331" s="301"/>
      <c r="I331" s="209"/>
    </row>
    <row r="332" spans="3:9" ht="14" x14ac:dyDescent="0.25">
      <c r="C332" s="18"/>
      <c r="D332" s="307">
        <v>44166</v>
      </c>
      <c r="E332" s="299"/>
      <c r="F332" s="300"/>
      <c r="G332" s="301"/>
      <c r="H332" s="301"/>
      <c r="I332" s="209"/>
    </row>
    <row r="333" spans="3:9" ht="14" x14ac:dyDescent="0.25">
      <c r="C333" s="18"/>
      <c r="D333" s="298" t="s">
        <v>821</v>
      </c>
      <c r="E333" s="299"/>
      <c r="F333" s="300"/>
      <c r="G333" s="301"/>
      <c r="H333" s="301"/>
      <c r="I333" s="209"/>
    </row>
    <row r="334" spans="3:9" ht="14" x14ac:dyDescent="0.25">
      <c r="C334" s="18"/>
      <c r="D334" s="298" t="s">
        <v>822</v>
      </c>
      <c r="E334" s="299"/>
      <c r="F334" s="300"/>
      <c r="G334" s="301"/>
      <c r="H334" s="301"/>
      <c r="I334" s="209"/>
    </row>
    <row r="335" spans="3:9" ht="14" x14ac:dyDescent="0.25">
      <c r="C335" s="18"/>
      <c r="D335" s="298" t="s">
        <v>823</v>
      </c>
      <c r="E335" s="299"/>
      <c r="F335" s="300"/>
      <c r="G335" s="301"/>
      <c r="H335" s="301"/>
      <c r="I335" s="209"/>
    </row>
    <row r="336" spans="3:9" ht="14" x14ac:dyDescent="0.25">
      <c r="C336" s="18"/>
      <c r="D336" s="298" t="s">
        <v>824</v>
      </c>
      <c r="E336" s="299"/>
      <c r="F336" s="300"/>
      <c r="G336" s="301"/>
      <c r="H336" s="301"/>
      <c r="I336" s="209"/>
    </row>
    <row r="337" spans="3:9" ht="14" x14ac:dyDescent="0.25">
      <c r="C337" s="18"/>
      <c r="D337" s="304" t="s">
        <v>825</v>
      </c>
      <c r="E337" s="299"/>
      <c r="F337" s="300"/>
      <c r="G337" s="301"/>
      <c r="H337" s="301"/>
      <c r="I337" s="209"/>
    </row>
    <row r="338" spans="3:9" ht="14" x14ac:dyDescent="0.25">
      <c r="C338" s="18"/>
      <c r="D338" s="304" t="s">
        <v>826</v>
      </c>
      <c r="E338" s="299"/>
      <c r="F338" s="300"/>
      <c r="G338" s="301"/>
      <c r="H338" s="301"/>
      <c r="I338" s="209"/>
    </row>
    <row r="339" spans="3:9" ht="13.45" x14ac:dyDescent="0.25">
      <c r="C339" s="18"/>
      <c r="D339" s="302"/>
      <c r="E339" s="299"/>
      <c r="F339" s="300"/>
      <c r="G339" s="301"/>
      <c r="H339" s="301"/>
      <c r="I339" s="209"/>
    </row>
    <row r="340" spans="3:9" ht="14" x14ac:dyDescent="0.25">
      <c r="C340" s="18"/>
      <c r="D340" s="298" t="s">
        <v>827</v>
      </c>
      <c r="E340" s="299"/>
      <c r="F340" s="300"/>
      <c r="G340" s="301"/>
      <c r="H340" s="301"/>
      <c r="I340" s="209"/>
    </row>
    <row r="341" spans="3:9" ht="14" x14ac:dyDescent="0.25">
      <c r="C341" s="18"/>
      <c r="D341" s="298" t="s">
        <v>828</v>
      </c>
      <c r="E341" s="299"/>
      <c r="F341" s="300"/>
      <c r="G341" s="301"/>
      <c r="H341" s="301"/>
      <c r="I341" s="209"/>
    </row>
    <row r="342" spans="3:9" ht="13.45" x14ac:dyDescent="0.25">
      <c r="C342" s="18"/>
      <c r="D342" s="302"/>
      <c r="E342" s="299"/>
      <c r="F342" s="300"/>
      <c r="G342" s="301"/>
      <c r="H342" s="301"/>
      <c r="I342" s="209"/>
    </row>
    <row r="343" spans="3:9" ht="14" x14ac:dyDescent="0.25">
      <c r="C343" s="18"/>
      <c r="D343" s="298" t="s">
        <v>829</v>
      </c>
      <c r="E343" s="299"/>
      <c r="F343" s="300"/>
      <c r="G343" s="301"/>
      <c r="H343" s="301"/>
      <c r="I343" s="209"/>
    </row>
    <row r="344" spans="3:9" ht="14" x14ac:dyDescent="0.25">
      <c r="C344" s="18"/>
      <c r="D344" s="298" t="s">
        <v>830</v>
      </c>
      <c r="E344" s="299"/>
      <c r="F344" s="300"/>
      <c r="G344" s="301"/>
      <c r="H344" s="301"/>
      <c r="I344" s="209"/>
    </row>
    <row r="345" spans="3:9" ht="13.45" x14ac:dyDescent="0.25">
      <c r="C345" s="18"/>
      <c r="D345" s="302"/>
      <c r="E345" s="299"/>
      <c r="F345" s="300"/>
      <c r="G345" s="301"/>
      <c r="H345" s="301"/>
      <c r="I345" s="209"/>
    </row>
    <row r="346" spans="3:9" ht="14" x14ac:dyDescent="0.25">
      <c r="C346" s="18"/>
      <c r="D346" s="298" t="s">
        <v>831</v>
      </c>
      <c r="E346" s="299"/>
      <c r="F346" s="300"/>
      <c r="G346" s="301"/>
      <c r="H346" s="301"/>
      <c r="I346" s="209"/>
    </row>
    <row r="347" spans="3:9" ht="14" x14ac:dyDescent="0.25">
      <c r="C347" s="18"/>
      <c r="D347" s="298" t="s">
        <v>832</v>
      </c>
      <c r="E347" s="299"/>
      <c r="F347" s="300"/>
      <c r="G347" s="301"/>
      <c r="H347" s="301"/>
      <c r="I347" s="209"/>
    </row>
    <row r="348" spans="3:9" ht="14" x14ac:dyDescent="0.25">
      <c r="C348" s="18"/>
      <c r="D348" s="298" t="s">
        <v>833</v>
      </c>
      <c r="E348" s="299"/>
      <c r="F348" s="300"/>
      <c r="G348" s="301"/>
      <c r="H348" s="301"/>
      <c r="I348" s="209"/>
    </row>
    <row r="349" spans="3:9" ht="13.45" x14ac:dyDescent="0.25">
      <c r="C349" s="18"/>
      <c r="D349" s="302"/>
      <c r="E349" s="299"/>
      <c r="F349" s="300"/>
      <c r="G349" s="301"/>
      <c r="H349" s="301"/>
      <c r="I349" s="209"/>
    </row>
    <row r="350" spans="3:9" ht="14" x14ac:dyDescent="0.25">
      <c r="C350" s="18"/>
      <c r="D350" s="298" t="s">
        <v>834</v>
      </c>
      <c r="E350" s="299"/>
      <c r="F350" s="300"/>
      <c r="G350" s="301"/>
      <c r="H350" s="301"/>
      <c r="I350" s="209"/>
    </row>
    <row r="351" spans="3:9" ht="14" x14ac:dyDescent="0.25">
      <c r="C351" s="18"/>
      <c r="D351" s="294" t="s">
        <v>835</v>
      </c>
      <c r="E351" s="299"/>
      <c r="F351" s="300"/>
      <c r="G351" s="301"/>
      <c r="H351" s="301"/>
      <c r="I351" s="209"/>
    </row>
    <row r="352" spans="3:9" ht="14" x14ac:dyDescent="0.25">
      <c r="C352" s="18"/>
      <c r="D352" s="298" t="s">
        <v>836</v>
      </c>
      <c r="E352" s="299"/>
      <c r="F352" s="300"/>
      <c r="G352" s="301"/>
      <c r="H352" s="301"/>
      <c r="I352" s="209"/>
    </row>
    <row r="353" spans="3:9" ht="13.45" x14ac:dyDescent="0.25">
      <c r="C353" s="18"/>
      <c r="D353" s="302"/>
      <c r="E353" s="299"/>
      <c r="F353" s="300"/>
      <c r="G353" s="301"/>
      <c r="H353" s="301"/>
      <c r="I353" s="209"/>
    </row>
    <row r="354" spans="3:9" ht="14" x14ac:dyDescent="0.25">
      <c r="C354" s="18"/>
      <c r="D354" s="298" t="s">
        <v>837</v>
      </c>
      <c r="E354" s="299"/>
      <c r="F354" s="300"/>
      <c r="G354" s="301"/>
      <c r="H354" s="301"/>
      <c r="I354" s="209"/>
    </row>
    <row r="355" spans="3:9" ht="14.25" customHeight="1" x14ac:dyDescent="0.25">
      <c r="C355" s="18"/>
      <c r="D355" s="302" t="s">
        <v>838</v>
      </c>
      <c r="E355" s="299"/>
      <c r="F355" s="300"/>
      <c r="G355" s="301"/>
      <c r="H355" s="301"/>
      <c r="I355" s="209"/>
    </row>
    <row r="356" spans="3:9" ht="14" x14ac:dyDescent="0.25">
      <c r="C356" s="18"/>
      <c r="D356" s="298" t="s">
        <v>839</v>
      </c>
      <c r="E356" s="299"/>
      <c r="F356" s="300"/>
      <c r="G356" s="301"/>
      <c r="H356" s="301"/>
      <c r="I356" s="209"/>
    </row>
    <row r="357" spans="3:9" ht="14" x14ac:dyDescent="0.25">
      <c r="C357" s="18"/>
      <c r="D357" s="298" t="s">
        <v>840</v>
      </c>
      <c r="E357" s="299"/>
      <c r="F357" s="300"/>
      <c r="G357" s="301"/>
      <c r="H357" s="301"/>
      <c r="I357" s="209"/>
    </row>
    <row r="358" spans="3:9" ht="14" x14ac:dyDescent="0.25">
      <c r="C358" s="18"/>
      <c r="D358" s="298" t="s">
        <v>841</v>
      </c>
      <c r="E358" s="299"/>
      <c r="F358" s="300"/>
      <c r="G358" s="301"/>
      <c r="H358" s="301"/>
      <c r="I358" s="209"/>
    </row>
    <row r="359" spans="3:9" ht="13.45" x14ac:dyDescent="0.25">
      <c r="C359" s="18"/>
      <c r="D359" s="302"/>
      <c r="E359" s="299"/>
      <c r="F359" s="300"/>
      <c r="G359" s="301"/>
      <c r="H359" s="301"/>
      <c r="I359" s="209"/>
    </row>
    <row r="360" spans="3:9" ht="14.25" customHeight="1" x14ac:dyDescent="0.25">
      <c r="C360" s="18"/>
      <c r="D360" s="302" t="s">
        <v>842</v>
      </c>
      <c r="E360" s="299"/>
      <c r="F360" s="300"/>
      <c r="G360" s="301"/>
      <c r="H360" s="301"/>
      <c r="I360" s="209"/>
    </row>
    <row r="361" spans="3:9" ht="14.25" customHeight="1" x14ac:dyDescent="0.25">
      <c r="C361" s="18"/>
      <c r="D361" s="302" t="s">
        <v>843</v>
      </c>
      <c r="E361" s="299"/>
      <c r="F361" s="300"/>
      <c r="G361" s="301"/>
      <c r="H361" s="301"/>
      <c r="I361" s="209"/>
    </row>
    <row r="362" spans="3:9" ht="14.25" customHeight="1" x14ac:dyDescent="0.25">
      <c r="C362" s="18"/>
      <c r="D362" s="302" t="s">
        <v>844</v>
      </c>
      <c r="E362" s="299"/>
      <c r="F362" s="300"/>
      <c r="G362" s="301"/>
      <c r="H362" s="301"/>
      <c r="I362" s="209"/>
    </row>
    <row r="363" spans="3:9" ht="14.25" customHeight="1" x14ac:dyDescent="0.25">
      <c r="C363" s="18"/>
      <c r="D363" s="302" t="s">
        <v>845</v>
      </c>
      <c r="E363" s="299"/>
      <c r="F363" s="300"/>
      <c r="G363" s="301"/>
      <c r="H363" s="301"/>
      <c r="I363" s="209"/>
    </row>
    <row r="364" spans="3:9" ht="14.25" customHeight="1" x14ac:dyDescent="0.25">
      <c r="C364" s="18"/>
      <c r="D364" s="302" t="s">
        <v>846</v>
      </c>
      <c r="E364" s="299"/>
      <c r="F364" s="300"/>
      <c r="G364" s="301"/>
      <c r="H364" s="301"/>
      <c r="I364" s="209"/>
    </row>
    <row r="365" spans="3:9" ht="14.25" customHeight="1" x14ac:dyDescent="0.25">
      <c r="C365" s="18"/>
      <c r="D365" s="302" t="s">
        <v>847</v>
      </c>
      <c r="E365" s="299"/>
      <c r="F365" s="300"/>
      <c r="G365" s="301"/>
      <c r="H365" s="301"/>
      <c r="I365" s="209"/>
    </row>
    <row r="366" spans="3:9" ht="13.45" x14ac:dyDescent="0.25">
      <c r="C366" s="18"/>
      <c r="D366" s="302"/>
      <c r="E366" s="299"/>
      <c r="F366" s="300"/>
      <c r="G366" s="301"/>
      <c r="H366" s="301"/>
      <c r="I366" s="209"/>
    </row>
    <row r="367" spans="3:9" ht="14.25" customHeight="1" x14ac:dyDescent="0.25">
      <c r="C367" s="18"/>
      <c r="D367" s="302" t="s">
        <v>848</v>
      </c>
      <c r="E367" s="299"/>
      <c r="F367" s="300"/>
      <c r="G367" s="301"/>
      <c r="H367" s="301"/>
      <c r="I367" s="209"/>
    </row>
    <row r="368" spans="3:9" ht="14" x14ac:dyDescent="0.25">
      <c r="C368" s="18"/>
      <c r="D368" s="294" t="s">
        <v>849</v>
      </c>
      <c r="E368" s="299"/>
      <c r="F368" s="300"/>
      <c r="G368" s="301"/>
      <c r="H368" s="301"/>
      <c r="I368" s="209"/>
    </row>
    <row r="369" spans="3:9" ht="14" x14ac:dyDescent="0.25">
      <c r="C369" s="18"/>
      <c r="D369" s="298" t="s">
        <v>850</v>
      </c>
      <c r="E369" s="299"/>
      <c r="F369" s="300"/>
      <c r="G369" s="301"/>
      <c r="H369" s="301"/>
      <c r="I369" s="209"/>
    </row>
    <row r="370" spans="3:9" ht="13.45" x14ac:dyDescent="0.25">
      <c r="C370" s="18"/>
      <c r="D370" s="302"/>
      <c r="E370" s="299"/>
      <c r="F370" s="300"/>
      <c r="G370" s="301"/>
      <c r="H370" s="301"/>
      <c r="I370" s="209"/>
    </row>
    <row r="371" spans="3:9" ht="14.25" customHeight="1" x14ac:dyDescent="0.25">
      <c r="C371" s="18"/>
      <c r="D371" s="302" t="s">
        <v>851</v>
      </c>
      <c r="E371" s="299"/>
      <c r="F371" s="300"/>
      <c r="G371" s="301"/>
      <c r="H371" s="301"/>
      <c r="I371" s="209"/>
    </row>
    <row r="372" spans="3:9" ht="14" x14ac:dyDescent="0.25">
      <c r="C372" s="18"/>
      <c r="D372" s="298" t="s">
        <v>852</v>
      </c>
      <c r="E372" s="299"/>
      <c r="F372" s="300"/>
      <c r="G372" s="301"/>
      <c r="H372" s="301"/>
      <c r="I372" s="209"/>
    </row>
    <row r="373" spans="3:9" ht="14" x14ac:dyDescent="0.25">
      <c r="C373" s="18"/>
      <c r="D373" s="298" t="s">
        <v>853</v>
      </c>
      <c r="E373" s="299"/>
      <c r="F373" s="300"/>
      <c r="G373" s="301"/>
      <c r="H373" s="301"/>
      <c r="I373" s="209"/>
    </row>
    <row r="374" spans="3:9" ht="14" x14ac:dyDescent="0.25">
      <c r="C374" s="18"/>
      <c r="D374" s="298" t="s">
        <v>854</v>
      </c>
      <c r="E374" s="299"/>
      <c r="F374" s="300"/>
      <c r="G374" s="301"/>
      <c r="H374" s="301"/>
      <c r="I374" s="209"/>
    </row>
    <row r="375" spans="3:9" ht="14.25" customHeight="1" x14ac:dyDescent="0.25">
      <c r="C375" s="18"/>
      <c r="D375" s="308" t="s">
        <v>855</v>
      </c>
      <c r="E375" s="299"/>
      <c r="F375" s="300"/>
      <c r="G375" s="301"/>
      <c r="H375" s="301"/>
      <c r="I375" s="209"/>
    </row>
    <row r="376" spans="3:9" ht="14" x14ac:dyDescent="0.25">
      <c r="C376" s="18"/>
      <c r="D376" s="298" t="s">
        <v>856</v>
      </c>
      <c r="E376" s="299"/>
      <c r="F376" s="300"/>
      <c r="G376" s="301"/>
      <c r="H376" s="301"/>
      <c r="I376" s="209"/>
    </row>
    <row r="377" spans="3:9" ht="14" x14ac:dyDescent="0.25">
      <c r="C377" s="18"/>
      <c r="D377" s="309" t="s">
        <v>857</v>
      </c>
      <c r="E377" s="299"/>
      <c r="F377" s="300"/>
      <c r="G377" s="301"/>
      <c r="H377" s="301"/>
      <c r="I377" s="209"/>
    </row>
    <row r="378" spans="3:9" ht="13.45" x14ac:dyDescent="0.25">
      <c r="C378" s="18"/>
      <c r="D378" s="302"/>
      <c r="E378" s="299"/>
      <c r="F378" s="300"/>
      <c r="G378" s="301"/>
      <c r="H378" s="301"/>
      <c r="I378" s="209"/>
    </row>
    <row r="379" spans="3:9" ht="14.25" customHeight="1" x14ac:dyDescent="0.25">
      <c r="C379" s="18"/>
      <c r="D379" s="302" t="s">
        <v>858</v>
      </c>
      <c r="E379" s="299"/>
      <c r="F379" s="300"/>
      <c r="G379" s="301"/>
      <c r="H379" s="301"/>
      <c r="I379" s="209"/>
    </row>
    <row r="380" spans="3:9" ht="14" x14ac:dyDescent="0.25">
      <c r="C380" s="18"/>
      <c r="D380" s="309" t="s">
        <v>859</v>
      </c>
      <c r="E380" s="299"/>
      <c r="F380" s="300"/>
      <c r="G380" s="301"/>
      <c r="H380" s="301"/>
      <c r="I380" s="209"/>
    </row>
    <row r="381" spans="3:9" ht="14" x14ac:dyDescent="0.25">
      <c r="C381" s="18"/>
      <c r="D381" s="298" t="s">
        <v>860</v>
      </c>
      <c r="E381" s="299"/>
      <c r="F381" s="300"/>
      <c r="G381" s="301"/>
      <c r="H381" s="301"/>
      <c r="I381" s="209"/>
    </row>
    <row r="382" spans="3:9" ht="14" x14ac:dyDescent="0.25">
      <c r="C382" s="18"/>
      <c r="D382" s="298" t="s">
        <v>861</v>
      </c>
      <c r="E382" s="299"/>
      <c r="F382" s="300"/>
      <c r="G382" s="301"/>
      <c r="H382" s="301"/>
      <c r="I382" s="209"/>
    </row>
    <row r="383" spans="3:9" ht="14" x14ac:dyDescent="0.25">
      <c r="C383" s="18"/>
      <c r="D383" s="298" t="s">
        <v>862</v>
      </c>
      <c r="E383" s="299"/>
      <c r="F383" s="300"/>
      <c r="G383" s="301"/>
      <c r="H383" s="301"/>
      <c r="I383" s="209"/>
    </row>
    <row r="384" spans="3:9" ht="13.45" x14ac:dyDescent="0.25">
      <c r="C384" s="18"/>
      <c r="D384" s="302"/>
      <c r="E384" s="299"/>
      <c r="F384" s="300"/>
      <c r="G384" s="301"/>
      <c r="H384" s="301"/>
      <c r="I384" s="209"/>
    </row>
    <row r="385" spans="3:9" ht="14.25" customHeight="1" x14ac:dyDescent="0.25">
      <c r="C385" s="18"/>
      <c r="D385" s="302" t="s">
        <v>863</v>
      </c>
      <c r="E385" s="299"/>
      <c r="F385" s="300"/>
      <c r="G385" s="301"/>
      <c r="H385" s="301"/>
      <c r="I385" s="209"/>
    </row>
    <row r="386" spans="3:9" ht="14" x14ac:dyDescent="0.25">
      <c r="C386" s="18"/>
      <c r="D386" s="298" t="s">
        <v>864</v>
      </c>
      <c r="E386" s="299"/>
      <c r="F386" s="300"/>
      <c r="G386" s="301"/>
      <c r="H386" s="301"/>
      <c r="I386" s="209"/>
    </row>
    <row r="387" spans="3:9" ht="14" x14ac:dyDescent="0.25">
      <c r="C387" s="18"/>
      <c r="D387" s="298" t="s">
        <v>865</v>
      </c>
      <c r="E387" s="299"/>
      <c r="F387" s="300"/>
      <c r="G387" s="301"/>
      <c r="H387" s="301"/>
      <c r="I387" s="209"/>
    </row>
    <row r="388" spans="3:9" ht="14" x14ac:dyDescent="0.25">
      <c r="C388" s="18"/>
      <c r="D388" s="298" t="s">
        <v>866</v>
      </c>
      <c r="E388" s="299"/>
      <c r="F388" s="300"/>
      <c r="G388" s="301"/>
      <c r="H388" s="301"/>
      <c r="I388" s="209"/>
    </row>
    <row r="389" spans="3:9" ht="13.45" x14ac:dyDescent="0.25">
      <c r="C389" s="18"/>
      <c r="D389" s="302"/>
      <c r="E389" s="299"/>
      <c r="F389" s="300"/>
      <c r="G389" s="301"/>
      <c r="H389" s="301"/>
      <c r="I389" s="209"/>
    </row>
    <row r="390" spans="3:9" ht="14.25" customHeight="1" x14ac:dyDescent="0.25">
      <c r="C390" s="18"/>
      <c r="D390" s="302" t="s">
        <v>867</v>
      </c>
      <c r="E390" s="299"/>
      <c r="F390" s="300"/>
      <c r="G390" s="301"/>
      <c r="H390" s="301"/>
      <c r="I390" s="209"/>
    </row>
    <row r="391" spans="3:9" ht="14" x14ac:dyDescent="0.25">
      <c r="C391" s="18"/>
      <c r="D391" s="298" t="s">
        <v>868</v>
      </c>
      <c r="E391" s="299"/>
      <c r="F391" s="300"/>
      <c r="G391" s="301"/>
      <c r="H391" s="301"/>
      <c r="I391" s="209"/>
    </row>
    <row r="392" spans="3:9" ht="14" x14ac:dyDescent="0.25">
      <c r="C392" s="18"/>
      <c r="D392" s="298" t="s">
        <v>869</v>
      </c>
      <c r="E392" s="299"/>
      <c r="F392" s="300"/>
      <c r="G392" s="301"/>
      <c r="H392" s="301"/>
      <c r="I392" s="209"/>
    </row>
    <row r="393" spans="3:9" ht="13.45" x14ac:dyDescent="0.25">
      <c r="C393" s="18"/>
      <c r="D393" s="302"/>
      <c r="E393" s="299"/>
      <c r="F393" s="300"/>
      <c r="G393" s="301"/>
      <c r="H393" s="301"/>
      <c r="I393" s="209"/>
    </row>
    <row r="394" spans="3:9" ht="14.25" customHeight="1" x14ac:dyDescent="0.25">
      <c r="C394" s="18"/>
      <c r="D394" s="302" t="s">
        <v>870</v>
      </c>
      <c r="E394" s="299"/>
      <c r="F394" s="300"/>
      <c r="G394" s="301"/>
      <c r="H394" s="301"/>
      <c r="I394" s="209"/>
    </row>
    <row r="395" spans="3:9" ht="14" x14ac:dyDescent="0.25">
      <c r="C395" s="18"/>
      <c r="D395" s="298" t="s">
        <v>871</v>
      </c>
      <c r="E395" s="299"/>
      <c r="F395" s="300"/>
      <c r="G395" s="301"/>
      <c r="H395" s="301"/>
      <c r="I395" s="209"/>
    </row>
    <row r="396" spans="3:9" ht="14" x14ac:dyDescent="0.25">
      <c r="C396" s="18"/>
      <c r="D396" s="298" t="s">
        <v>872</v>
      </c>
      <c r="E396" s="299"/>
      <c r="F396" s="300"/>
      <c r="G396" s="301"/>
      <c r="H396" s="301"/>
      <c r="I396" s="209"/>
    </row>
    <row r="397" spans="3:9" ht="14" x14ac:dyDescent="0.25">
      <c r="C397" s="18"/>
      <c r="D397" s="298" t="s">
        <v>873</v>
      </c>
      <c r="E397" s="299"/>
      <c r="F397" s="300"/>
      <c r="G397" s="301"/>
      <c r="H397" s="301"/>
      <c r="I397" s="209"/>
    </row>
    <row r="398" spans="3:9" ht="14" x14ac:dyDescent="0.25">
      <c r="C398" s="18"/>
      <c r="D398" s="298" t="s">
        <v>874</v>
      </c>
      <c r="E398" s="299"/>
      <c r="F398" s="300"/>
      <c r="G398" s="301"/>
      <c r="H398" s="301"/>
      <c r="I398" s="209"/>
    </row>
    <row r="399" spans="3:9" ht="14" x14ac:dyDescent="0.25">
      <c r="C399" s="18"/>
      <c r="D399" s="298" t="s">
        <v>875</v>
      </c>
      <c r="E399" s="299"/>
      <c r="F399" s="300"/>
      <c r="G399" s="301"/>
      <c r="H399" s="301"/>
      <c r="I399" s="209"/>
    </row>
    <row r="400" spans="3:9" ht="14" x14ac:dyDescent="0.25">
      <c r="C400" s="18"/>
      <c r="D400" s="298" t="s">
        <v>876</v>
      </c>
      <c r="E400" s="299"/>
      <c r="F400" s="300"/>
      <c r="G400" s="301"/>
      <c r="H400" s="301"/>
      <c r="I400" s="209"/>
    </row>
    <row r="401" spans="3:9" ht="14" x14ac:dyDescent="0.25">
      <c r="C401" s="18"/>
      <c r="D401" s="298" t="s">
        <v>877</v>
      </c>
      <c r="E401" s="299"/>
      <c r="F401" s="300"/>
      <c r="G401" s="301"/>
      <c r="H401" s="301"/>
      <c r="I401" s="209"/>
    </row>
    <row r="402" spans="3:9" ht="14" x14ac:dyDescent="0.25">
      <c r="C402" s="18"/>
      <c r="D402" s="298" t="s">
        <v>878</v>
      </c>
      <c r="E402" s="299"/>
      <c r="F402" s="300"/>
      <c r="G402" s="301"/>
      <c r="H402" s="301"/>
      <c r="I402" s="209"/>
    </row>
    <row r="403" spans="3:9" ht="14" x14ac:dyDescent="0.25">
      <c r="C403" s="18"/>
      <c r="D403" s="298" t="s">
        <v>879</v>
      </c>
      <c r="E403" s="299"/>
      <c r="F403" s="300"/>
      <c r="G403" s="301"/>
      <c r="H403" s="301"/>
      <c r="I403" s="209"/>
    </row>
    <row r="404" spans="3:9" ht="14" x14ac:dyDescent="0.25">
      <c r="C404" s="18"/>
      <c r="D404" s="298" t="s">
        <v>880</v>
      </c>
      <c r="E404" s="299"/>
      <c r="F404" s="300"/>
      <c r="G404" s="301"/>
      <c r="H404" s="301"/>
      <c r="I404" s="209"/>
    </row>
    <row r="405" spans="3:9" ht="83.85" x14ac:dyDescent="0.25">
      <c r="C405" s="18"/>
      <c r="D405" s="303" t="s">
        <v>881</v>
      </c>
      <c r="E405" s="299"/>
      <c r="F405" s="300"/>
      <c r="G405" s="301"/>
      <c r="H405" s="301"/>
      <c r="I405" s="209"/>
    </row>
    <row r="406" spans="3:9" ht="14" x14ac:dyDescent="0.25">
      <c r="C406" s="18"/>
      <c r="D406" s="298" t="s">
        <v>882</v>
      </c>
      <c r="E406" s="299"/>
      <c r="F406" s="300"/>
      <c r="G406" s="301"/>
      <c r="H406" s="301"/>
      <c r="I406" s="209"/>
    </row>
    <row r="407" spans="3:9" ht="13.45" x14ac:dyDescent="0.25">
      <c r="C407" s="18"/>
      <c r="D407" s="302"/>
      <c r="E407" s="299"/>
      <c r="F407" s="300"/>
      <c r="G407" s="301"/>
      <c r="H407" s="301"/>
      <c r="I407" s="209"/>
    </row>
    <row r="408" spans="3:9" ht="14.25" customHeight="1" x14ac:dyDescent="0.25">
      <c r="C408" s="18"/>
      <c r="D408" s="302" t="s">
        <v>883</v>
      </c>
      <c r="E408" s="299"/>
      <c r="F408" s="300"/>
      <c r="G408" s="301"/>
      <c r="H408" s="301"/>
      <c r="I408" s="209"/>
    </row>
    <row r="409" spans="3:9" ht="14" x14ac:dyDescent="0.25">
      <c r="C409" s="18"/>
      <c r="D409" s="298" t="s">
        <v>884</v>
      </c>
      <c r="E409" s="299"/>
      <c r="F409" s="300"/>
      <c r="G409" s="301"/>
      <c r="H409" s="301"/>
      <c r="I409" s="209"/>
    </row>
    <row r="410" spans="3:9" ht="111.8" x14ac:dyDescent="0.25">
      <c r="C410" s="18"/>
      <c r="D410" s="303" t="s">
        <v>885</v>
      </c>
      <c r="E410" s="299"/>
      <c r="F410" s="300"/>
      <c r="G410" s="301"/>
      <c r="H410" s="301"/>
      <c r="I410" s="209"/>
    </row>
    <row r="411" spans="3:9" ht="97.8" x14ac:dyDescent="0.25">
      <c r="C411" s="18"/>
      <c r="D411" s="303" t="s">
        <v>886</v>
      </c>
      <c r="E411" s="299"/>
      <c r="F411" s="300"/>
      <c r="G411" s="301"/>
      <c r="H411" s="301"/>
      <c r="I411" s="209"/>
    </row>
    <row r="412" spans="3:9" ht="14" x14ac:dyDescent="0.25">
      <c r="C412" s="18"/>
      <c r="D412" s="298" t="s">
        <v>887</v>
      </c>
      <c r="E412" s="299"/>
      <c r="F412" s="300"/>
      <c r="G412" s="301"/>
      <c r="H412" s="301"/>
      <c r="I412" s="209"/>
    </row>
    <row r="413" spans="3:9" ht="83.85" x14ac:dyDescent="0.25">
      <c r="C413" s="18"/>
      <c r="D413" s="303" t="s">
        <v>888</v>
      </c>
      <c r="E413" s="299"/>
      <c r="F413" s="300"/>
      <c r="G413" s="301"/>
      <c r="H413" s="301"/>
      <c r="I413" s="209"/>
    </row>
    <row r="414" spans="3:9" ht="14" x14ac:dyDescent="0.25">
      <c r="C414" s="18"/>
      <c r="D414" s="298" t="s">
        <v>889</v>
      </c>
      <c r="E414" s="299"/>
      <c r="F414" s="300"/>
      <c r="G414" s="301"/>
      <c r="H414" s="301"/>
      <c r="I414" s="209"/>
    </row>
    <row r="415" spans="3:9" ht="14" x14ac:dyDescent="0.25">
      <c r="C415" s="18"/>
      <c r="D415" s="298" t="s">
        <v>890</v>
      </c>
      <c r="E415" s="299"/>
      <c r="F415" s="300"/>
      <c r="G415" s="301"/>
      <c r="H415" s="301"/>
      <c r="I415" s="209"/>
    </row>
    <row r="416" spans="3:9" ht="14" x14ac:dyDescent="0.25">
      <c r="C416" s="18"/>
      <c r="D416" s="298" t="s">
        <v>891</v>
      </c>
      <c r="E416" s="299"/>
      <c r="F416" s="300"/>
      <c r="G416" s="301"/>
      <c r="H416" s="301"/>
      <c r="I416" s="209"/>
    </row>
    <row r="417" spans="3:9" ht="13.45" x14ac:dyDescent="0.25">
      <c r="C417" s="18"/>
      <c r="D417" s="302"/>
      <c r="E417" s="299"/>
      <c r="F417" s="300"/>
      <c r="G417" s="301"/>
      <c r="H417" s="301"/>
      <c r="I417" s="209"/>
    </row>
    <row r="418" spans="3:9" ht="15.05" customHeight="1" x14ac:dyDescent="0.25">
      <c r="C418" s="18"/>
      <c r="D418" s="302" t="s">
        <v>892</v>
      </c>
      <c r="E418" s="299"/>
      <c r="F418" s="300"/>
      <c r="G418" s="301"/>
      <c r="H418" s="301"/>
      <c r="I418" s="209"/>
    </row>
    <row r="419" spans="3:9" ht="15.05" customHeight="1" x14ac:dyDescent="0.25">
      <c r="C419" s="18"/>
      <c r="D419" s="298" t="s">
        <v>893</v>
      </c>
      <c r="E419" s="299"/>
      <c r="F419" s="300"/>
      <c r="G419" s="301"/>
      <c r="H419" s="301"/>
      <c r="I419" s="209"/>
    </row>
    <row r="420" spans="3:9" ht="15.05" customHeight="1" x14ac:dyDescent="0.25">
      <c r="C420" s="18"/>
      <c r="D420" s="298" t="s">
        <v>894</v>
      </c>
      <c r="E420" s="299"/>
      <c r="F420" s="300"/>
      <c r="G420" s="301"/>
      <c r="H420" s="301"/>
      <c r="I420" s="209"/>
    </row>
    <row r="421" spans="3:9" ht="15.05" customHeight="1" x14ac:dyDescent="0.25">
      <c r="C421" s="18"/>
      <c r="D421" s="298" t="s">
        <v>895</v>
      </c>
      <c r="E421" s="299"/>
      <c r="F421" s="300"/>
      <c r="G421" s="301"/>
      <c r="H421" s="301"/>
      <c r="I421" s="209"/>
    </row>
    <row r="422" spans="3:9" ht="15.05" customHeight="1" x14ac:dyDescent="0.25">
      <c r="C422" s="18"/>
      <c r="D422" s="298" t="s">
        <v>896</v>
      </c>
      <c r="E422" s="299"/>
      <c r="F422" s="300"/>
      <c r="G422" s="301"/>
      <c r="H422" s="301"/>
      <c r="I422" s="209"/>
    </row>
    <row r="423" spans="3:9" ht="15.05" customHeight="1" x14ac:dyDescent="0.25">
      <c r="C423" s="18"/>
      <c r="D423" s="298" t="s">
        <v>897</v>
      </c>
      <c r="E423" s="299"/>
      <c r="F423" s="300"/>
      <c r="G423" s="301"/>
      <c r="H423" s="301"/>
      <c r="I423" s="209"/>
    </row>
    <row r="424" spans="3:9" ht="15.05" customHeight="1" x14ac:dyDescent="0.25">
      <c r="C424" s="18"/>
      <c r="D424" s="298" t="s">
        <v>898</v>
      </c>
      <c r="E424" s="299"/>
      <c r="F424" s="300"/>
      <c r="G424" s="301"/>
      <c r="H424" s="301"/>
      <c r="I424" s="209"/>
    </row>
    <row r="425" spans="3:9" ht="13.45" x14ac:dyDescent="0.25">
      <c r="C425" s="18"/>
      <c r="D425" s="302"/>
      <c r="E425" s="299"/>
      <c r="F425" s="300"/>
      <c r="G425" s="301"/>
      <c r="H425" s="301"/>
      <c r="I425" s="209"/>
    </row>
    <row r="426" spans="3:9" ht="14.25" customHeight="1" x14ac:dyDescent="0.25">
      <c r="C426" s="18"/>
      <c r="D426" s="302" t="s">
        <v>899</v>
      </c>
      <c r="E426" s="299"/>
      <c r="F426" s="300"/>
      <c r="G426" s="301"/>
      <c r="H426" s="301"/>
      <c r="I426" s="209"/>
    </row>
    <row r="427" spans="3:9" ht="14.25" customHeight="1" x14ac:dyDescent="0.25">
      <c r="C427" s="18"/>
      <c r="D427" s="302" t="s">
        <v>900</v>
      </c>
      <c r="E427" s="299"/>
      <c r="F427" s="300"/>
      <c r="G427" s="301"/>
      <c r="H427" s="301"/>
      <c r="I427" s="209"/>
    </row>
    <row r="428" spans="3:9" ht="13.45" x14ac:dyDescent="0.25">
      <c r="C428" s="18"/>
      <c r="D428" s="302"/>
      <c r="E428" s="299"/>
      <c r="F428" s="300"/>
      <c r="G428" s="301"/>
      <c r="H428" s="301"/>
      <c r="I428" s="209"/>
    </row>
    <row r="429" spans="3:9" ht="14.25" customHeight="1" x14ac:dyDescent="0.25">
      <c r="C429" s="18"/>
      <c r="D429" s="302" t="s">
        <v>901</v>
      </c>
      <c r="E429" s="299"/>
      <c r="F429" s="300"/>
      <c r="G429" s="301"/>
      <c r="H429" s="301"/>
      <c r="I429" s="209"/>
    </row>
    <row r="430" spans="3:9" ht="14.25" customHeight="1" x14ac:dyDescent="0.25">
      <c r="C430" s="18"/>
      <c r="D430" s="302" t="s">
        <v>902</v>
      </c>
      <c r="E430" s="299"/>
      <c r="F430" s="300"/>
      <c r="G430" s="301"/>
      <c r="H430" s="301"/>
      <c r="I430" s="209"/>
    </row>
    <row r="431" spans="3:9" ht="14.25" customHeight="1" x14ac:dyDescent="0.25">
      <c r="C431" s="18"/>
      <c r="D431" s="302" t="s">
        <v>903</v>
      </c>
      <c r="E431" s="299"/>
      <c r="F431" s="300"/>
      <c r="G431" s="301"/>
      <c r="H431" s="301"/>
      <c r="I431" s="209"/>
    </row>
    <row r="432" spans="3:9" ht="14.25" customHeight="1" x14ac:dyDescent="0.25">
      <c r="C432" s="18"/>
      <c r="D432" s="302" t="s">
        <v>904</v>
      </c>
      <c r="E432" s="299"/>
      <c r="F432" s="300"/>
      <c r="G432" s="301"/>
      <c r="H432" s="301"/>
      <c r="I432" s="209"/>
    </row>
    <row r="433" spans="3:9" ht="14.25" customHeight="1" x14ac:dyDescent="0.25">
      <c r="C433" s="18"/>
      <c r="D433" s="302" t="s">
        <v>905</v>
      </c>
      <c r="E433" s="299"/>
      <c r="F433" s="300"/>
      <c r="G433" s="301"/>
      <c r="H433" s="301"/>
      <c r="I433" s="209"/>
    </row>
    <row r="434" spans="3:9" ht="13.45" x14ac:dyDescent="0.25">
      <c r="C434" s="18"/>
      <c r="D434" s="302"/>
      <c r="E434" s="299"/>
      <c r="F434" s="300"/>
      <c r="G434" s="301"/>
      <c r="H434" s="301"/>
      <c r="I434" s="209"/>
    </row>
    <row r="435" spans="3:9" ht="13.45" x14ac:dyDescent="0.25">
      <c r="C435" s="18"/>
      <c r="D435" s="302" t="s">
        <v>906</v>
      </c>
      <c r="E435" s="299"/>
      <c r="F435" s="300"/>
      <c r="G435" s="301"/>
      <c r="H435" s="301"/>
      <c r="I435" s="209"/>
    </row>
    <row r="436" spans="3:9" ht="13.45" x14ac:dyDescent="0.25">
      <c r="C436" s="18"/>
      <c r="D436" s="302" t="s">
        <v>907</v>
      </c>
      <c r="E436" s="299"/>
      <c r="F436" s="300"/>
      <c r="G436" s="301"/>
      <c r="H436" s="301"/>
      <c r="I436" s="209"/>
    </row>
    <row r="437" spans="3:9" ht="13.45" x14ac:dyDescent="0.25">
      <c r="C437" s="18"/>
      <c r="D437" t="s">
        <v>908</v>
      </c>
      <c r="E437" s="299"/>
      <c r="F437" s="300"/>
      <c r="G437" s="301"/>
      <c r="H437" s="301"/>
      <c r="I437" s="209"/>
    </row>
    <row r="438" spans="3:9" ht="13.45" x14ac:dyDescent="0.25">
      <c r="C438" s="18"/>
      <c r="D438" t="s">
        <v>909</v>
      </c>
      <c r="E438" s="299"/>
      <c r="F438" s="300"/>
      <c r="G438" s="301"/>
      <c r="H438" s="301"/>
      <c r="I438" s="209"/>
    </row>
    <row r="439" spans="3:9" ht="13.45" x14ac:dyDescent="0.25">
      <c r="C439" s="18"/>
      <c r="D439" s="302" t="s">
        <v>910</v>
      </c>
      <c r="E439" s="299"/>
      <c r="F439" s="300"/>
      <c r="G439" s="301"/>
      <c r="H439" s="301"/>
      <c r="I439" s="209"/>
    </row>
    <row r="440" spans="3:9" ht="13.45" x14ac:dyDescent="0.25">
      <c r="C440" s="18"/>
      <c r="D440" s="302" t="s">
        <v>911</v>
      </c>
      <c r="E440" s="299"/>
      <c r="F440" s="300"/>
      <c r="G440" s="301"/>
      <c r="H440" s="301"/>
      <c r="I440" s="209"/>
    </row>
    <row r="441" spans="3:9" ht="13.45" x14ac:dyDescent="0.25">
      <c r="C441" s="18"/>
      <c r="D441" s="302"/>
      <c r="E441" s="299"/>
      <c r="F441" s="300"/>
      <c r="G441" s="301"/>
      <c r="H441" s="301"/>
      <c r="I441" s="209"/>
    </row>
    <row r="442" spans="3:9" ht="13.45" x14ac:dyDescent="0.25">
      <c r="C442" s="18"/>
      <c r="D442" s="310">
        <v>44743</v>
      </c>
      <c r="E442" s="299"/>
      <c r="F442" s="300"/>
      <c r="G442" s="301"/>
      <c r="H442" s="301"/>
      <c r="I442" s="209"/>
    </row>
    <row r="443" spans="3:9" ht="13.45" x14ac:dyDescent="0.25">
      <c r="C443" s="18"/>
      <c r="D443" s="302" t="s">
        <v>912</v>
      </c>
      <c r="E443" s="299"/>
      <c r="F443" s="300"/>
      <c r="G443" s="301"/>
      <c r="H443" s="301"/>
      <c r="I443" s="209"/>
    </row>
    <row r="444" spans="3:9" ht="13.45" x14ac:dyDescent="0.25">
      <c r="C444" s="18"/>
      <c r="D444" s="302" t="s">
        <v>913</v>
      </c>
      <c r="E444" s="299"/>
      <c r="F444" s="300"/>
      <c r="G444" s="301"/>
      <c r="H444" s="301"/>
      <c r="I444" s="209"/>
    </row>
    <row r="445" spans="3:9" ht="13.45" x14ac:dyDescent="0.25">
      <c r="C445" s="18"/>
      <c r="D445" s="302" t="s">
        <v>914</v>
      </c>
      <c r="E445" s="299"/>
      <c r="F445" s="300"/>
      <c r="G445" s="301"/>
      <c r="H445" s="301"/>
      <c r="I445" s="209"/>
    </row>
    <row r="446" spans="3:9" ht="13.45" x14ac:dyDescent="0.25">
      <c r="C446" s="18"/>
      <c r="D446" s="302" t="s">
        <v>915</v>
      </c>
      <c r="E446" s="299"/>
      <c r="F446" s="300"/>
      <c r="G446" s="301"/>
      <c r="H446" s="301"/>
      <c r="I446" s="209"/>
    </row>
    <row r="447" spans="3:9" ht="13.45" x14ac:dyDescent="0.25">
      <c r="C447" s="18"/>
      <c r="D447" s="302"/>
      <c r="E447" s="299"/>
      <c r="F447" s="300"/>
      <c r="G447" s="301"/>
      <c r="H447" s="301"/>
      <c r="I447" s="209"/>
    </row>
    <row r="448" spans="3:9" ht="13.45" x14ac:dyDescent="0.25">
      <c r="C448" s="18"/>
      <c r="D448" s="310">
        <v>44774</v>
      </c>
      <c r="E448" s="299"/>
      <c r="F448" s="300"/>
      <c r="G448" s="301"/>
      <c r="H448" s="301"/>
      <c r="I448" s="209"/>
    </row>
    <row r="449" spans="3:9" ht="13.45" x14ac:dyDescent="0.25">
      <c r="C449" s="18"/>
      <c r="D449" s="302" t="s">
        <v>916</v>
      </c>
      <c r="E449" s="299"/>
      <c r="F449" s="300"/>
      <c r="G449" s="301"/>
      <c r="H449" s="301"/>
      <c r="I449" s="209"/>
    </row>
    <row r="450" spans="3:9" ht="13.45" x14ac:dyDescent="0.25">
      <c r="C450" s="18"/>
      <c r="D450" s="302"/>
      <c r="E450" s="299"/>
      <c r="F450" s="300"/>
      <c r="G450" s="301"/>
      <c r="H450" s="301"/>
      <c r="I450" s="209"/>
    </row>
    <row r="451" spans="3:9" ht="13.45" x14ac:dyDescent="0.25">
      <c r="C451" s="18"/>
      <c r="D451" s="310">
        <v>44805</v>
      </c>
      <c r="E451" s="299"/>
      <c r="F451" s="300"/>
      <c r="G451" s="301"/>
      <c r="H451" s="301"/>
      <c r="I451" s="209"/>
    </row>
    <row r="452" spans="3:9" ht="13.45" x14ac:dyDescent="0.25">
      <c r="C452" s="18"/>
      <c r="D452" s="302" t="s">
        <v>917</v>
      </c>
      <c r="E452" s="299"/>
      <c r="F452" s="300"/>
      <c r="G452" s="301"/>
      <c r="H452" s="301"/>
      <c r="I452" s="209"/>
    </row>
    <row r="453" spans="3:9" ht="13.45" x14ac:dyDescent="0.25">
      <c r="C453" s="18"/>
      <c r="D453" s="302" t="s">
        <v>918</v>
      </c>
      <c r="E453" s="299"/>
      <c r="F453" s="300"/>
      <c r="G453" s="301"/>
      <c r="H453" s="301"/>
      <c r="I453" s="209"/>
    </row>
    <row r="454" spans="3:9" ht="13.45" x14ac:dyDescent="0.25">
      <c r="C454" s="18"/>
      <c r="D454" s="302"/>
      <c r="E454" s="299"/>
      <c r="F454" s="300"/>
      <c r="G454" s="301"/>
      <c r="H454" s="301"/>
      <c r="I454" s="209"/>
    </row>
    <row r="455" spans="3:9" ht="13.45" x14ac:dyDescent="0.25">
      <c r="C455" s="18"/>
      <c r="D455" s="310">
        <v>44835</v>
      </c>
      <c r="E455" s="299"/>
      <c r="F455" s="300"/>
      <c r="G455" s="301"/>
      <c r="H455" s="301"/>
      <c r="I455" s="209"/>
    </row>
    <row r="456" spans="3:9" ht="13.45" x14ac:dyDescent="0.25">
      <c r="C456" s="18"/>
      <c r="D456" s="302" t="s">
        <v>919</v>
      </c>
      <c r="E456" s="299"/>
      <c r="F456" s="300"/>
      <c r="G456" s="301"/>
      <c r="H456" s="301"/>
      <c r="I456" s="209"/>
    </row>
    <row r="457" spans="3:9" ht="13.45" x14ac:dyDescent="0.25">
      <c r="C457" s="18"/>
      <c r="D457" s="605" t="s">
        <v>920</v>
      </c>
      <c r="E457" s="605"/>
      <c r="F457" s="605"/>
      <c r="G457" s="605"/>
      <c r="H457" s="301"/>
      <c r="I457" s="209"/>
    </row>
    <row r="458" spans="3:9" ht="13.45" x14ac:dyDescent="0.25">
      <c r="C458" s="18"/>
      <c r="D458" s="606" t="s">
        <v>921</v>
      </c>
      <c r="E458" s="606"/>
      <c r="F458" s="606"/>
      <c r="G458" s="606"/>
      <c r="H458" s="301"/>
      <c r="I458" s="209"/>
    </row>
    <row r="459" spans="3:9" ht="13.45" x14ac:dyDescent="0.25">
      <c r="C459" s="18"/>
      <c r="D459" s="302"/>
      <c r="E459" s="299"/>
      <c r="F459" s="300"/>
      <c r="G459" s="301"/>
      <c r="H459" s="301"/>
      <c r="I459" s="209"/>
    </row>
    <row r="460" spans="3:9" ht="13.45" x14ac:dyDescent="0.25">
      <c r="C460" s="18"/>
      <c r="D460" s="311">
        <v>44958</v>
      </c>
      <c r="E460" s="299"/>
      <c r="F460" s="300"/>
      <c r="G460" s="301"/>
      <c r="H460" s="301"/>
      <c r="I460" s="209"/>
    </row>
    <row r="461" spans="3:9" ht="13.45" x14ac:dyDescent="0.25">
      <c r="C461" s="18"/>
      <c r="D461" t="s">
        <v>922</v>
      </c>
      <c r="E461" s="299"/>
      <c r="F461" s="300"/>
      <c r="G461" s="301"/>
      <c r="H461" s="301"/>
      <c r="I461" s="209"/>
    </row>
    <row r="462" spans="3:9" ht="17.75" x14ac:dyDescent="0.35">
      <c r="C462" s="18"/>
      <c r="D462" s="607" t="s">
        <v>923</v>
      </c>
      <c r="E462" s="607"/>
      <c r="F462" s="607"/>
      <c r="G462" s="301"/>
      <c r="H462" s="301"/>
      <c r="I462" s="209"/>
    </row>
    <row r="463" spans="3:9" ht="13.45" x14ac:dyDescent="0.25">
      <c r="C463" s="18"/>
      <c r="D463" s="302"/>
      <c r="E463" s="299"/>
      <c r="F463" s="300"/>
      <c r="G463" s="301"/>
      <c r="H463" s="301"/>
      <c r="I463" s="209"/>
    </row>
    <row r="464" spans="3:9" ht="13.45" x14ac:dyDescent="0.25">
      <c r="C464" s="18"/>
      <c r="D464" s="312">
        <v>44986</v>
      </c>
      <c r="E464" s="18"/>
      <c r="F464" s="18"/>
      <c r="G464" s="18"/>
      <c r="H464" s="301"/>
      <c r="I464" s="209"/>
    </row>
    <row r="465" spans="3:9" ht="13.45" x14ac:dyDescent="0.25">
      <c r="C465" s="18"/>
      <c r="D465" s="608" t="s">
        <v>924</v>
      </c>
      <c r="E465" s="608"/>
      <c r="F465" s="608"/>
      <c r="G465" s="608"/>
      <c r="H465" s="301"/>
      <c r="I465" s="209"/>
    </row>
    <row r="466" spans="3:9" ht="13.45" x14ac:dyDescent="0.25">
      <c r="C466" s="18"/>
      <c r="D466" s="605" t="s">
        <v>925</v>
      </c>
      <c r="E466" s="605"/>
      <c r="F466" s="605"/>
      <c r="G466" s="605"/>
      <c r="H466" s="301"/>
      <c r="I466" s="209"/>
    </row>
    <row r="467" spans="3:9" ht="13.45" x14ac:dyDescent="0.25">
      <c r="C467" s="18"/>
      <c r="D467" s="302" t="s">
        <v>926</v>
      </c>
      <c r="E467" s="299"/>
      <c r="F467" s="300"/>
      <c r="G467" s="301"/>
      <c r="H467" s="301"/>
      <c r="I467" s="209"/>
    </row>
    <row r="468" spans="3:9" ht="13.45" x14ac:dyDescent="0.25">
      <c r="C468" s="18"/>
      <c r="D468" s="302" t="s">
        <v>927</v>
      </c>
      <c r="E468" s="299"/>
      <c r="F468" s="300"/>
      <c r="G468" s="301"/>
      <c r="H468" s="301"/>
      <c r="I468" s="209"/>
    </row>
    <row r="469" spans="3:9" ht="13.45" x14ac:dyDescent="0.25">
      <c r="C469" s="18"/>
      <c r="D469" s="302"/>
      <c r="E469" s="299"/>
      <c r="F469" s="300"/>
      <c r="G469" s="301"/>
      <c r="H469" s="301"/>
      <c r="I469" s="209"/>
    </row>
    <row r="470" spans="3:9" ht="13.45" x14ac:dyDescent="0.25">
      <c r="C470" s="18"/>
      <c r="D470" s="313">
        <v>45017</v>
      </c>
      <c r="E470" s="299"/>
      <c r="F470" s="300"/>
      <c r="G470" s="301"/>
      <c r="H470" s="301"/>
      <c r="I470" s="209"/>
    </row>
    <row r="471" spans="3:9" ht="13.45" x14ac:dyDescent="0.25">
      <c r="C471" s="18"/>
      <c r="D471" s="302" t="s">
        <v>928</v>
      </c>
      <c r="E471" s="299"/>
      <c r="F471" s="300"/>
      <c r="G471" s="301"/>
      <c r="H471" s="301"/>
      <c r="I471" s="209"/>
    </row>
    <row r="472" spans="3:9" ht="13.45" x14ac:dyDescent="0.25">
      <c r="C472" s="18"/>
      <c r="D472" s="302" t="s">
        <v>929</v>
      </c>
      <c r="E472" s="299"/>
      <c r="F472" s="300"/>
      <c r="G472" s="301"/>
      <c r="H472" s="301"/>
      <c r="I472" s="209"/>
    </row>
    <row r="473" spans="3:9" ht="13.45" x14ac:dyDescent="0.25">
      <c r="C473" s="18"/>
      <c r="D473" s="302" t="s">
        <v>930</v>
      </c>
      <c r="E473" s="299"/>
      <c r="F473" s="300"/>
      <c r="G473" s="301"/>
      <c r="H473" s="301"/>
      <c r="I473" s="209"/>
    </row>
    <row r="474" spans="3:9" ht="13.45" x14ac:dyDescent="0.25">
      <c r="C474" s="18"/>
      <c r="D474" s="302" t="s">
        <v>931</v>
      </c>
      <c r="E474" s="299"/>
      <c r="F474" s="300"/>
      <c r="G474" s="301"/>
      <c r="H474" s="301"/>
      <c r="I474" s="209"/>
    </row>
    <row r="475" spans="3:9" ht="13.45" x14ac:dyDescent="0.25">
      <c r="C475" s="18"/>
      <c r="D475" s="302"/>
      <c r="E475" s="299"/>
      <c r="F475" s="300"/>
      <c r="G475" s="301"/>
      <c r="H475" s="301"/>
      <c r="I475" s="209"/>
    </row>
    <row r="476" spans="3:9" ht="13.45" x14ac:dyDescent="0.25">
      <c r="C476" s="18"/>
      <c r="D476" s="313">
        <v>45047</v>
      </c>
      <c r="E476" s="299"/>
      <c r="F476" s="300"/>
      <c r="G476" s="301"/>
      <c r="H476" s="301"/>
      <c r="I476" s="209"/>
    </row>
    <row r="477" spans="3:9" ht="13.45" x14ac:dyDescent="0.25">
      <c r="C477" s="18"/>
      <c r="D477" s="302" t="s">
        <v>932</v>
      </c>
      <c r="E477" s="299"/>
      <c r="F477" s="300"/>
      <c r="G477" s="301"/>
      <c r="H477" s="301"/>
      <c r="I477" s="209"/>
    </row>
    <row r="478" spans="3:9" ht="13.45" x14ac:dyDescent="0.25">
      <c r="C478" s="18"/>
      <c r="D478" s="302" t="s">
        <v>933</v>
      </c>
      <c r="E478" s="299"/>
      <c r="F478" s="300"/>
      <c r="G478" s="301"/>
      <c r="H478" s="301"/>
      <c r="I478" s="209"/>
    </row>
    <row r="479" spans="3:9" ht="13.45" x14ac:dyDescent="0.25">
      <c r="C479" s="18"/>
      <c r="D479" s="302"/>
      <c r="E479" s="299"/>
      <c r="F479" s="300"/>
      <c r="G479" s="301"/>
      <c r="H479" s="301"/>
      <c r="I479" s="209"/>
    </row>
    <row r="480" spans="3:9" ht="13.45" x14ac:dyDescent="0.25">
      <c r="C480" s="18"/>
      <c r="D480" s="313">
        <v>45108</v>
      </c>
      <c r="E480" s="299"/>
      <c r="F480" s="300"/>
      <c r="G480" s="301"/>
      <c r="H480" s="301"/>
      <c r="I480" s="209"/>
    </row>
    <row r="481" spans="3:9" ht="13.45" x14ac:dyDescent="0.25">
      <c r="C481" s="18"/>
      <c r="D481" s="302" t="s">
        <v>934</v>
      </c>
      <c r="E481" s="299"/>
      <c r="F481" s="300"/>
      <c r="G481" s="301"/>
      <c r="H481" s="301"/>
      <c r="I481" s="209"/>
    </row>
    <row r="482" spans="3:9" ht="13.45" x14ac:dyDescent="0.25">
      <c r="C482" s="18"/>
      <c r="D482" s="302" t="s">
        <v>935</v>
      </c>
      <c r="E482" s="299"/>
      <c r="F482" s="300"/>
      <c r="G482" s="301"/>
      <c r="H482" s="301"/>
      <c r="I482" s="209"/>
    </row>
    <row r="483" spans="3:9" ht="13.45" x14ac:dyDescent="0.25">
      <c r="C483" s="18"/>
      <c r="D483" s="302" t="s">
        <v>936</v>
      </c>
      <c r="E483" s="299"/>
      <c r="F483" s="300"/>
      <c r="G483" s="301"/>
      <c r="H483" s="301"/>
      <c r="I483" s="209"/>
    </row>
    <row r="484" spans="3:9" ht="13.45" x14ac:dyDescent="0.25">
      <c r="C484" s="18"/>
      <c r="D484" s="302" t="s">
        <v>937</v>
      </c>
      <c r="E484" s="299"/>
      <c r="F484" s="300"/>
      <c r="G484" s="301"/>
      <c r="H484" s="301"/>
      <c r="I484" s="209"/>
    </row>
    <row r="485" spans="3:9" ht="13.45" x14ac:dyDescent="0.25">
      <c r="C485" s="18"/>
      <c r="D485" s="302"/>
      <c r="E485" s="299"/>
      <c r="F485" s="300"/>
      <c r="G485" s="301"/>
      <c r="H485" s="301"/>
      <c r="I485" s="209"/>
    </row>
    <row r="486" spans="3:9" ht="13.45" x14ac:dyDescent="0.25">
      <c r="C486" s="18"/>
      <c r="D486" s="313">
        <v>45139</v>
      </c>
      <c r="E486" s="299"/>
      <c r="F486" s="300"/>
      <c r="G486" s="301"/>
      <c r="H486" s="301"/>
      <c r="I486" s="209"/>
    </row>
    <row r="487" spans="3:9" ht="13.45" x14ac:dyDescent="0.25">
      <c r="C487" s="18"/>
      <c r="D487" s="302" t="s">
        <v>938</v>
      </c>
      <c r="E487" s="299"/>
      <c r="F487" s="300"/>
      <c r="G487" s="301"/>
      <c r="H487" s="301"/>
      <c r="I487" s="209"/>
    </row>
    <row r="488" spans="3:9" ht="13.45" x14ac:dyDescent="0.25">
      <c r="C488" s="18"/>
      <c r="D488" s="302"/>
      <c r="E488" s="299"/>
      <c r="F488" s="300"/>
      <c r="G488" s="301"/>
      <c r="H488" s="301"/>
      <c r="I488" s="209"/>
    </row>
    <row r="489" spans="3:9" ht="13.45" x14ac:dyDescent="0.25">
      <c r="C489" s="18"/>
      <c r="D489" s="314" t="s">
        <v>939</v>
      </c>
      <c r="E489" s="299"/>
      <c r="F489" s="300"/>
      <c r="G489" s="301"/>
      <c r="H489" s="301"/>
      <c r="I489" s="209"/>
    </row>
    <row r="490" spans="3:9" ht="13.45" x14ac:dyDescent="0.25">
      <c r="C490" s="18"/>
      <c r="D490" s="302"/>
      <c r="E490" s="299"/>
      <c r="F490" s="300"/>
      <c r="G490" s="301"/>
      <c r="H490" s="301"/>
      <c r="I490" s="209"/>
    </row>
    <row r="491" spans="3:9" ht="13.45" x14ac:dyDescent="0.25">
      <c r="C491" s="18"/>
      <c r="D491" s="315">
        <v>45412</v>
      </c>
      <c r="E491" s="299"/>
      <c r="F491" s="300"/>
      <c r="G491" s="301"/>
      <c r="H491" s="301"/>
      <c r="I491" s="209"/>
    </row>
    <row r="492" spans="3:9" ht="14" x14ac:dyDescent="0.3">
      <c r="C492" s="18"/>
      <c r="D492" s="248" t="s">
        <v>250</v>
      </c>
      <c r="E492" s="238" t="s">
        <v>251</v>
      </c>
      <c r="F492" s="233" t="s">
        <v>178</v>
      </c>
      <c r="G492" s="301" t="s">
        <v>940</v>
      </c>
      <c r="H492" s="301"/>
      <c r="I492" s="209"/>
    </row>
    <row r="493" spans="3:9" ht="14" x14ac:dyDescent="0.3">
      <c r="C493" s="18"/>
      <c r="D493" s="249" t="s">
        <v>421</v>
      </c>
      <c r="E493" s="238" t="s">
        <v>422</v>
      </c>
      <c r="F493" s="233" t="s">
        <v>178</v>
      </c>
      <c r="G493" s="301" t="s">
        <v>941</v>
      </c>
      <c r="H493" s="301"/>
      <c r="I493" s="209"/>
    </row>
    <row r="494" spans="3:9" ht="13.45" x14ac:dyDescent="0.25">
      <c r="C494" s="18"/>
      <c r="D494" s="302"/>
      <c r="E494" s="299"/>
      <c r="F494" s="300"/>
      <c r="G494" s="301"/>
      <c r="H494" s="301"/>
      <c r="I494" s="209"/>
    </row>
    <row r="495" spans="3:9" ht="13.45" x14ac:dyDescent="0.25">
      <c r="C495" s="18"/>
      <c r="D495" s="302"/>
      <c r="E495" s="299"/>
      <c r="F495" s="300"/>
      <c r="G495" s="301"/>
      <c r="H495" s="301"/>
      <c r="I495" s="209"/>
    </row>
    <row r="496" spans="3:9" ht="13.45" x14ac:dyDescent="0.25">
      <c r="C496" s="18"/>
      <c r="D496" s="302"/>
      <c r="E496" s="299"/>
      <c r="F496" s="300"/>
      <c r="G496" s="301"/>
      <c r="H496" s="301"/>
      <c r="I496" s="209"/>
    </row>
    <row r="497" spans="3:10" ht="13.45" x14ac:dyDescent="0.25">
      <c r="C497" s="18"/>
      <c r="D497" s="302" t="s">
        <v>942</v>
      </c>
      <c r="E497" s="299"/>
      <c r="F497" s="300"/>
      <c r="G497" s="301"/>
      <c r="H497" s="301"/>
      <c r="I497" s="209"/>
    </row>
    <row r="498" spans="3:10" ht="13.45" x14ac:dyDescent="0.25">
      <c r="C498" s="18"/>
      <c r="D498" s="302"/>
      <c r="E498" s="299"/>
      <c r="F498" s="300"/>
      <c r="G498" s="301"/>
      <c r="H498" s="301"/>
      <c r="I498" s="209"/>
    </row>
    <row r="499" spans="3:10" ht="14" x14ac:dyDescent="0.25">
      <c r="C499" s="18"/>
      <c r="D499" s="316">
        <v>45533</v>
      </c>
      <c r="E499" s="299"/>
      <c r="F499" s="300"/>
      <c r="G499" s="301"/>
      <c r="H499" s="301"/>
      <c r="I499" s="209"/>
    </row>
    <row r="500" spans="3:10" ht="15.75" customHeight="1" x14ac:dyDescent="0.25">
      <c r="C500" s="18"/>
      <c r="D500" s="609" t="s">
        <v>943</v>
      </c>
      <c r="E500" s="299"/>
      <c r="F500" s="610" t="s">
        <v>944</v>
      </c>
      <c r="G500" s="610" t="s">
        <v>945</v>
      </c>
      <c r="H500" s="301"/>
      <c r="I500" s="209"/>
    </row>
    <row r="501" spans="3:10" ht="13.45" x14ac:dyDescent="0.25">
      <c r="C501" s="18"/>
      <c r="D501" s="609"/>
      <c r="E501" s="299"/>
      <c r="F501" s="610"/>
      <c r="G501" s="610"/>
      <c r="H501" s="301"/>
      <c r="I501" s="209"/>
    </row>
    <row r="502" spans="3:10" ht="13.45" x14ac:dyDescent="0.25">
      <c r="C502" s="18"/>
      <c r="D502" s="302"/>
      <c r="E502" s="299"/>
      <c r="F502" s="300"/>
      <c r="G502" s="301"/>
      <c r="H502" s="301"/>
      <c r="I502" s="209"/>
    </row>
    <row r="503" spans="3:10" ht="13.45" x14ac:dyDescent="0.25">
      <c r="C503" s="18"/>
      <c r="D503" s="302" t="s">
        <v>946</v>
      </c>
      <c r="E503" s="299"/>
      <c r="F503" s="300"/>
      <c r="G503" s="301"/>
      <c r="H503" s="301"/>
      <c r="I503" s="209"/>
    </row>
    <row r="504" spans="3:10" ht="14" x14ac:dyDescent="0.25">
      <c r="C504" s="226" t="s">
        <v>947</v>
      </c>
      <c r="D504" s="227" t="s">
        <v>948</v>
      </c>
      <c r="E504" s="228"/>
      <c r="F504" s="229" t="s">
        <v>200</v>
      </c>
      <c r="G504" s="230" t="s">
        <v>206</v>
      </c>
      <c r="H504" s="231"/>
      <c r="I504" s="231" t="s">
        <v>164</v>
      </c>
    </row>
    <row r="505" spans="3:10" ht="13.45" x14ac:dyDescent="0.25">
      <c r="C505" s="18"/>
      <c r="D505" s="302"/>
      <c r="E505" s="299"/>
      <c r="F505" s="300"/>
      <c r="G505" s="301"/>
      <c r="H505" s="301"/>
      <c r="I505" s="209"/>
    </row>
    <row r="506" spans="3:10" ht="13.45" x14ac:dyDescent="0.25">
      <c r="C506" s="18"/>
      <c r="D506" s="302" t="s">
        <v>949</v>
      </c>
      <c r="E506" s="299"/>
      <c r="F506" s="300"/>
      <c r="G506" s="301"/>
      <c r="H506" s="301"/>
      <c r="I506" s="209"/>
    </row>
    <row r="507" spans="3:10" ht="14" x14ac:dyDescent="0.25">
      <c r="C507" s="226" t="s">
        <v>950</v>
      </c>
      <c r="D507" s="227" t="s">
        <v>951</v>
      </c>
      <c r="E507" s="228"/>
      <c r="F507" s="229" t="s">
        <v>200</v>
      </c>
      <c r="G507" s="230" t="s">
        <v>206</v>
      </c>
      <c r="H507" s="231"/>
      <c r="I507" s="231" t="s">
        <v>168</v>
      </c>
    </row>
    <row r="508" spans="3:10" ht="13.45" x14ac:dyDescent="0.25">
      <c r="C508" s="18"/>
      <c r="D508" s="302"/>
      <c r="E508" s="299"/>
      <c r="F508" s="300"/>
      <c r="G508" s="301"/>
      <c r="H508" s="301"/>
      <c r="I508" s="209"/>
    </row>
    <row r="509" spans="3:10" ht="13.45" x14ac:dyDescent="0.25">
      <c r="C509" s="611" t="s">
        <v>952</v>
      </c>
      <c r="D509" s="611"/>
      <c r="E509" s="611"/>
      <c r="F509" s="611"/>
      <c r="G509" s="301"/>
      <c r="H509" s="301"/>
      <c r="I509" s="209"/>
    </row>
    <row r="510" spans="3:10" ht="27.95" x14ac:dyDescent="0.25">
      <c r="C510" s="212" t="s">
        <v>953</v>
      </c>
      <c r="D510" s="213" t="s">
        <v>954</v>
      </c>
      <c r="E510" s="215" t="s">
        <v>178</v>
      </c>
      <c r="F510" s="213" t="s">
        <v>157</v>
      </c>
      <c r="G510" s="213" t="s">
        <v>158</v>
      </c>
      <c r="H510" s="213"/>
      <c r="I510" s="214" t="s">
        <v>159</v>
      </c>
      <c r="J510" s="217">
        <v>1</v>
      </c>
    </row>
    <row r="511" spans="3:10" ht="13.45" x14ac:dyDescent="0.25">
      <c r="C511" s="18"/>
      <c r="D511" s="302"/>
      <c r="E511" s="299"/>
      <c r="F511" s="300"/>
      <c r="G511" s="301"/>
      <c r="H511" s="301"/>
      <c r="I511" s="209"/>
    </row>
    <row r="512" spans="3:10" ht="13.45" x14ac:dyDescent="0.25">
      <c r="C512" s="612" t="s">
        <v>955</v>
      </c>
      <c r="D512" s="612"/>
      <c r="E512" s="612"/>
      <c r="F512" s="612"/>
      <c r="G512" s="301"/>
      <c r="H512" s="301"/>
      <c r="I512" s="209"/>
    </row>
    <row r="513" spans="3:9" ht="27.95" x14ac:dyDescent="0.25">
      <c r="C513" s="212" t="s">
        <v>956</v>
      </c>
      <c r="D513" s="238" t="s">
        <v>957</v>
      </c>
      <c r="E513" s="233" t="s">
        <v>171</v>
      </c>
      <c r="F513" s="232" t="s">
        <v>214</v>
      </c>
      <c r="G513" s="232" t="s">
        <v>175</v>
      </c>
      <c r="H513" s="232" t="s">
        <v>238</v>
      </c>
      <c r="I513" s="240" t="s">
        <v>159</v>
      </c>
    </row>
    <row r="514" spans="3:9" ht="13.45" x14ac:dyDescent="0.25">
      <c r="C514" s="18"/>
      <c r="D514" s="302"/>
      <c r="E514" s="299"/>
      <c r="F514" s="300"/>
      <c r="G514" s="301"/>
      <c r="H514" s="301"/>
      <c r="I514" s="209"/>
    </row>
    <row r="515" spans="3:9" ht="13.45" x14ac:dyDescent="0.25">
      <c r="C515" s="612" t="s">
        <v>958</v>
      </c>
      <c r="D515" s="612"/>
      <c r="E515" s="612"/>
      <c r="F515" s="612"/>
      <c r="G515" s="301"/>
      <c r="H515" s="301"/>
      <c r="I515" s="209"/>
    </row>
    <row r="516" spans="3:9" ht="27.95" x14ac:dyDescent="0.25">
      <c r="C516" s="245" t="s">
        <v>959</v>
      </c>
      <c r="D516" s="246" t="s">
        <v>960</v>
      </c>
      <c r="E516" s="233" t="s">
        <v>171</v>
      </c>
      <c r="F516" s="232" t="s">
        <v>214</v>
      </c>
      <c r="G516" s="232" t="s">
        <v>175</v>
      </c>
      <c r="H516" s="232" t="s">
        <v>238</v>
      </c>
      <c r="I516" s="240" t="s">
        <v>168</v>
      </c>
    </row>
    <row r="517" spans="3:9" ht="13.45" x14ac:dyDescent="0.25">
      <c r="C517" s="18"/>
      <c r="D517" s="302"/>
      <c r="E517" s="299"/>
      <c r="F517" s="300"/>
      <c r="G517" s="301"/>
      <c r="H517" s="301"/>
      <c r="I517" s="209"/>
    </row>
    <row r="518" spans="3:9" ht="13.45" x14ac:dyDescent="0.25">
      <c r="C518" s="612" t="s">
        <v>961</v>
      </c>
      <c r="D518" s="612"/>
      <c r="E518" s="612"/>
      <c r="F518" s="612"/>
      <c r="G518" s="301"/>
      <c r="H518" s="301"/>
      <c r="I518" s="209"/>
    </row>
    <row r="519" spans="3:9" ht="27.95" x14ac:dyDescent="0.25">
      <c r="C519" s="212" t="s">
        <v>962</v>
      </c>
      <c r="D519" s="238" t="s">
        <v>963</v>
      </c>
      <c r="E519" s="233" t="s">
        <v>171</v>
      </c>
      <c r="F519" s="232" t="s">
        <v>214</v>
      </c>
      <c r="G519" s="232" t="s">
        <v>268</v>
      </c>
      <c r="H519" s="232"/>
      <c r="I519" s="240"/>
    </row>
    <row r="520" spans="3:9" ht="13.45" x14ac:dyDescent="0.25">
      <c r="C520" s="18"/>
      <c r="D520" s="302"/>
      <c r="E520" s="299"/>
      <c r="F520" s="300"/>
      <c r="G520" s="301"/>
      <c r="H520" s="301"/>
      <c r="I520" s="209"/>
    </row>
    <row r="521" spans="3:9" ht="13.45" x14ac:dyDescent="0.25">
      <c r="C521" s="612" t="s">
        <v>964</v>
      </c>
      <c r="D521" s="612"/>
      <c r="E521" s="612"/>
      <c r="F521" s="612"/>
      <c r="G521" s="301"/>
      <c r="H521" s="301"/>
      <c r="I521" s="209"/>
    </row>
    <row r="522" spans="3:9" ht="41.95" x14ac:dyDescent="0.25">
      <c r="C522" s="212" t="s">
        <v>965</v>
      </c>
      <c r="D522" s="265" t="s">
        <v>966</v>
      </c>
      <c r="E522" s="317"/>
      <c r="F522" s="239" t="s">
        <v>612</v>
      </c>
      <c r="G522" s="239" t="s">
        <v>682</v>
      </c>
      <c r="H522" s="239" t="s">
        <v>688</v>
      </c>
      <c r="I522" s="318" t="s">
        <v>164</v>
      </c>
    </row>
    <row r="523" spans="3:9" ht="13.45" x14ac:dyDescent="0.25">
      <c r="C523" s="18"/>
      <c r="D523" s="302"/>
      <c r="E523" s="299"/>
      <c r="F523" s="300"/>
      <c r="G523" s="301"/>
      <c r="H523" s="301"/>
      <c r="I523" s="209"/>
    </row>
    <row r="524" spans="3:9" ht="13.45" x14ac:dyDescent="0.25">
      <c r="C524" s="612" t="s">
        <v>967</v>
      </c>
      <c r="D524" s="612"/>
      <c r="E524" s="612"/>
      <c r="F524" s="612"/>
      <c r="G524" s="301"/>
      <c r="H524" s="301"/>
      <c r="I524" s="209"/>
    </row>
    <row r="525" spans="3:9" ht="27.95" x14ac:dyDescent="0.25">
      <c r="C525" s="212" t="s">
        <v>968</v>
      </c>
      <c r="D525" s="271" t="s">
        <v>969</v>
      </c>
      <c r="E525" s="272" t="s">
        <v>171</v>
      </c>
      <c r="F525" s="273" t="s">
        <v>612</v>
      </c>
      <c r="G525" s="273" t="s">
        <v>661</v>
      </c>
      <c r="H525" s="273"/>
      <c r="I525" s="274" t="s">
        <v>246</v>
      </c>
    </row>
    <row r="526" spans="3:9" ht="13.45" x14ac:dyDescent="0.25">
      <c r="C526" s="18"/>
      <c r="D526" s="302"/>
      <c r="E526" s="299"/>
      <c r="F526" s="300"/>
      <c r="G526" s="301"/>
      <c r="H526" s="301"/>
      <c r="I526" s="209"/>
    </row>
    <row r="527" spans="3:9" ht="13.45" x14ac:dyDescent="0.25">
      <c r="C527" s="18"/>
      <c r="D527" s="302"/>
      <c r="E527" s="299"/>
      <c r="F527" s="300"/>
      <c r="G527" s="301"/>
      <c r="H527" s="301"/>
      <c r="I527" s="209"/>
    </row>
    <row r="528" spans="3:9" ht="13.45" x14ac:dyDescent="0.25">
      <c r="C528" s="18"/>
      <c r="D528" s="302"/>
      <c r="E528" s="299"/>
      <c r="F528" s="300"/>
      <c r="G528" s="301"/>
      <c r="H528" s="301"/>
      <c r="I528" s="209"/>
    </row>
    <row r="529" spans="3:9" ht="13.45" x14ac:dyDescent="0.25">
      <c r="C529" s="18"/>
      <c r="D529" s="302"/>
      <c r="E529" s="299"/>
      <c r="F529" s="300"/>
      <c r="G529" s="301"/>
      <c r="H529" s="301"/>
      <c r="I529" s="209"/>
    </row>
    <row r="530" spans="3:9" ht="13.45" x14ac:dyDescent="0.25">
      <c r="C530" s="18"/>
      <c r="D530" s="302"/>
      <c r="E530" s="299"/>
      <c r="F530" s="300"/>
      <c r="G530" s="301"/>
      <c r="H530" s="301"/>
      <c r="I530" s="209"/>
    </row>
    <row r="531" spans="3:9" ht="13.45" x14ac:dyDescent="0.25">
      <c r="C531" s="18"/>
      <c r="D531" s="302"/>
      <c r="E531" s="299"/>
      <c r="F531" s="300"/>
      <c r="G531" s="301"/>
      <c r="H531" s="301"/>
      <c r="I531" s="209"/>
    </row>
    <row r="532" spans="3:9" ht="13.45" x14ac:dyDescent="0.25">
      <c r="C532" s="18"/>
      <c r="D532" s="302"/>
      <c r="E532" s="299"/>
      <c r="F532" s="300"/>
      <c r="G532" s="301"/>
      <c r="H532" s="301"/>
      <c r="I532" s="209"/>
    </row>
    <row r="533" spans="3:9" ht="13.45" x14ac:dyDescent="0.25">
      <c r="C533" s="18"/>
      <c r="D533" s="302"/>
      <c r="E533" s="299"/>
      <c r="F533" s="300"/>
      <c r="G533" s="301"/>
      <c r="H533" s="301"/>
      <c r="I533" s="209"/>
    </row>
    <row r="534" spans="3:9" ht="13.45" x14ac:dyDescent="0.25">
      <c r="C534" s="18"/>
      <c r="D534" s="302"/>
      <c r="E534" s="299"/>
      <c r="F534" s="300"/>
      <c r="G534" s="301"/>
      <c r="H534" s="301"/>
      <c r="I534" s="209"/>
    </row>
    <row r="535" spans="3:9" ht="13.45" x14ac:dyDescent="0.25">
      <c r="C535" s="18"/>
      <c r="D535" s="302"/>
      <c r="E535" s="299"/>
      <c r="F535" s="300"/>
      <c r="G535" s="301"/>
      <c r="H535" s="301"/>
      <c r="I535" s="209"/>
    </row>
    <row r="536" spans="3:9" ht="13.45" x14ac:dyDescent="0.25">
      <c r="C536" s="18"/>
      <c r="D536" s="302"/>
      <c r="E536" s="299"/>
      <c r="F536" s="300"/>
      <c r="G536" s="301"/>
      <c r="H536" s="301"/>
      <c r="I536" s="209"/>
    </row>
    <row r="537" spans="3:9" ht="13.45" x14ac:dyDescent="0.25">
      <c r="C537" s="18"/>
      <c r="D537" s="302"/>
      <c r="E537" s="299"/>
      <c r="F537" s="300"/>
      <c r="G537" s="301"/>
      <c r="H537" s="301"/>
      <c r="I537" s="209"/>
    </row>
    <row r="538" spans="3:9" ht="13.45" x14ac:dyDescent="0.25">
      <c r="C538" s="18"/>
      <c r="D538" s="302"/>
      <c r="E538" s="299"/>
      <c r="F538" s="300"/>
      <c r="G538" s="301"/>
      <c r="H538" s="301"/>
      <c r="I538" s="209"/>
    </row>
    <row r="539" spans="3:9" ht="13.45" x14ac:dyDescent="0.25">
      <c r="C539" s="18"/>
      <c r="D539" s="302"/>
      <c r="E539" s="299"/>
      <c r="F539" s="300"/>
      <c r="G539" s="301"/>
      <c r="H539" s="301"/>
      <c r="I539" s="209"/>
    </row>
    <row r="540" spans="3:9" ht="13.45" x14ac:dyDescent="0.25">
      <c r="C540" s="18"/>
      <c r="D540" s="302"/>
      <c r="E540" s="299"/>
      <c r="F540" s="300"/>
      <c r="G540" s="301"/>
      <c r="H540" s="301"/>
      <c r="I540" s="209"/>
    </row>
    <row r="541" spans="3:9" ht="13.45" x14ac:dyDescent="0.25">
      <c r="C541" s="18"/>
      <c r="D541" s="302"/>
      <c r="E541" s="299"/>
      <c r="F541" s="300"/>
      <c r="G541" s="301"/>
      <c r="H541" s="301"/>
      <c r="I541" s="209"/>
    </row>
    <row r="542" spans="3:9" ht="13.45" x14ac:dyDescent="0.25">
      <c r="C542" s="18"/>
      <c r="D542" s="302"/>
      <c r="E542" s="299"/>
      <c r="F542" s="300"/>
      <c r="G542" s="301"/>
      <c r="H542" s="301"/>
      <c r="I542" s="209"/>
    </row>
    <row r="543" spans="3:9" ht="13.45" x14ac:dyDescent="0.25">
      <c r="C543" s="18"/>
      <c r="D543" s="302"/>
      <c r="E543" s="299"/>
      <c r="F543" s="300"/>
      <c r="G543" s="301"/>
      <c r="H543" s="301"/>
      <c r="I543" s="209"/>
    </row>
    <row r="544" spans="3:9" ht="13.45" x14ac:dyDescent="0.25">
      <c r="C544" s="18"/>
      <c r="D544" s="302"/>
      <c r="E544" s="299"/>
      <c r="F544" s="300"/>
      <c r="G544" s="301"/>
      <c r="H544" s="301"/>
      <c r="I544" s="209"/>
    </row>
    <row r="545" spans="3:9" ht="13.45" x14ac:dyDescent="0.25">
      <c r="C545" s="18"/>
      <c r="D545" s="302"/>
      <c r="E545" s="299"/>
      <c r="F545" s="300"/>
      <c r="G545" s="301"/>
      <c r="H545" s="301"/>
      <c r="I545" s="209"/>
    </row>
    <row r="546" spans="3:9" ht="13.45" x14ac:dyDescent="0.25">
      <c r="C546" s="18"/>
      <c r="D546" s="302"/>
      <c r="E546" s="299"/>
      <c r="F546" s="300"/>
      <c r="G546" s="301"/>
      <c r="H546" s="301"/>
      <c r="I546" s="209"/>
    </row>
    <row r="547" spans="3:9" ht="13.45" x14ac:dyDescent="0.25">
      <c r="C547" s="18"/>
      <c r="D547" s="302"/>
      <c r="E547" s="299"/>
      <c r="F547" s="300"/>
      <c r="G547" s="301"/>
      <c r="H547" s="301"/>
      <c r="I547" s="209"/>
    </row>
    <row r="548" spans="3:9" ht="13.45" x14ac:dyDescent="0.25">
      <c r="C548" s="18"/>
      <c r="D548" s="302"/>
      <c r="E548" s="299"/>
      <c r="F548" s="300"/>
      <c r="G548" s="301"/>
      <c r="H548" s="301"/>
      <c r="I548" s="209"/>
    </row>
    <row r="549" spans="3:9" ht="13.45" x14ac:dyDescent="0.25">
      <c r="C549" s="18"/>
      <c r="D549" s="302"/>
      <c r="E549" s="299"/>
      <c r="F549" s="300"/>
      <c r="G549" s="301"/>
      <c r="H549" s="301"/>
      <c r="I549" s="209"/>
    </row>
    <row r="550" spans="3:9" ht="13.45" x14ac:dyDescent="0.25">
      <c r="C550" s="18"/>
      <c r="D550" s="302"/>
      <c r="E550" s="299"/>
      <c r="F550" s="300"/>
      <c r="G550" s="301"/>
      <c r="H550" s="301"/>
      <c r="I550" s="209"/>
    </row>
    <row r="551" spans="3:9" ht="13.45" x14ac:dyDescent="0.25">
      <c r="C551" s="18"/>
      <c r="D551" s="302"/>
      <c r="E551" s="299"/>
      <c r="F551" s="300"/>
      <c r="G551" s="301"/>
      <c r="H551" s="301"/>
      <c r="I551" s="209"/>
    </row>
    <row r="552" spans="3:9" ht="13.45" x14ac:dyDescent="0.25">
      <c r="C552" s="18"/>
      <c r="D552" s="302"/>
      <c r="E552" s="299"/>
      <c r="F552" s="300"/>
      <c r="G552" s="301"/>
      <c r="H552" s="301"/>
      <c r="I552" s="209"/>
    </row>
    <row r="553" spans="3:9" ht="13.45" x14ac:dyDescent="0.25">
      <c r="C553" s="18"/>
      <c r="D553" s="302"/>
      <c r="E553" s="299"/>
      <c r="F553" s="300"/>
      <c r="G553" s="301"/>
      <c r="H553" s="301"/>
      <c r="I553" s="209"/>
    </row>
    <row r="554" spans="3:9" ht="13.45" x14ac:dyDescent="0.25">
      <c r="C554" s="18"/>
      <c r="D554" s="302"/>
      <c r="E554" s="299"/>
      <c r="F554" s="300"/>
      <c r="G554" s="301"/>
      <c r="H554" s="301"/>
      <c r="I554" s="209"/>
    </row>
    <row r="555" spans="3:9" ht="13.45" x14ac:dyDescent="0.25">
      <c r="C555" s="18"/>
      <c r="D555" s="302"/>
      <c r="E555" s="299"/>
      <c r="F555" s="300"/>
      <c r="G555" s="301"/>
      <c r="H555" s="301"/>
      <c r="I555" s="209"/>
    </row>
    <row r="556" spans="3:9" ht="13.45" x14ac:dyDescent="0.25">
      <c r="C556" s="18"/>
      <c r="D556" s="302"/>
      <c r="E556" s="299"/>
      <c r="F556" s="300"/>
      <c r="G556" s="301"/>
      <c r="H556" s="301"/>
      <c r="I556" s="209"/>
    </row>
    <row r="557" spans="3:9" ht="13.45" x14ac:dyDescent="0.25">
      <c r="C557" s="18"/>
      <c r="D557" s="302"/>
      <c r="E557" s="299"/>
      <c r="F557" s="300"/>
      <c r="G557" s="301"/>
      <c r="H557" s="301"/>
      <c r="I557" s="209"/>
    </row>
    <row r="558" spans="3:9" ht="13.45" x14ac:dyDescent="0.25">
      <c r="C558" s="18"/>
      <c r="D558" s="302"/>
      <c r="E558" s="299"/>
      <c r="F558" s="300"/>
      <c r="G558" s="301"/>
      <c r="H558" s="301"/>
      <c r="I558" s="209"/>
    </row>
    <row r="559" spans="3:9" ht="13.45" x14ac:dyDescent="0.25">
      <c r="C559" s="18"/>
      <c r="D559" s="302"/>
      <c r="E559" s="299"/>
      <c r="F559" s="300"/>
      <c r="G559" s="301"/>
      <c r="H559" s="301"/>
      <c r="I559" s="209"/>
    </row>
    <row r="560" spans="3:9" ht="13.45" x14ac:dyDescent="0.25">
      <c r="C560" s="18"/>
      <c r="D560" s="302"/>
      <c r="E560" s="299"/>
      <c r="F560" s="300"/>
      <c r="G560" s="301"/>
      <c r="H560" s="301"/>
      <c r="I560" s="209"/>
    </row>
    <row r="561" spans="3:9" ht="13.45" x14ac:dyDescent="0.25">
      <c r="C561" s="18"/>
      <c r="D561" s="302"/>
      <c r="E561" s="299"/>
      <c r="F561" s="300"/>
      <c r="G561" s="301"/>
      <c r="H561" s="301"/>
      <c r="I561" s="209"/>
    </row>
    <row r="562" spans="3:9" ht="13.45" x14ac:dyDescent="0.25">
      <c r="C562" s="18"/>
      <c r="D562" s="302"/>
      <c r="E562" s="299"/>
      <c r="F562" s="300"/>
      <c r="G562" s="301"/>
      <c r="H562" s="301"/>
      <c r="I562" s="209"/>
    </row>
    <row r="563" spans="3:9" ht="13.45" x14ac:dyDescent="0.25">
      <c r="C563" s="18"/>
      <c r="D563" s="302"/>
      <c r="E563" s="299"/>
      <c r="F563" s="300"/>
      <c r="G563" s="301"/>
      <c r="H563" s="301"/>
      <c r="I563" s="209"/>
    </row>
    <row r="564" spans="3:9" ht="13.45" x14ac:dyDescent="0.25">
      <c r="C564" s="18"/>
      <c r="D564" s="302"/>
      <c r="E564" s="299"/>
      <c r="F564" s="300"/>
      <c r="G564" s="301"/>
      <c r="H564" s="301"/>
      <c r="I564" s="209"/>
    </row>
    <row r="565" spans="3:9" ht="13.45" x14ac:dyDescent="0.25">
      <c r="C565" s="18"/>
      <c r="D565" s="302"/>
      <c r="E565" s="299"/>
      <c r="F565" s="300"/>
      <c r="G565" s="301"/>
      <c r="H565" s="301"/>
      <c r="I565" s="209"/>
    </row>
    <row r="566" spans="3:9" ht="13.45" x14ac:dyDescent="0.25">
      <c r="C566" s="18"/>
      <c r="D566" s="302"/>
      <c r="E566" s="299"/>
      <c r="F566" s="300"/>
      <c r="G566" s="301"/>
      <c r="H566" s="301"/>
      <c r="I566" s="209"/>
    </row>
    <row r="567" spans="3:9" ht="13.45" x14ac:dyDescent="0.25">
      <c r="C567" s="18"/>
      <c r="D567" s="302"/>
      <c r="E567" s="299"/>
      <c r="F567" s="300"/>
      <c r="G567" s="301"/>
      <c r="H567" s="301"/>
      <c r="I567" s="209"/>
    </row>
    <row r="568" spans="3:9" ht="13.45" x14ac:dyDescent="0.25">
      <c r="C568" s="18"/>
      <c r="D568" s="302"/>
      <c r="E568" s="299"/>
      <c r="F568" s="300"/>
      <c r="G568" s="301"/>
      <c r="H568" s="301"/>
      <c r="I568" s="209"/>
    </row>
    <row r="569" spans="3:9" ht="13.45" x14ac:dyDescent="0.25">
      <c r="C569" s="18"/>
      <c r="D569" s="302"/>
      <c r="E569" s="299"/>
      <c r="F569" s="300"/>
      <c r="G569" s="301"/>
      <c r="H569" s="301"/>
      <c r="I569" s="209"/>
    </row>
    <row r="570" spans="3:9" ht="13.45" x14ac:dyDescent="0.25">
      <c r="C570" s="18"/>
      <c r="D570" s="302"/>
      <c r="E570" s="299"/>
      <c r="F570" s="300"/>
      <c r="G570" s="301"/>
      <c r="H570" s="301"/>
      <c r="I570" s="209"/>
    </row>
    <row r="571" spans="3:9" ht="13.45" x14ac:dyDescent="0.25">
      <c r="C571" s="18"/>
      <c r="D571" s="302"/>
      <c r="E571" s="299"/>
      <c r="F571" s="300"/>
      <c r="G571" s="301"/>
      <c r="H571" s="301"/>
      <c r="I571" s="209"/>
    </row>
    <row r="572" spans="3:9" ht="13.45" x14ac:dyDescent="0.25">
      <c r="C572" s="18"/>
      <c r="D572" s="302"/>
      <c r="E572" s="299"/>
      <c r="F572" s="300"/>
      <c r="G572" s="301"/>
      <c r="H572" s="301"/>
      <c r="I572" s="209"/>
    </row>
    <row r="573" spans="3:9" ht="13.45" x14ac:dyDescent="0.25">
      <c r="C573" s="18"/>
      <c r="D573" s="302"/>
      <c r="E573" s="299"/>
      <c r="F573" s="300"/>
      <c r="G573" s="301"/>
      <c r="H573" s="301"/>
      <c r="I573" s="209"/>
    </row>
    <row r="574" spans="3:9" ht="13.45" x14ac:dyDescent="0.25">
      <c r="C574" s="18"/>
      <c r="D574" s="302"/>
      <c r="E574" s="299"/>
      <c r="F574" s="300"/>
      <c r="G574" s="301"/>
      <c r="H574" s="301"/>
      <c r="I574" s="209"/>
    </row>
    <row r="575" spans="3:9" ht="13.45" x14ac:dyDescent="0.25">
      <c r="C575" s="18"/>
      <c r="D575" s="302"/>
      <c r="E575" s="299"/>
      <c r="F575" s="300"/>
      <c r="G575" s="301"/>
      <c r="H575" s="301"/>
      <c r="I575" s="209"/>
    </row>
    <row r="576" spans="3:9" ht="13.45" x14ac:dyDescent="0.25">
      <c r="C576" s="18"/>
      <c r="D576" s="302"/>
      <c r="E576" s="299"/>
      <c r="F576" s="300"/>
      <c r="G576" s="301"/>
      <c r="H576" s="301"/>
      <c r="I576" s="209"/>
    </row>
    <row r="577" spans="3:9" ht="13.45" x14ac:dyDescent="0.25">
      <c r="C577" s="18"/>
      <c r="D577" s="302"/>
      <c r="E577" s="299"/>
      <c r="F577" s="300"/>
      <c r="G577" s="301"/>
      <c r="H577" s="301"/>
      <c r="I577" s="209"/>
    </row>
    <row r="578" spans="3:9" ht="13.45" x14ac:dyDescent="0.25">
      <c r="C578" s="18"/>
      <c r="D578" s="302"/>
      <c r="E578" s="299"/>
      <c r="F578" s="300"/>
      <c r="G578" s="301"/>
      <c r="H578" s="301"/>
      <c r="I578" s="209"/>
    </row>
    <row r="579" spans="3:9" ht="13.45" x14ac:dyDescent="0.25">
      <c r="C579" s="18"/>
      <c r="D579" s="302"/>
      <c r="E579" s="299"/>
      <c r="F579" s="300"/>
      <c r="G579" s="301"/>
      <c r="H579" s="301"/>
      <c r="I579" s="209"/>
    </row>
    <row r="580" spans="3:9" ht="13.45" x14ac:dyDescent="0.25">
      <c r="C580" s="18"/>
      <c r="D580" s="302"/>
      <c r="E580" s="299"/>
      <c r="F580" s="300"/>
      <c r="G580" s="301"/>
      <c r="H580" s="301"/>
      <c r="I580" s="209"/>
    </row>
    <row r="581" spans="3:9" ht="13.45" x14ac:dyDescent="0.25">
      <c r="C581" s="18"/>
      <c r="D581" s="302"/>
      <c r="E581" s="299"/>
      <c r="F581" s="300"/>
      <c r="G581" s="301"/>
      <c r="H581" s="301"/>
      <c r="I581" s="209"/>
    </row>
    <row r="582" spans="3:9" ht="13.45" x14ac:dyDescent="0.25">
      <c r="C582" s="18"/>
      <c r="D582" s="302"/>
      <c r="E582" s="299"/>
      <c r="F582" s="300"/>
      <c r="G582" s="301"/>
      <c r="H582" s="301"/>
      <c r="I582" s="209"/>
    </row>
    <row r="583" spans="3:9" ht="13.45" x14ac:dyDescent="0.25">
      <c r="C583" s="18"/>
      <c r="D583" s="302"/>
      <c r="E583" s="299"/>
      <c r="F583" s="300"/>
      <c r="G583" s="301"/>
      <c r="H583" s="301"/>
      <c r="I583" s="209"/>
    </row>
    <row r="584" spans="3:9" ht="13.45" x14ac:dyDescent="0.25">
      <c r="C584" s="18"/>
      <c r="D584" s="302"/>
      <c r="E584" s="299"/>
      <c r="F584" s="300"/>
      <c r="G584" s="301"/>
      <c r="H584" s="301"/>
      <c r="I584" s="209"/>
    </row>
    <row r="585" spans="3:9" ht="13.45" x14ac:dyDescent="0.25">
      <c r="C585" s="18"/>
      <c r="D585" s="302"/>
      <c r="E585" s="299"/>
      <c r="F585" s="300"/>
      <c r="G585" s="301"/>
      <c r="H585" s="301"/>
      <c r="I585" s="209"/>
    </row>
    <row r="586" spans="3:9" ht="13.45" x14ac:dyDescent="0.25">
      <c r="C586" s="18"/>
      <c r="D586" s="302"/>
      <c r="E586" s="299"/>
      <c r="F586" s="300"/>
      <c r="G586" s="301"/>
      <c r="H586" s="301"/>
      <c r="I586" s="209"/>
    </row>
    <row r="587" spans="3:9" ht="13.45" x14ac:dyDescent="0.25">
      <c r="C587" s="18"/>
      <c r="D587" s="302"/>
      <c r="E587" s="299"/>
      <c r="F587" s="300"/>
      <c r="G587" s="301"/>
      <c r="H587" s="301"/>
      <c r="I587" s="209"/>
    </row>
    <row r="588" spans="3:9" ht="13.45" x14ac:dyDescent="0.25">
      <c r="C588" s="18"/>
      <c r="D588" s="302"/>
      <c r="E588" s="299"/>
      <c r="F588" s="300"/>
      <c r="G588" s="301"/>
      <c r="H588" s="301"/>
      <c r="I588" s="209"/>
    </row>
    <row r="589" spans="3:9" ht="13.45" x14ac:dyDescent="0.25">
      <c r="C589" s="18"/>
      <c r="D589" s="302"/>
      <c r="E589" s="299"/>
      <c r="F589" s="300"/>
      <c r="G589" s="301"/>
      <c r="H589" s="301"/>
      <c r="I589" s="209"/>
    </row>
    <row r="590" spans="3:9" ht="13.45" x14ac:dyDescent="0.25">
      <c r="C590" s="18"/>
      <c r="D590" s="302"/>
      <c r="E590" s="299"/>
      <c r="F590" s="300"/>
      <c r="G590" s="301"/>
      <c r="H590" s="301"/>
      <c r="I590" s="209"/>
    </row>
    <row r="591" spans="3:9" ht="13.45" x14ac:dyDescent="0.25">
      <c r="C591" s="18"/>
      <c r="D591" s="302"/>
      <c r="E591" s="299"/>
      <c r="F591" s="300"/>
      <c r="G591" s="301"/>
      <c r="H591" s="301"/>
      <c r="I591" s="209"/>
    </row>
    <row r="592" spans="3:9" ht="13.45" x14ac:dyDescent="0.25">
      <c r="C592" s="18"/>
      <c r="D592" s="302"/>
      <c r="E592" s="299"/>
      <c r="F592" s="300"/>
      <c r="G592" s="301"/>
      <c r="H592" s="301"/>
      <c r="I592" s="209"/>
    </row>
    <row r="593" spans="3:9" ht="13.45" x14ac:dyDescent="0.25">
      <c r="C593" s="18"/>
      <c r="D593" s="302"/>
      <c r="E593" s="299"/>
      <c r="F593" s="300"/>
      <c r="G593" s="301"/>
      <c r="H593" s="301"/>
      <c r="I593" s="209"/>
    </row>
    <row r="594" spans="3:9" ht="13.45" x14ac:dyDescent="0.25">
      <c r="C594" s="18"/>
      <c r="D594" s="302"/>
      <c r="E594" s="299"/>
      <c r="F594" s="300"/>
      <c r="G594" s="301"/>
      <c r="H594" s="301"/>
      <c r="I594" s="209"/>
    </row>
    <row r="595" spans="3:9" ht="13.45" x14ac:dyDescent="0.25">
      <c r="C595" s="18"/>
      <c r="D595" s="302"/>
      <c r="E595" s="299"/>
      <c r="F595" s="300"/>
      <c r="G595" s="301"/>
      <c r="H595" s="301"/>
      <c r="I595" s="209"/>
    </row>
    <row r="596" spans="3:9" ht="13.45" x14ac:dyDescent="0.25">
      <c r="C596" s="18"/>
      <c r="D596" s="302"/>
      <c r="E596" s="299"/>
      <c r="F596" s="300"/>
      <c r="G596" s="301"/>
      <c r="H596" s="301"/>
      <c r="I596" s="209"/>
    </row>
    <row r="597" spans="3:9" ht="13.45" x14ac:dyDescent="0.25">
      <c r="C597" s="18"/>
      <c r="D597" s="302"/>
      <c r="E597" s="299"/>
      <c r="F597" s="300"/>
      <c r="G597" s="301"/>
      <c r="H597" s="301"/>
      <c r="I597" s="209"/>
    </row>
    <row r="598" spans="3:9" ht="13.45" x14ac:dyDescent="0.25">
      <c r="C598" s="18"/>
      <c r="D598" s="302"/>
      <c r="E598" s="299"/>
      <c r="F598" s="300"/>
      <c r="G598" s="301"/>
      <c r="H598" s="301"/>
      <c r="I598" s="209"/>
    </row>
    <row r="599" spans="3:9" ht="13.45" x14ac:dyDescent="0.25">
      <c r="C599" s="18"/>
      <c r="D599" s="302"/>
      <c r="E599" s="299"/>
      <c r="F599" s="300"/>
      <c r="G599" s="301"/>
      <c r="H599" s="301"/>
      <c r="I599" s="209"/>
    </row>
    <row r="600" spans="3:9" ht="13.45" x14ac:dyDescent="0.25">
      <c r="C600" s="18"/>
      <c r="D600" s="302"/>
      <c r="E600" s="299"/>
      <c r="F600" s="300"/>
      <c r="G600" s="301"/>
      <c r="H600" s="301"/>
      <c r="I600" s="209"/>
    </row>
    <row r="601" spans="3:9" ht="13.45" x14ac:dyDescent="0.25">
      <c r="C601" s="18"/>
      <c r="D601" s="302"/>
      <c r="E601" s="299"/>
      <c r="F601" s="300"/>
      <c r="G601" s="301"/>
      <c r="H601" s="301"/>
      <c r="I601" s="209"/>
    </row>
    <row r="602" spans="3:9" ht="13.45" x14ac:dyDescent="0.25">
      <c r="C602" s="18"/>
      <c r="D602" s="302"/>
      <c r="E602" s="299"/>
      <c r="F602" s="300"/>
      <c r="G602" s="301"/>
      <c r="H602" s="301"/>
      <c r="I602" s="209"/>
    </row>
    <row r="603" spans="3:9" ht="13.45" x14ac:dyDescent="0.25">
      <c r="C603" s="18"/>
      <c r="D603" s="302"/>
      <c r="E603" s="299"/>
      <c r="F603" s="300"/>
      <c r="G603" s="301"/>
      <c r="H603" s="301"/>
      <c r="I603" s="209"/>
    </row>
    <row r="604" spans="3:9" ht="13.45" x14ac:dyDescent="0.25">
      <c r="C604" s="18"/>
      <c r="D604" s="302"/>
      <c r="E604" s="299"/>
      <c r="F604" s="300"/>
      <c r="G604" s="301"/>
      <c r="H604" s="301"/>
      <c r="I604" s="209"/>
    </row>
    <row r="605" spans="3:9" ht="13.45" x14ac:dyDescent="0.25">
      <c r="C605" s="18"/>
      <c r="D605" s="302"/>
      <c r="E605" s="299"/>
      <c r="F605" s="300"/>
      <c r="G605" s="301"/>
      <c r="H605" s="301"/>
      <c r="I605" s="209"/>
    </row>
    <row r="606" spans="3:9" ht="13.45" x14ac:dyDescent="0.25">
      <c r="C606" s="18"/>
      <c r="D606" s="302"/>
      <c r="E606" s="299"/>
      <c r="F606" s="300"/>
      <c r="G606" s="301"/>
      <c r="H606" s="301"/>
      <c r="I606" s="209"/>
    </row>
    <row r="607" spans="3:9" ht="13.45" x14ac:dyDescent="0.25">
      <c r="C607" s="18"/>
      <c r="D607" s="302"/>
      <c r="E607" s="299"/>
      <c r="F607" s="300"/>
      <c r="G607" s="301"/>
      <c r="H607" s="301"/>
      <c r="I607" s="209"/>
    </row>
    <row r="608" spans="3:9" ht="13.45" x14ac:dyDescent="0.25">
      <c r="C608" s="18"/>
      <c r="D608" s="302"/>
      <c r="E608" s="299"/>
      <c r="F608" s="300"/>
      <c r="G608" s="301"/>
      <c r="H608" s="301"/>
      <c r="I608" s="209"/>
    </row>
    <row r="609" spans="3:9" ht="13.45" x14ac:dyDescent="0.25">
      <c r="C609" s="18"/>
      <c r="D609" s="302"/>
      <c r="E609" s="299"/>
      <c r="F609" s="300"/>
      <c r="G609" s="301"/>
      <c r="H609" s="301"/>
      <c r="I609" s="209"/>
    </row>
    <row r="610" spans="3:9" ht="13.45" x14ac:dyDescent="0.25">
      <c r="C610" s="18"/>
      <c r="D610" s="302"/>
      <c r="E610" s="299"/>
      <c r="F610" s="300"/>
      <c r="G610" s="301"/>
      <c r="H610" s="301"/>
      <c r="I610" s="209"/>
    </row>
    <row r="611" spans="3:9" ht="13.45" x14ac:dyDescent="0.25">
      <c r="C611" s="18"/>
      <c r="D611" s="302"/>
      <c r="E611" s="299"/>
      <c r="F611" s="300"/>
      <c r="G611" s="301"/>
      <c r="H611" s="301"/>
      <c r="I611" s="209"/>
    </row>
    <row r="612" spans="3:9" ht="13.45" x14ac:dyDescent="0.25">
      <c r="C612" s="18"/>
      <c r="D612" s="302"/>
      <c r="E612" s="299"/>
      <c r="F612" s="300"/>
      <c r="G612" s="301"/>
      <c r="H612" s="301"/>
      <c r="I612" s="209"/>
    </row>
    <row r="613" spans="3:9" ht="13.45" x14ac:dyDescent="0.25">
      <c r="C613" s="18"/>
      <c r="D613" s="302"/>
      <c r="E613" s="299"/>
      <c r="F613" s="300"/>
      <c r="G613" s="301"/>
      <c r="H613" s="301"/>
      <c r="I613" s="209"/>
    </row>
    <row r="614" spans="3:9" ht="13.45" x14ac:dyDescent="0.25">
      <c r="C614" s="18"/>
      <c r="D614" s="302"/>
      <c r="E614" s="299"/>
      <c r="F614" s="300"/>
      <c r="G614" s="301"/>
      <c r="H614" s="301"/>
      <c r="I614" s="209"/>
    </row>
    <row r="615" spans="3:9" ht="13.45" x14ac:dyDescent="0.25">
      <c r="C615" s="18"/>
      <c r="D615" s="302"/>
      <c r="E615" s="299"/>
      <c r="F615" s="300"/>
      <c r="G615" s="301"/>
      <c r="H615" s="301"/>
      <c r="I615" s="209"/>
    </row>
    <row r="616" spans="3:9" ht="13.45" x14ac:dyDescent="0.25">
      <c r="C616" s="18"/>
      <c r="D616" s="302"/>
      <c r="E616" s="299"/>
      <c r="F616" s="300"/>
      <c r="G616" s="301"/>
      <c r="H616" s="301"/>
      <c r="I616" s="209"/>
    </row>
    <row r="617" spans="3:9" ht="13.45" x14ac:dyDescent="0.25">
      <c r="C617" s="18"/>
      <c r="D617" s="302"/>
      <c r="E617" s="299"/>
      <c r="F617" s="300"/>
      <c r="G617" s="301"/>
      <c r="H617" s="301"/>
      <c r="I617" s="209"/>
    </row>
    <row r="618" spans="3:9" ht="13.45" x14ac:dyDescent="0.25">
      <c r="C618" s="18"/>
      <c r="D618" s="302"/>
      <c r="E618" s="299"/>
      <c r="F618" s="300"/>
      <c r="G618" s="301"/>
      <c r="H618" s="301"/>
      <c r="I618" s="209"/>
    </row>
    <row r="619" spans="3:9" ht="13.45" x14ac:dyDescent="0.25">
      <c r="C619" s="18"/>
      <c r="D619" s="302"/>
      <c r="E619" s="299"/>
      <c r="F619" s="300"/>
      <c r="G619" s="301"/>
      <c r="H619" s="301"/>
      <c r="I619" s="209"/>
    </row>
    <row r="620" spans="3:9" ht="13.45" x14ac:dyDescent="0.25">
      <c r="C620" s="18"/>
      <c r="D620" s="302"/>
      <c r="E620" s="299"/>
      <c r="F620" s="300"/>
      <c r="G620" s="301"/>
      <c r="H620" s="301"/>
      <c r="I620" s="209"/>
    </row>
    <row r="621" spans="3:9" ht="13.45" x14ac:dyDescent="0.25">
      <c r="C621" s="18"/>
      <c r="D621" s="302"/>
      <c r="E621" s="299"/>
      <c r="F621" s="300"/>
      <c r="G621" s="301"/>
      <c r="H621" s="301"/>
      <c r="I621" s="209"/>
    </row>
    <row r="622" spans="3:9" ht="13.45" x14ac:dyDescent="0.25">
      <c r="C622" s="18"/>
      <c r="D622" s="302"/>
      <c r="E622" s="299"/>
      <c r="F622" s="300"/>
      <c r="G622" s="301"/>
      <c r="H622" s="301"/>
      <c r="I622" s="209"/>
    </row>
    <row r="623" spans="3:9" ht="13.45" x14ac:dyDescent="0.25">
      <c r="C623" s="18"/>
      <c r="D623" s="302"/>
      <c r="E623" s="299"/>
      <c r="F623" s="300"/>
      <c r="G623" s="301"/>
      <c r="H623" s="301"/>
      <c r="I623" s="209"/>
    </row>
    <row r="624" spans="3:9" ht="13.45" x14ac:dyDescent="0.25">
      <c r="C624" s="18"/>
      <c r="D624" s="302"/>
      <c r="E624" s="299"/>
      <c r="F624" s="300"/>
      <c r="G624" s="301"/>
      <c r="H624" s="301"/>
      <c r="I624" s="209"/>
    </row>
    <row r="625" spans="3:9" ht="13.45" x14ac:dyDescent="0.25">
      <c r="C625" s="18"/>
      <c r="D625" s="302"/>
      <c r="E625" s="299"/>
      <c r="F625" s="300"/>
      <c r="G625" s="301"/>
      <c r="H625" s="301"/>
      <c r="I625" s="209"/>
    </row>
    <row r="626" spans="3:9" ht="13.45" x14ac:dyDescent="0.25">
      <c r="C626" s="18"/>
      <c r="D626" s="302"/>
      <c r="E626" s="299"/>
      <c r="F626" s="300"/>
      <c r="G626" s="301"/>
      <c r="H626" s="301"/>
      <c r="I626" s="209"/>
    </row>
    <row r="627" spans="3:9" ht="13.45" x14ac:dyDescent="0.25">
      <c r="C627" s="18"/>
      <c r="D627" s="302"/>
      <c r="E627" s="299"/>
      <c r="F627" s="300"/>
      <c r="G627" s="301"/>
      <c r="H627" s="301"/>
      <c r="I627" s="209"/>
    </row>
    <row r="628" spans="3:9" ht="13.45" x14ac:dyDescent="0.25">
      <c r="C628" s="18"/>
      <c r="D628" s="302"/>
      <c r="E628" s="299"/>
      <c r="F628" s="300"/>
      <c r="G628" s="301"/>
      <c r="H628" s="301"/>
      <c r="I628" s="209"/>
    </row>
    <row r="629" spans="3:9" ht="13.45" x14ac:dyDescent="0.25">
      <c r="C629" s="18"/>
      <c r="D629" s="302"/>
      <c r="E629" s="299"/>
      <c r="F629" s="300"/>
      <c r="G629" s="301"/>
      <c r="H629" s="301"/>
      <c r="I629" s="209"/>
    </row>
    <row r="630" spans="3:9" ht="13.45" x14ac:dyDescent="0.25">
      <c r="C630" s="18"/>
      <c r="D630" s="302"/>
      <c r="E630" s="299"/>
      <c r="F630" s="300"/>
      <c r="G630" s="301"/>
      <c r="H630" s="301"/>
      <c r="I630" s="209"/>
    </row>
    <row r="631" spans="3:9" ht="13.45" x14ac:dyDescent="0.25">
      <c r="C631" s="18"/>
      <c r="D631" s="302"/>
      <c r="E631" s="299"/>
      <c r="F631" s="300"/>
      <c r="G631" s="301"/>
      <c r="H631" s="301"/>
      <c r="I631" s="209"/>
    </row>
    <row r="632" spans="3:9" ht="13.45" x14ac:dyDescent="0.25">
      <c r="C632" s="18"/>
      <c r="D632" s="302"/>
      <c r="E632" s="299"/>
      <c r="F632" s="300"/>
      <c r="G632" s="301"/>
      <c r="H632" s="301"/>
      <c r="I632" s="209"/>
    </row>
    <row r="633" spans="3:9" ht="13.45" x14ac:dyDescent="0.25">
      <c r="C633" s="18"/>
      <c r="D633" s="302"/>
      <c r="E633" s="299"/>
      <c r="F633" s="300"/>
      <c r="G633" s="301"/>
      <c r="H633" s="301"/>
      <c r="I633" s="209"/>
    </row>
    <row r="634" spans="3:9" ht="13.45" x14ac:dyDescent="0.25">
      <c r="C634" s="18"/>
      <c r="D634" s="302"/>
      <c r="E634" s="299"/>
      <c r="F634" s="300"/>
      <c r="G634" s="301"/>
      <c r="H634" s="301"/>
      <c r="I634" s="209"/>
    </row>
    <row r="635" spans="3:9" ht="13.45" x14ac:dyDescent="0.25">
      <c r="C635" s="18"/>
      <c r="D635" s="302"/>
      <c r="E635" s="299"/>
      <c r="F635" s="300"/>
      <c r="G635" s="301"/>
      <c r="H635" s="301"/>
      <c r="I635" s="209"/>
    </row>
    <row r="636" spans="3:9" ht="13.45" x14ac:dyDescent="0.25">
      <c r="C636" s="18"/>
      <c r="D636" s="302"/>
      <c r="E636" s="299"/>
      <c r="F636" s="300"/>
      <c r="G636" s="301"/>
      <c r="H636" s="301"/>
      <c r="I636" s="209"/>
    </row>
    <row r="637" spans="3:9" ht="13.45" x14ac:dyDescent="0.25">
      <c r="C637" s="18"/>
      <c r="D637" s="302"/>
      <c r="E637" s="299"/>
      <c r="F637" s="300"/>
      <c r="G637" s="301"/>
      <c r="H637" s="301"/>
      <c r="I637" s="209"/>
    </row>
    <row r="638" spans="3:9" ht="13.45" x14ac:dyDescent="0.25">
      <c r="C638" s="18"/>
      <c r="D638" s="302"/>
      <c r="E638" s="299"/>
      <c r="F638" s="300"/>
      <c r="G638" s="301"/>
      <c r="H638" s="301"/>
      <c r="I638" s="209"/>
    </row>
    <row r="639" spans="3:9" ht="13.45" x14ac:dyDescent="0.25">
      <c r="C639" s="18"/>
      <c r="D639" s="302"/>
      <c r="E639" s="299"/>
      <c r="F639" s="300"/>
      <c r="G639" s="301"/>
      <c r="H639" s="301"/>
      <c r="I639" s="209"/>
    </row>
    <row r="640" spans="3:9" ht="13.45" x14ac:dyDescent="0.25">
      <c r="C640" s="18"/>
      <c r="D640" s="302"/>
      <c r="E640" s="299"/>
      <c r="F640" s="300"/>
      <c r="G640" s="301"/>
      <c r="H640" s="301"/>
      <c r="I640" s="209"/>
    </row>
    <row r="641" spans="3:9" ht="13.45" x14ac:dyDescent="0.25">
      <c r="C641" s="18"/>
      <c r="D641" s="302"/>
      <c r="E641" s="299"/>
      <c r="F641" s="300"/>
      <c r="G641" s="301"/>
      <c r="H641" s="301"/>
      <c r="I641" s="209"/>
    </row>
    <row r="642" spans="3:9" ht="13.45" x14ac:dyDescent="0.25">
      <c r="C642" s="18"/>
      <c r="D642" s="302"/>
      <c r="E642" s="299"/>
      <c r="F642" s="300"/>
      <c r="G642" s="301"/>
      <c r="H642" s="301"/>
      <c r="I642" s="209"/>
    </row>
    <row r="643" spans="3:9" ht="13.45" x14ac:dyDescent="0.25">
      <c r="C643" s="18"/>
      <c r="D643" s="302"/>
      <c r="E643" s="299"/>
      <c r="F643" s="300"/>
      <c r="G643" s="301"/>
      <c r="H643" s="301"/>
      <c r="I643" s="209"/>
    </row>
    <row r="644" spans="3:9" ht="13.45" x14ac:dyDescent="0.25">
      <c r="C644" s="18"/>
      <c r="D644" s="302"/>
      <c r="E644" s="299"/>
      <c r="F644" s="300"/>
      <c r="G644" s="301"/>
      <c r="H644" s="301"/>
      <c r="I644" s="209"/>
    </row>
    <row r="645" spans="3:9" ht="13.45" x14ac:dyDescent="0.25">
      <c r="C645" s="18"/>
      <c r="D645" s="302"/>
      <c r="E645" s="299"/>
      <c r="F645" s="300"/>
      <c r="G645" s="301"/>
      <c r="H645" s="301"/>
      <c r="I645" s="209"/>
    </row>
    <row r="646" spans="3:9" ht="13.45" x14ac:dyDescent="0.25">
      <c r="C646" s="18"/>
      <c r="D646" s="302"/>
      <c r="E646" s="299"/>
      <c r="F646" s="300"/>
      <c r="G646" s="301"/>
      <c r="H646" s="301"/>
      <c r="I646" s="209"/>
    </row>
    <row r="647" spans="3:9" ht="13.45" x14ac:dyDescent="0.25">
      <c r="C647" s="18"/>
      <c r="D647" s="302"/>
      <c r="E647" s="299"/>
      <c r="F647" s="300"/>
      <c r="G647" s="301"/>
      <c r="H647" s="301"/>
      <c r="I647" s="209"/>
    </row>
    <row r="648" spans="3:9" ht="13.45" x14ac:dyDescent="0.25">
      <c r="C648" s="18"/>
      <c r="D648" s="302"/>
      <c r="E648" s="299"/>
      <c r="F648" s="300"/>
      <c r="G648" s="301"/>
      <c r="H648" s="301"/>
      <c r="I648" s="209"/>
    </row>
    <row r="649" spans="3:9" ht="13.45" x14ac:dyDescent="0.25">
      <c r="C649" s="18"/>
      <c r="D649" s="302"/>
      <c r="E649" s="299"/>
      <c r="F649" s="300"/>
      <c r="G649" s="301"/>
      <c r="H649" s="301"/>
      <c r="I649" s="209"/>
    </row>
    <row r="650" spans="3:9" ht="13.45" x14ac:dyDescent="0.25">
      <c r="C650" s="18"/>
      <c r="D650" s="302"/>
      <c r="E650" s="299"/>
      <c r="F650" s="300"/>
      <c r="G650" s="301"/>
      <c r="H650" s="301"/>
      <c r="I650" s="209"/>
    </row>
    <row r="651" spans="3:9" ht="13.45" x14ac:dyDescent="0.25">
      <c r="C651" s="18"/>
      <c r="D651" s="302"/>
      <c r="E651" s="299"/>
      <c r="F651" s="300"/>
      <c r="G651" s="301"/>
      <c r="H651" s="301"/>
      <c r="I651" s="209"/>
    </row>
    <row r="652" spans="3:9" ht="13.45" x14ac:dyDescent="0.25">
      <c r="C652" s="18"/>
      <c r="D652" s="302"/>
      <c r="E652" s="299"/>
      <c r="F652" s="300"/>
      <c r="G652" s="301"/>
      <c r="H652" s="301"/>
      <c r="I652" s="209"/>
    </row>
    <row r="653" spans="3:9" ht="13.45" x14ac:dyDescent="0.25">
      <c r="C653" s="18"/>
      <c r="D653" s="302"/>
      <c r="E653" s="299"/>
      <c r="F653" s="300"/>
      <c r="G653" s="301"/>
      <c r="H653" s="301"/>
      <c r="I653" s="209"/>
    </row>
    <row r="654" spans="3:9" ht="13.45" x14ac:dyDescent="0.25">
      <c r="C654" s="18"/>
      <c r="D654" s="302"/>
      <c r="E654" s="299"/>
      <c r="F654" s="300"/>
      <c r="G654" s="301"/>
      <c r="H654" s="301"/>
      <c r="I654" s="209"/>
    </row>
    <row r="655" spans="3:9" ht="13.45" x14ac:dyDescent="0.25">
      <c r="C655" s="18"/>
      <c r="D655" s="302"/>
      <c r="E655" s="299"/>
      <c r="F655" s="300"/>
      <c r="G655" s="301"/>
      <c r="H655" s="301"/>
      <c r="I655" s="209"/>
    </row>
    <row r="656" spans="3:9" ht="13.45" x14ac:dyDescent="0.25">
      <c r="C656" s="18"/>
      <c r="D656" s="302"/>
      <c r="E656" s="299"/>
      <c r="F656" s="300"/>
      <c r="G656" s="301"/>
      <c r="H656" s="301"/>
      <c r="I656" s="209"/>
    </row>
    <row r="657" spans="3:9" ht="13.45" x14ac:dyDescent="0.25">
      <c r="C657" s="18"/>
      <c r="D657" s="302"/>
      <c r="E657" s="299"/>
      <c r="F657" s="300"/>
      <c r="G657" s="301"/>
      <c r="H657" s="301"/>
      <c r="I657" s="209"/>
    </row>
    <row r="658" spans="3:9" ht="13.45" x14ac:dyDescent="0.25">
      <c r="C658" s="18"/>
      <c r="D658" s="302"/>
      <c r="E658" s="299"/>
      <c r="F658" s="300"/>
      <c r="G658" s="301"/>
      <c r="H658" s="301"/>
      <c r="I658" s="209"/>
    </row>
    <row r="659" spans="3:9" ht="13.45" x14ac:dyDescent="0.25">
      <c r="C659" s="18"/>
      <c r="D659" s="302"/>
      <c r="E659" s="299"/>
      <c r="F659" s="300"/>
      <c r="G659" s="301"/>
      <c r="H659" s="301"/>
      <c r="I659" s="209"/>
    </row>
    <row r="660" spans="3:9" ht="13.45" x14ac:dyDescent="0.25">
      <c r="C660" s="18"/>
      <c r="D660" s="302"/>
      <c r="E660" s="299"/>
      <c r="F660" s="300"/>
      <c r="G660" s="301"/>
      <c r="H660" s="301"/>
      <c r="I660" s="209"/>
    </row>
    <row r="661" spans="3:9" ht="13.45" x14ac:dyDescent="0.25">
      <c r="C661" s="18"/>
      <c r="D661" s="302"/>
      <c r="E661" s="299"/>
      <c r="F661" s="300"/>
      <c r="G661" s="301"/>
      <c r="H661" s="301"/>
      <c r="I661" s="209"/>
    </row>
    <row r="662" spans="3:9" ht="13.45" x14ac:dyDescent="0.25">
      <c r="C662" s="18"/>
      <c r="D662" s="302"/>
      <c r="E662" s="299"/>
      <c r="F662" s="300"/>
      <c r="G662" s="301"/>
      <c r="H662" s="301"/>
      <c r="I662" s="209"/>
    </row>
    <row r="663" spans="3:9" ht="13.45" x14ac:dyDescent="0.25">
      <c r="C663" s="18"/>
      <c r="D663" s="302"/>
      <c r="E663" s="299"/>
      <c r="F663" s="300"/>
      <c r="G663" s="301"/>
      <c r="H663" s="301"/>
      <c r="I663" s="209"/>
    </row>
    <row r="664" spans="3:9" ht="13.45" x14ac:dyDescent="0.25">
      <c r="C664" s="18"/>
      <c r="D664" s="302"/>
      <c r="E664" s="299"/>
      <c r="F664" s="300"/>
      <c r="G664" s="301"/>
      <c r="H664" s="301"/>
      <c r="I664" s="209"/>
    </row>
    <row r="665" spans="3:9" ht="13.45" x14ac:dyDescent="0.25">
      <c r="C665" s="18"/>
      <c r="D665" s="302"/>
      <c r="E665" s="299"/>
      <c r="F665" s="300"/>
      <c r="G665" s="301"/>
      <c r="H665" s="301"/>
      <c r="I665" s="209"/>
    </row>
    <row r="666" spans="3:9" ht="13.45" x14ac:dyDescent="0.25">
      <c r="C666" s="18"/>
      <c r="D666" s="302"/>
      <c r="E666" s="299"/>
      <c r="F666" s="300"/>
      <c r="G666" s="301"/>
      <c r="H666" s="301"/>
      <c r="I666" s="209"/>
    </row>
    <row r="667" spans="3:9" ht="13.45" x14ac:dyDescent="0.25">
      <c r="C667" s="18"/>
      <c r="D667" s="302"/>
      <c r="E667" s="299"/>
      <c r="F667" s="300"/>
      <c r="G667" s="301"/>
      <c r="H667" s="301"/>
      <c r="I667" s="209"/>
    </row>
    <row r="668" spans="3:9" ht="13.45" x14ac:dyDescent="0.25">
      <c r="C668" s="18"/>
      <c r="D668" s="302"/>
      <c r="E668" s="299"/>
      <c r="F668" s="300"/>
      <c r="G668" s="301"/>
      <c r="H668" s="301"/>
      <c r="I668" s="209"/>
    </row>
    <row r="669" spans="3:9" ht="13.45" x14ac:dyDescent="0.25">
      <c r="C669" s="18"/>
      <c r="D669" s="302"/>
      <c r="E669" s="299"/>
      <c r="F669" s="300"/>
      <c r="G669" s="301"/>
      <c r="H669" s="301"/>
      <c r="I669" s="209"/>
    </row>
    <row r="670" spans="3:9" ht="13.45" x14ac:dyDescent="0.25">
      <c r="C670" s="18"/>
      <c r="D670" s="302"/>
      <c r="E670" s="299"/>
      <c r="F670" s="300"/>
      <c r="G670" s="301"/>
      <c r="H670" s="301"/>
      <c r="I670" s="209"/>
    </row>
    <row r="671" spans="3:9" ht="13.45" x14ac:dyDescent="0.25">
      <c r="C671" s="18"/>
      <c r="D671" s="302"/>
      <c r="E671" s="299"/>
      <c r="F671" s="300"/>
      <c r="G671" s="301"/>
      <c r="H671" s="301"/>
      <c r="I671" s="209"/>
    </row>
    <row r="672" spans="3:9" ht="13.45" x14ac:dyDescent="0.25">
      <c r="C672" s="18"/>
      <c r="D672" s="302"/>
      <c r="E672" s="299"/>
      <c r="F672" s="300"/>
      <c r="G672" s="301"/>
      <c r="H672" s="301"/>
      <c r="I672" s="209"/>
    </row>
    <row r="673" spans="3:9" ht="13.45" x14ac:dyDescent="0.25">
      <c r="C673" s="18"/>
      <c r="D673" s="302"/>
      <c r="E673" s="299"/>
      <c r="F673" s="300"/>
      <c r="G673" s="301"/>
      <c r="H673" s="301"/>
      <c r="I673" s="209"/>
    </row>
    <row r="674" spans="3:9" ht="13.45" x14ac:dyDescent="0.25">
      <c r="C674" s="18"/>
      <c r="D674" s="302"/>
      <c r="E674" s="299"/>
      <c r="F674" s="300"/>
      <c r="G674" s="301"/>
      <c r="H674" s="301"/>
      <c r="I674" s="209"/>
    </row>
    <row r="675" spans="3:9" ht="13.45" x14ac:dyDescent="0.25">
      <c r="C675" s="18"/>
      <c r="D675" s="302"/>
      <c r="E675" s="299"/>
      <c r="F675" s="300"/>
      <c r="G675" s="301"/>
      <c r="H675" s="301"/>
      <c r="I675" s="209"/>
    </row>
    <row r="676" spans="3:9" ht="13.45" x14ac:dyDescent="0.25">
      <c r="C676" s="18"/>
      <c r="D676" s="302"/>
      <c r="E676" s="299"/>
      <c r="F676" s="300"/>
      <c r="G676" s="301"/>
      <c r="H676" s="301"/>
      <c r="I676" s="209"/>
    </row>
    <row r="677" spans="3:9" ht="13.45" x14ac:dyDescent="0.25">
      <c r="C677" s="18"/>
      <c r="D677" s="302"/>
      <c r="E677" s="299"/>
      <c r="F677" s="300"/>
      <c r="G677" s="301"/>
      <c r="H677" s="301"/>
      <c r="I677" s="209"/>
    </row>
    <row r="678" spans="3:9" ht="13.45" x14ac:dyDescent="0.25">
      <c r="C678" s="18"/>
      <c r="D678" s="302"/>
      <c r="E678" s="299"/>
      <c r="F678" s="300"/>
      <c r="G678" s="301"/>
      <c r="H678" s="301"/>
      <c r="I678" s="209"/>
    </row>
    <row r="679" spans="3:9" ht="13.45" x14ac:dyDescent="0.25">
      <c r="C679" s="18"/>
      <c r="D679" s="302"/>
      <c r="E679" s="299"/>
      <c r="F679" s="300"/>
      <c r="G679" s="301"/>
      <c r="H679" s="301"/>
      <c r="I679" s="209"/>
    </row>
    <row r="680" spans="3:9" ht="13.45" x14ac:dyDescent="0.25">
      <c r="C680" s="18"/>
      <c r="D680" s="302"/>
      <c r="E680" s="299"/>
      <c r="F680" s="300"/>
      <c r="G680" s="301"/>
      <c r="H680" s="301"/>
      <c r="I680" s="209"/>
    </row>
    <row r="681" spans="3:9" ht="13.45" x14ac:dyDescent="0.25">
      <c r="C681" s="18"/>
      <c r="D681" s="302"/>
      <c r="E681" s="299"/>
      <c r="F681" s="300"/>
      <c r="G681" s="301"/>
      <c r="H681" s="301"/>
      <c r="I681" s="209"/>
    </row>
    <row r="682" spans="3:9" ht="13.45" x14ac:dyDescent="0.25">
      <c r="C682" s="18"/>
      <c r="D682" s="302"/>
      <c r="E682" s="299"/>
      <c r="F682" s="300"/>
      <c r="G682" s="301"/>
      <c r="H682" s="301"/>
      <c r="I682" s="209"/>
    </row>
    <row r="683" spans="3:9" ht="13.45" x14ac:dyDescent="0.25">
      <c r="C683" s="18"/>
      <c r="D683" s="302"/>
      <c r="E683" s="299"/>
      <c r="F683" s="300"/>
      <c r="G683" s="301"/>
      <c r="H683" s="301"/>
      <c r="I683" s="209"/>
    </row>
    <row r="684" spans="3:9" ht="13.45" x14ac:dyDescent="0.25">
      <c r="C684" s="18"/>
      <c r="D684" s="302"/>
      <c r="E684" s="299"/>
      <c r="F684" s="300"/>
      <c r="G684" s="301"/>
      <c r="H684" s="301"/>
      <c r="I684" s="209"/>
    </row>
    <row r="685" spans="3:9" ht="13.45" x14ac:dyDescent="0.25">
      <c r="C685" s="18"/>
      <c r="D685" s="302"/>
      <c r="E685" s="299"/>
      <c r="F685" s="300"/>
      <c r="G685" s="301"/>
      <c r="H685" s="301"/>
      <c r="I685" s="209"/>
    </row>
    <row r="686" spans="3:9" ht="13.45" x14ac:dyDescent="0.25">
      <c r="C686" s="18"/>
      <c r="D686" s="302"/>
      <c r="E686" s="299"/>
      <c r="F686" s="300"/>
      <c r="G686" s="301"/>
      <c r="H686" s="301"/>
      <c r="I686" s="209"/>
    </row>
    <row r="687" spans="3:9" ht="13.45" x14ac:dyDescent="0.25">
      <c r="C687" s="18"/>
      <c r="D687" s="302"/>
      <c r="E687" s="299"/>
      <c r="F687" s="300"/>
      <c r="G687" s="301"/>
      <c r="H687" s="301"/>
      <c r="I687" s="209"/>
    </row>
    <row r="688" spans="3:9" ht="13.45" x14ac:dyDescent="0.25">
      <c r="C688" s="18"/>
      <c r="D688" s="302"/>
      <c r="E688" s="299"/>
      <c r="F688" s="300"/>
      <c r="G688" s="301"/>
      <c r="H688" s="301"/>
      <c r="I688" s="209"/>
    </row>
    <row r="689" spans="3:9" ht="13.45" x14ac:dyDescent="0.25">
      <c r="C689" s="18"/>
      <c r="D689" s="302"/>
      <c r="E689" s="299"/>
      <c r="F689" s="300"/>
      <c r="G689" s="301"/>
      <c r="H689" s="301"/>
      <c r="I689" s="209"/>
    </row>
    <row r="690" spans="3:9" ht="13.45" x14ac:dyDescent="0.25">
      <c r="C690" s="18"/>
      <c r="D690" s="302"/>
      <c r="E690" s="299"/>
      <c r="F690" s="300"/>
      <c r="G690" s="301"/>
      <c r="H690" s="301"/>
      <c r="I690" s="209"/>
    </row>
    <row r="691" spans="3:9" ht="13.45" x14ac:dyDescent="0.25">
      <c r="C691" s="18"/>
      <c r="D691" s="302"/>
      <c r="E691" s="299"/>
      <c r="F691" s="300"/>
      <c r="G691" s="301"/>
      <c r="H691" s="301"/>
      <c r="I691" s="209"/>
    </row>
    <row r="692" spans="3:9" ht="13.45" x14ac:dyDescent="0.25">
      <c r="C692" s="18"/>
      <c r="D692" s="302"/>
      <c r="E692" s="299"/>
      <c r="F692" s="300"/>
      <c r="G692" s="301"/>
      <c r="H692" s="301"/>
      <c r="I692" s="209"/>
    </row>
    <row r="693" spans="3:9" ht="13.45" x14ac:dyDescent="0.25">
      <c r="C693" s="18"/>
      <c r="D693" s="302"/>
      <c r="E693" s="299"/>
      <c r="F693" s="300"/>
      <c r="G693" s="301"/>
      <c r="H693" s="301"/>
      <c r="I693" s="209"/>
    </row>
    <row r="694" spans="3:9" ht="13.45" x14ac:dyDescent="0.25">
      <c r="C694" s="18"/>
      <c r="D694" s="302"/>
      <c r="E694" s="299"/>
      <c r="F694" s="300"/>
      <c r="G694" s="301"/>
      <c r="H694" s="301"/>
      <c r="I694" s="209"/>
    </row>
    <row r="695" spans="3:9" ht="13.45" x14ac:dyDescent="0.25">
      <c r="C695" s="18"/>
      <c r="D695" s="302"/>
      <c r="E695" s="299"/>
      <c r="F695" s="300"/>
      <c r="G695" s="301"/>
      <c r="H695" s="301"/>
      <c r="I695" s="209"/>
    </row>
    <row r="696" spans="3:9" ht="13.45" x14ac:dyDescent="0.25">
      <c r="C696" s="18"/>
      <c r="D696" s="302"/>
      <c r="E696" s="299"/>
      <c r="F696" s="300"/>
      <c r="G696" s="301"/>
      <c r="H696" s="301"/>
      <c r="I696" s="209"/>
    </row>
    <row r="697" spans="3:9" ht="13.45" x14ac:dyDescent="0.25">
      <c r="C697" s="18"/>
      <c r="D697" s="302"/>
      <c r="E697" s="299"/>
      <c r="F697" s="300"/>
      <c r="G697" s="301"/>
      <c r="H697" s="301"/>
      <c r="I697" s="209"/>
    </row>
    <row r="698" spans="3:9" ht="13.45" x14ac:dyDescent="0.25">
      <c r="C698" s="18"/>
      <c r="D698" s="302"/>
      <c r="E698" s="299"/>
      <c r="F698" s="300"/>
      <c r="G698" s="301"/>
      <c r="H698" s="301"/>
      <c r="I698" s="209"/>
    </row>
    <row r="699" spans="3:9" ht="13.45" x14ac:dyDescent="0.25">
      <c r="C699" s="18"/>
      <c r="D699" s="302"/>
      <c r="E699" s="299"/>
      <c r="F699" s="300"/>
      <c r="G699" s="301"/>
      <c r="H699" s="301"/>
      <c r="I699" s="209"/>
    </row>
    <row r="700" spans="3:9" ht="13.45" x14ac:dyDescent="0.25">
      <c r="C700" s="18"/>
      <c r="D700" s="302"/>
      <c r="E700" s="299"/>
      <c r="F700" s="300"/>
      <c r="G700" s="301"/>
      <c r="H700" s="301"/>
      <c r="I700" s="209"/>
    </row>
    <row r="701" spans="3:9" ht="13.45" x14ac:dyDescent="0.25">
      <c r="C701" s="18"/>
      <c r="D701" s="302"/>
      <c r="E701" s="299"/>
      <c r="F701" s="300"/>
      <c r="G701" s="301"/>
      <c r="H701" s="301"/>
      <c r="I701" s="209"/>
    </row>
    <row r="702" spans="3:9" ht="13.45" x14ac:dyDescent="0.25">
      <c r="C702" s="18"/>
      <c r="D702" s="302"/>
      <c r="E702" s="299"/>
      <c r="F702" s="300"/>
      <c r="G702" s="301"/>
      <c r="H702" s="301"/>
      <c r="I702" s="209"/>
    </row>
    <row r="703" spans="3:9" ht="13.45" x14ac:dyDescent="0.25">
      <c r="C703" s="18"/>
      <c r="D703" s="302"/>
      <c r="E703" s="299"/>
      <c r="F703" s="300"/>
      <c r="G703" s="301"/>
      <c r="H703" s="301"/>
      <c r="I703" s="209"/>
    </row>
    <row r="704" spans="3:9" ht="13.45" x14ac:dyDescent="0.25">
      <c r="C704" s="18"/>
      <c r="D704" s="302"/>
      <c r="E704" s="299"/>
      <c r="F704" s="300"/>
      <c r="G704" s="301"/>
      <c r="H704" s="301"/>
      <c r="I704" s="209"/>
    </row>
    <row r="705" spans="3:9" ht="13.45" x14ac:dyDescent="0.25">
      <c r="C705" s="18"/>
      <c r="D705" s="302"/>
      <c r="E705" s="299"/>
      <c r="F705" s="300"/>
      <c r="G705" s="301"/>
      <c r="H705" s="301"/>
      <c r="I705" s="209"/>
    </row>
    <row r="706" spans="3:9" ht="13.45" x14ac:dyDescent="0.25">
      <c r="C706" s="18"/>
      <c r="D706" s="302"/>
      <c r="E706" s="299"/>
      <c r="F706" s="300"/>
      <c r="G706" s="301"/>
      <c r="H706" s="301"/>
      <c r="I706" s="209"/>
    </row>
    <row r="707" spans="3:9" ht="13.45" x14ac:dyDescent="0.25">
      <c r="C707" s="18"/>
      <c r="D707" s="302"/>
      <c r="E707" s="299"/>
      <c r="F707" s="300"/>
      <c r="G707" s="301"/>
      <c r="H707" s="301"/>
      <c r="I707" s="209"/>
    </row>
    <row r="708" spans="3:9" ht="13.45" x14ac:dyDescent="0.25">
      <c r="C708" s="18"/>
      <c r="D708" s="302"/>
      <c r="E708" s="299"/>
      <c r="F708" s="300"/>
      <c r="G708" s="301"/>
      <c r="H708" s="301"/>
      <c r="I708" s="209"/>
    </row>
    <row r="709" spans="3:9" ht="13.45" x14ac:dyDescent="0.25">
      <c r="C709" s="18"/>
      <c r="D709" s="302"/>
      <c r="E709" s="299"/>
      <c r="F709" s="300"/>
      <c r="G709" s="301"/>
      <c r="H709" s="301"/>
      <c r="I709" s="209"/>
    </row>
    <row r="710" spans="3:9" ht="13.45" x14ac:dyDescent="0.25">
      <c r="C710" s="18"/>
      <c r="D710" s="302"/>
      <c r="E710" s="299"/>
      <c r="F710" s="300"/>
      <c r="G710" s="301"/>
      <c r="H710" s="301"/>
      <c r="I710" s="209"/>
    </row>
    <row r="711" spans="3:9" ht="13.45" x14ac:dyDescent="0.25">
      <c r="C711" s="18"/>
      <c r="D711" s="302"/>
      <c r="E711" s="299"/>
      <c r="F711" s="300"/>
      <c r="G711" s="301"/>
      <c r="H711" s="301"/>
      <c r="I711" s="209"/>
    </row>
    <row r="712" spans="3:9" ht="13.45" x14ac:dyDescent="0.25">
      <c r="C712" s="18"/>
      <c r="D712" s="302"/>
      <c r="E712" s="299"/>
      <c r="F712" s="300"/>
      <c r="G712" s="301"/>
      <c r="H712" s="301"/>
      <c r="I712" s="209"/>
    </row>
    <row r="713" spans="3:9" ht="13.45" x14ac:dyDescent="0.25">
      <c r="C713" s="18"/>
      <c r="D713" s="302"/>
      <c r="E713" s="299"/>
      <c r="F713" s="300"/>
      <c r="G713" s="301"/>
      <c r="H713" s="301"/>
      <c r="I713" s="209"/>
    </row>
    <row r="714" spans="3:9" ht="13.45" x14ac:dyDescent="0.25">
      <c r="C714" s="18"/>
      <c r="D714" s="302"/>
      <c r="E714" s="299"/>
      <c r="F714" s="300"/>
      <c r="G714" s="301"/>
      <c r="H714" s="301"/>
      <c r="I714" s="209"/>
    </row>
    <row r="715" spans="3:9" ht="13.45" x14ac:dyDescent="0.25">
      <c r="C715" s="18"/>
      <c r="D715" s="302"/>
      <c r="E715" s="299"/>
      <c r="F715" s="300"/>
      <c r="G715" s="301"/>
      <c r="H715" s="301"/>
      <c r="I715" s="209"/>
    </row>
    <row r="716" spans="3:9" ht="13.45" x14ac:dyDescent="0.25">
      <c r="C716" s="18"/>
      <c r="D716" s="302"/>
      <c r="E716" s="299"/>
      <c r="F716" s="300"/>
      <c r="G716" s="301"/>
      <c r="H716" s="301"/>
      <c r="I716" s="209"/>
    </row>
    <row r="717" spans="3:9" ht="13.45" x14ac:dyDescent="0.25">
      <c r="C717" s="18"/>
      <c r="D717" s="302"/>
      <c r="E717" s="299"/>
      <c r="F717" s="300"/>
      <c r="G717" s="301"/>
      <c r="H717" s="301"/>
      <c r="I717" s="209"/>
    </row>
    <row r="718" spans="3:9" ht="13.45" x14ac:dyDescent="0.25">
      <c r="C718" s="18"/>
      <c r="D718" s="302"/>
      <c r="E718" s="299"/>
      <c r="F718" s="300"/>
      <c r="G718" s="301"/>
      <c r="H718" s="301"/>
      <c r="I718" s="209"/>
    </row>
    <row r="719" spans="3:9" ht="13.45" x14ac:dyDescent="0.25">
      <c r="C719" s="18"/>
      <c r="D719" s="302"/>
      <c r="E719" s="299"/>
      <c r="F719" s="300"/>
      <c r="G719" s="301"/>
      <c r="H719" s="301"/>
      <c r="I719" s="209"/>
    </row>
    <row r="720" spans="3:9" ht="13.45" x14ac:dyDescent="0.25">
      <c r="C720" s="18"/>
      <c r="D720" s="302"/>
      <c r="E720" s="299"/>
      <c r="F720" s="300"/>
      <c r="G720" s="301"/>
      <c r="H720" s="301"/>
      <c r="I720" s="209"/>
    </row>
    <row r="721" spans="3:9" ht="13.45" x14ac:dyDescent="0.25">
      <c r="C721" s="18"/>
      <c r="D721" s="302"/>
      <c r="E721" s="299"/>
      <c r="F721" s="300"/>
      <c r="G721" s="301"/>
      <c r="H721" s="301"/>
      <c r="I721" s="209"/>
    </row>
    <row r="722" spans="3:9" ht="13.45" x14ac:dyDescent="0.25">
      <c r="C722" s="18"/>
      <c r="D722" s="302"/>
      <c r="E722" s="299"/>
      <c r="F722" s="300"/>
      <c r="G722" s="301"/>
      <c r="H722" s="301"/>
      <c r="I722" s="209"/>
    </row>
    <row r="723" spans="3:9" ht="13.45" x14ac:dyDescent="0.25">
      <c r="C723" s="18"/>
      <c r="D723" s="302"/>
      <c r="E723" s="299"/>
      <c r="F723" s="300"/>
      <c r="G723" s="301"/>
      <c r="H723" s="301"/>
      <c r="I723" s="209"/>
    </row>
    <row r="724" spans="3:9" ht="13.45" x14ac:dyDescent="0.25">
      <c r="C724" s="18"/>
      <c r="D724" s="302"/>
      <c r="E724" s="299"/>
      <c r="F724" s="300"/>
      <c r="G724" s="301"/>
      <c r="H724" s="301"/>
      <c r="I724" s="209"/>
    </row>
    <row r="725" spans="3:9" ht="13.45" x14ac:dyDescent="0.25">
      <c r="C725" s="18"/>
      <c r="D725" s="302"/>
      <c r="E725" s="299"/>
      <c r="F725" s="300"/>
      <c r="G725" s="301"/>
      <c r="H725" s="301"/>
      <c r="I725" s="209"/>
    </row>
    <row r="726" spans="3:9" ht="13.45" x14ac:dyDescent="0.25">
      <c r="C726" s="18"/>
      <c r="D726" s="302"/>
      <c r="E726" s="299"/>
      <c r="F726" s="300"/>
      <c r="G726" s="301"/>
      <c r="H726" s="301"/>
      <c r="I726" s="209"/>
    </row>
    <row r="727" spans="3:9" ht="13.45" x14ac:dyDescent="0.25">
      <c r="C727" s="18"/>
      <c r="D727" s="302"/>
      <c r="E727" s="299"/>
      <c r="F727" s="300"/>
      <c r="G727" s="301"/>
      <c r="H727" s="301"/>
      <c r="I727" s="209"/>
    </row>
    <row r="728" spans="3:9" ht="13.45" x14ac:dyDescent="0.25">
      <c r="C728" s="18"/>
      <c r="D728" s="302"/>
      <c r="E728" s="299"/>
      <c r="F728" s="300"/>
      <c r="G728" s="301"/>
      <c r="H728" s="301"/>
      <c r="I728" s="209"/>
    </row>
    <row r="729" spans="3:9" ht="13.45" x14ac:dyDescent="0.25">
      <c r="C729" s="18"/>
      <c r="D729" s="302"/>
      <c r="E729" s="299"/>
      <c r="F729" s="300"/>
      <c r="G729" s="301"/>
      <c r="H729" s="301"/>
      <c r="I729" s="209"/>
    </row>
    <row r="730" spans="3:9" ht="13.45" x14ac:dyDescent="0.25">
      <c r="C730" s="18"/>
      <c r="D730" s="302"/>
      <c r="E730" s="299"/>
      <c r="F730" s="300"/>
      <c r="G730" s="301"/>
      <c r="H730" s="301"/>
      <c r="I730" s="209"/>
    </row>
    <row r="731" spans="3:9" ht="13.45" x14ac:dyDescent="0.25">
      <c r="C731" s="18"/>
      <c r="D731" s="302"/>
      <c r="E731" s="299"/>
      <c r="F731" s="300"/>
      <c r="G731" s="301"/>
      <c r="H731" s="301"/>
      <c r="I731" s="209"/>
    </row>
    <row r="732" spans="3:9" ht="13.45" x14ac:dyDescent="0.25">
      <c r="C732" s="18"/>
      <c r="D732" s="302"/>
      <c r="E732" s="299"/>
      <c r="F732" s="300"/>
      <c r="G732" s="301"/>
      <c r="H732" s="301"/>
      <c r="I732" s="209"/>
    </row>
    <row r="733" spans="3:9" ht="13.45" x14ac:dyDescent="0.25">
      <c r="C733" s="18"/>
      <c r="D733" s="302"/>
      <c r="E733" s="299"/>
      <c r="F733" s="300"/>
      <c r="G733" s="301"/>
      <c r="H733" s="301"/>
      <c r="I733" s="209"/>
    </row>
    <row r="734" spans="3:9" ht="13.45" x14ac:dyDescent="0.25">
      <c r="C734" s="18"/>
      <c r="D734" s="302"/>
      <c r="E734" s="299"/>
      <c r="F734" s="300"/>
      <c r="G734" s="301"/>
      <c r="H734" s="301"/>
      <c r="I734" s="209"/>
    </row>
    <row r="735" spans="3:9" ht="13.45" x14ac:dyDescent="0.25">
      <c r="C735" s="18"/>
      <c r="D735" s="302"/>
      <c r="E735" s="299"/>
      <c r="F735" s="300"/>
      <c r="G735" s="301"/>
      <c r="H735" s="301"/>
      <c r="I735" s="209"/>
    </row>
    <row r="736" spans="3:9" ht="13.45" x14ac:dyDescent="0.25">
      <c r="C736" s="18"/>
      <c r="D736" s="302"/>
      <c r="E736" s="299"/>
      <c r="F736" s="300"/>
      <c r="G736" s="301"/>
      <c r="H736" s="301"/>
      <c r="I736" s="209"/>
    </row>
    <row r="737" spans="3:9" ht="13.45" x14ac:dyDescent="0.25">
      <c r="C737" s="18"/>
      <c r="D737" s="302"/>
      <c r="E737" s="299"/>
      <c r="F737" s="300"/>
      <c r="G737" s="301"/>
      <c r="H737" s="301"/>
      <c r="I737" s="209"/>
    </row>
    <row r="738" spans="3:9" ht="13.45" x14ac:dyDescent="0.25">
      <c r="C738" s="18"/>
      <c r="D738" s="302"/>
      <c r="E738" s="299"/>
      <c r="F738" s="300"/>
      <c r="G738" s="301"/>
      <c r="H738" s="301"/>
      <c r="I738" s="209"/>
    </row>
    <row r="739" spans="3:9" ht="13.45" x14ac:dyDescent="0.25">
      <c r="C739" s="18"/>
      <c r="D739" s="302"/>
      <c r="E739" s="299"/>
      <c r="F739" s="300"/>
      <c r="G739" s="301"/>
      <c r="H739" s="301"/>
      <c r="I739" s="209"/>
    </row>
    <row r="740" spans="3:9" ht="13.45" x14ac:dyDescent="0.25">
      <c r="C740" s="18"/>
      <c r="D740" s="302"/>
      <c r="E740" s="299"/>
      <c r="F740" s="300"/>
      <c r="G740" s="301"/>
      <c r="H740" s="301"/>
      <c r="I740" s="209"/>
    </row>
    <row r="741" spans="3:9" ht="13.45" x14ac:dyDescent="0.25">
      <c r="C741" s="18"/>
      <c r="D741" s="302"/>
      <c r="E741" s="299"/>
      <c r="F741" s="300"/>
      <c r="G741" s="301"/>
      <c r="H741" s="301"/>
      <c r="I741" s="209"/>
    </row>
    <row r="742" spans="3:9" ht="13.45" x14ac:dyDescent="0.25">
      <c r="C742" s="18"/>
      <c r="D742" s="302"/>
      <c r="E742" s="299"/>
      <c r="F742" s="300"/>
      <c r="G742" s="301"/>
      <c r="H742" s="301"/>
      <c r="I742" s="209"/>
    </row>
    <row r="743" spans="3:9" ht="13.45" x14ac:dyDescent="0.25">
      <c r="C743" s="18"/>
      <c r="D743" s="302"/>
      <c r="E743" s="299"/>
      <c r="F743" s="300"/>
      <c r="G743" s="301"/>
      <c r="H743" s="301"/>
      <c r="I743" s="209"/>
    </row>
    <row r="744" spans="3:9" ht="13.45" x14ac:dyDescent="0.25">
      <c r="C744" s="18"/>
      <c r="D744" s="302"/>
      <c r="E744" s="299"/>
      <c r="F744" s="300"/>
      <c r="G744" s="301"/>
      <c r="H744" s="301"/>
      <c r="I744" s="209"/>
    </row>
    <row r="745" spans="3:9" ht="13.45" x14ac:dyDescent="0.25">
      <c r="C745" s="18"/>
      <c r="D745" s="302"/>
      <c r="E745" s="299"/>
      <c r="F745" s="300"/>
      <c r="G745" s="301"/>
      <c r="H745" s="301"/>
      <c r="I745" s="209"/>
    </row>
    <row r="746" spans="3:9" ht="13.45" x14ac:dyDescent="0.25">
      <c r="C746" s="18"/>
      <c r="D746" s="302"/>
      <c r="E746" s="299"/>
      <c r="F746" s="300"/>
      <c r="G746" s="301"/>
      <c r="H746" s="301"/>
      <c r="I746" s="209"/>
    </row>
    <row r="747" spans="3:9" ht="13.45" x14ac:dyDescent="0.25">
      <c r="C747" s="18"/>
      <c r="D747" s="302"/>
      <c r="E747" s="299"/>
      <c r="F747" s="300"/>
      <c r="G747" s="301"/>
      <c r="H747" s="301"/>
      <c r="I747" s="209"/>
    </row>
    <row r="748" spans="3:9" ht="13.45" x14ac:dyDescent="0.25">
      <c r="C748" s="18"/>
      <c r="D748" s="302"/>
      <c r="E748" s="299"/>
      <c r="F748" s="300"/>
      <c r="G748" s="301"/>
      <c r="H748" s="301"/>
      <c r="I748" s="209"/>
    </row>
    <row r="749" spans="3:9" ht="13.45" x14ac:dyDescent="0.25">
      <c r="C749" s="18"/>
      <c r="D749" s="302"/>
      <c r="E749" s="299"/>
      <c r="F749" s="300"/>
      <c r="G749" s="301"/>
      <c r="H749" s="301"/>
      <c r="I749" s="209"/>
    </row>
    <row r="750" spans="3:9" ht="13.45" x14ac:dyDescent="0.25">
      <c r="C750" s="18"/>
      <c r="D750" s="302"/>
      <c r="E750" s="299"/>
      <c r="F750" s="300"/>
      <c r="G750" s="301"/>
      <c r="H750" s="301"/>
      <c r="I750" s="209"/>
    </row>
    <row r="751" spans="3:9" ht="13.45" x14ac:dyDescent="0.25">
      <c r="C751" s="18"/>
      <c r="D751" s="302"/>
      <c r="E751" s="299"/>
      <c r="F751" s="300"/>
      <c r="G751" s="301"/>
      <c r="H751" s="301"/>
      <c r="I751" s="209"/>
    </row>
    <row r="752" spans="3:9" ht="13.45" x14ac:dyDescent="0.25">
      <c r="C752" s="18"/>
      <c r="D752" s="302"/>
      <c r="E752" s="299"/>
      <c r="F752" s="300"/>
      <c r="G752" s="301"/>
      <c r="H752" s="301"/>
      <c r="I752" s="209"/>
    </row>
    <row r="753" spans="3:9" ht="13.45" x14ac:dyDescent="0.25">
      <c r="C753" s="18"/>
      <c r="D753" s="302"/>
      <c r="E753" s="299"/>
      <c r="F753" s="300"/>
      <c r="G753" s="301"/>
      <c r="H753" s="301"/>
      <c r="I753" s="209"/>
    </row>
    <row r="754" spans="3:9" ht="13.45" x14ac:dyDescent="0.25">
      <c r="C754" s="18"/>
      <c r="D754" s="302"/>
      <c r="E754" s="299"/>
      <c r="F754" s="300"/>
      <c r="G754" s="301"/>
      <c r="H754" s="301"/>
      <c r="I754" s="209"/>
    </row>
    <row r="755" spans="3:9" ht="13.45" x14ac:dyDescent="0.25">
      <c r="C755" s="18"/>
      <c r="D755" s="302"/>
      <c r="E755" s="299"/>
      <c r="F755" s="300"/>
      <c r="G755" s="301"/>
      <c r="H755" s="301"/>
      <c r="I755" s="209"/>
    </row>
    <row r="756" spans="3:9" ht="13.45" x14ac:dyDescent="0.25">
      <c r="C756" s="18"/>
      <c r="D756" s="302"/>
      <c r="E756" s="299"/>
      <c r="F756" s="300"/>
      <c r="G756" s="301"/>
      <c r="H756" s="301"/>
      <c r="I756" s="209"/>
    </row>
    <row r="757" spans="3:9" ht="13.45" x14ac:dyDescent="0.25">
      <c r="C757" s="18"/>
      <c r="D757" s="302"/>
      <c r="E757" s="299"/>
      <c r="F757" s="300"/>
      <c r="G757" s="301"/>
      <c r="H757" s="301"/>
      <c r="I757" s="209"/>
    </row>
    <row r="758" spans="3:9" ht="13.45" x14ac:dyDescent="0.25">
      <c r="C758" s="18"/>
      <c r="D758" s="302"/>
      <c r="E758" s="299"/>
      <c r="F758" s="300"/>
      <c r="G758" s="301"/>
      <c r="H758" s="301"/>
      <c r="I758" s="209"/>
    </row>
    <row r="759" spans="3:9" ht="13.45" x14ac:dyDescent="0.25">
      <c r="C759" s="18"/>
      <c r="D759" s="302"/>
      <c r="E759" s="299"/>
      <c r="F759" s="300"/>
      <c r="G759" s="301"/>
      <c r="H759" s="301"/>
      <c r="I759" s="209"/>
    </row>
    <row r="760" spans="3:9" ht="13.45" x14ac:dyDescent="0.25">
      <c r="C760" s="18"/>
      <c r="D760" s="302"/>
      <c r="E760" s="299"/>
      <c r="F760" s="300"/>
      <c r="G760" s="301"/>
      <c r="H760" s="301"/>
      <c r="I760" s="209"/>
    </row>
    <row r="761" spans="3:9" ht="13.45" x14ac:dyDescent="0.25">
      <c r="C761" s="18"/>
      <c r="D761" s="302"/>
      <c r="E761" s="299"/>
      <c r="F761" s="300"/>
      <c r="G761" s="301"/>
      <c r="H761" s="301"/>
      <c r="I761" s="209"/>
    </row>
    <row r="762" spans="3:9" ht="13.45" x14ac:dyDescent="0.25">
      <c r="C762" s="18"/>
      <c r="D762" s="302"/>
      <c r="E762" s="299"/>
      <c r="F762" s="300"/>
      <c r="G762" s="301"/>
      <c r="H762" s="301"/>
      <c r="I762" s="209"/>
    </row>
    <row r="763" spans="3:9" ht="13.45" x14ac:dyDescent="0.25">
      <c r="C763" s="18"/>
      <c r="D763" s="302"/>
      <c r="E763" s="299"/>
      <c r="F763" s="300"/>
      <c r="G763" s="301"/>
      <c r="H763" s="301"/>
      <c r="I763" s="209"/>
    </row>
    <row r="764" spans="3:9" ht="13.45" x14ac:dyDescent="0.25">
      <c r="C764" s="18"/>
      <c r="D764" s="302"/>
      <c r="E764" s="299"/>
      <c r="F764" s="300"/>
      <c r="G764" s="301"/>
      <c r="H764" s="301"/>
      <c r="I764" s="209"/>
    </row>
    <row r="765" spans="3:9" ht="13.45" x14ac:dyDescent="0.25">
      <c r="C765" s="18"/>
      <c r="D765" s="302"/>
      <c r="E765" s="299"/>
      <c r="F765" s="300"/>
      <c r="G765" s="301"/>
      <c r="H765" s="301"/>
      <c r="I765" s="209"/>
    </row>
    <row r="766" spans="3:9" ht="13.45" x14ac:dyDescent="0.25">
      <c r="C766" s="18"/>
      <c r="D766" s="302"/>
      <c r="E766" s="299"/>
      <c r="F766" s="300"/>
      <c r="G766" s="301"/>
      <c r="H766" s="301"/>
      <c r="I766" s="209"/>
    </row>
    <row r="767" spans="3:9" ht="13.45" x14ac:dyDescent="0.25">
      <c r="C767" s="18"/>
      <c r="D767" s="302"/>
      <c r="E767" s="299"/>
      <c r="F767" s="300"/>
      <c r="G767" s="301"/>
      <c r="H767" s="301"/>
      <c r="I767" s="209"/>
    </row>
    <row r="768" spans="3:9" ht="13.45" x14ac:dyDescent="0.25">
      <c r="C768" s="18"/>
      <c r="D768" s="302"/>
      <c r="E768" s="299"/>
      <c r="F768" s="300"/>
      <c r="G768" s="301"/>
      <c r="H768" s="301"/>
      <c r="I768" s="209"/>
    </row>
    <row r="769" spans="3:9" ht="13.45" x14ac:dyDescent="0.25">
      <c r="C769" s="18"/>
      <c r="D769" s="302"/>
      <c r="E769" s="299"/>
      <c r="F769" s="300"/>
      <c r="G769" s="301"/>
      <c r="H769" s="301"/>
      <c r="I769" s="209"/>
    </row>
    <row r="770" spans="3:9" ht="13.45" x14ac:dyDescent="0.25">
      <c r="C770" s="18"/>
      <c r="D770" s="302"/>
      <c r="E770" s="299"/>
      <c r="F770" s="300"/>
      <c r="G770" s="301"/>
      <c r="H770" s="301"/>
      <c r="I770" s="209"/>
    </row>
    <row r="771" spans="3:9" ht="13.45" x14ac:dyDescent="0.25">
      <c r="C771" s="18"/>
      <c r="D771" s="302"/>
      <c r="E771" s="299"/>
      <c r="F771" s="300"/>
      <c r="G771" s="301"/>
      <c r="H771" s="301"/>
      <c r="I771" s="209"/>
    </row>
    <row r="772" spans="3:9" ht="13.45" x14ac:dyDescent="0.25">
      <c r="C772" s="18"/>
      <c r="D772" s="302"/>
      <c r="E772" s="299"/>
      <c r="F772" s="300"/>
      <c r="G772" s="301"/>
      <c r="H772" s="301"/>
      <c r="I772" s="209"/>
    </row>
    <row r="773" spans="3:9" ht="13.45" x14ac:dyDescent="0.25">
      <c r="C773" s="18"/>
      <c r="D773" s="302"/>
      <c r="E773" s="299"/>
      <c r="F773" s="300"/>
      <c r="G773" s="301"/>
      <c r="H773" s="301"/>
      <c r="I773" s="209"/>
    </row>
    <row r="774" spans="3:9" ht="13.45" x14ac:dyDescent="0.25">
      <c r="C774" s="18"/>
      <c r="D774" s="302"/>
      <c r="E774" s="299"/>
      <c r="F774" s="300"/>
      <c r="G774" s="301"/>
      <c r="H774" s="301"/>
      <c r="I774" s="209"/>
    </row>
    <row r="775" spans="3:9" ht="13.45" x14ac:dyDescent="0.25">
      <c r="C775" s="18"/>
      <c r="D775" s="302"/>
      <c r="E775" s="299"/>
      <c r="F775" s="300"/>
      <c r="G775" s="301"/>
      <c r="H775" s="301"/>
      <c r="I775" s="209"/>
    </row>
    <row r="776" spans="3:9" ht="13.45" x14ac:dyDescent="0.25">
      <c r="C776" s="18"/>
      <c r="D776" s="302"/>
      <c r="E776" s="299"/>
      <c r="F776" s="300"/>
      <c r="G776" s="301"/>
      <c r="H776" s="301"/>
      <c r="I776" s="209"/>
    </row>
    <row r="777" spans="3:9" ht="13.45" x14ac:dyDescent="0.25">
      <c r="C777" s="18"/>
      <c r="D777" s="302"/>
      <c r="E777" s="299"/>
      <c r="F777" s="300"/>
      <c r="G777" s="301"/>
      <c r="H777" s="301"/>
      <c r="I777" s="209"/>
    </row>
    <row r="778" spans="3:9" ht="13.45" x14ac:dyDescent="0.25">
      <c r="C778" s="18"/>
      <c r="D778" s="302"/>
      <c r="E778" s="299"/>
      <c r="F778" s="300"/>
      <c r="G778" s="301"/>
      <c r="H778" s="301"/>
      <c r="I778" s="209"/>
    </row>
    <row r="779" spans="3:9" ht="13.45" x14ac:dyDescent="0.25">
      <c r="C779" s="18"/>
      <c r="D779" s="302"/>
      <c r="E779" s="299"/>
      <c r="F779" s="300"/>
      <c r="G779" s="301"/>
      <c r="H779" s="301"/>
      <c r="I779" s="209"/>
    </row>
    <row r="780" spans="3:9" ht="13.45" x14ac:dyDescent="0.25">
      <c r="C780" s="18"/>
      <c r="D780" s="302"/>
      <c r="E780" s="299"/>
      <c r="F780" s="300"/>
      <c r="G780" s="301"/>
      <c r="H780" s="301"/>
      <c r="I780" s="209"/>
    </row>
    <row r="781" spans="3:9" ht="13.45" x14ac:dyDescent="0.25">
      <c r="C781" s="18"/>
      <c r="D781" s="302"/>
      <c r="E781" s="299"/>
      <c r="F781" s="300"/>
      <c r="G781" s="301"/>
      <c r="H781" s="301"/>
      <c r="I781" s="209"/>
    </row>
    <row r="782" spans="3:9" ht="13.45" x14ac:dyDescent="0.25">
      <c r="C782" s="18"/>
      <c r="D782" s="302"/>
      <c r="E782" s="299"/>
      <c r="F782" s="300"/>
      <c r="G782" s="301"/>
      <c r="H782" s="301"/>
      <c r="I782" s="209"/>
    </row>
    <row r="783" spans="3:9" ht="13.45" x14ac:dyDescent="0.25">
      <c r="C783" s="18"/>
      <c r="D783" s="302"/>
      <c r="E783" s="299"/>
      <c r="F783" s="300"/>
      <c r="G783" s="301"/>
      <c r="H783" s="301"/>
      <c r="I783" s="209"/>
    </row>
    <row r="784" spans="3:9" ht="13.45" x14ac:dyDescent="0.25">
      <c r="C784" s="18"/>
      <c r="D784" s="302"/>
      <c r="E784" s="299"/>
      <c r="F784" s="300"/>
      <c r="G784" s="301"/>
      <c r="H784" s="301"/>
      <c r="I784" s="209"/>
    </row>
    <row r="785" spans="3:9" ht="13.45" x14ac:dyDescent="0.25">
      <c r="C785" s="18"/>
      <c r="D785" s="302"/>
      <c r="E785" s="299"/>
      <c r="F785" s="300"/>
      <c r="G785" s="301"/>
      <c r="H785" s="301"/>
      <c r="I785" s="209"/>
    </row>
    <row r="786" spans="3:9" ht="13.45" x14ac:dyDescent="0.25">
      <c r="C786" s="18"/>
      <c r="D786" s="302"/>
      <c r="E786" s="299"/>
      <c r="F786" s="300"/>
      <c r="G786" s="301"/>
      <c r="H786" s="301"/>
      <c r="I786" s="209"/>
    </row>
    <row r="787" spans="3:9" ht="13.45" x14ac:dyDescent="0.25">
      <c r="C787" s="18"/>
      <c r="D787" s="302"/>
      <c r="E787" s="299"/>
      <c r="F787" s="300"/>
      <c r="G787" s="301"/>
      <c r="H787" s="301"/>
      <c r="I787" s="209"/>
    </row>
    <row r="788" spans="3:9" ht="13.45" x14ac:dyDescent="0.25">
      <c r="C788" s="18"/>
      <c r="D788" s="302"/>
      <c r="E788" s="299"/>
      <c r="F788" s="300"/>
      <c r="G788" s="301"/>
      <c r="H788" s="301"/>
      <c r="I788" s="209"/>
    </row>
    <row r="789" spans="3:9" ht="13.45" x14ac:dyDescent="0.25">
      <c r="C789" s="18"/>
      <c r="D789" s="302"/>
      <c r="E789" s="299"/>
      <c r="F789" s="300"/>
      <c r="G789" s="301"/>
      <c r="H789" s="301"/>
      <c r="I789" s="209"/>
    </row>
    <row r="790" spans="3:9" ht="13.45" x14ac:dyDescent="0.25">
      <c r="C790" s="18"/>
      <c r="D790" s="302"/>
      <c r="E790" s="299"/>
      <c r="F790" s="300"/>
      <c r="G790" s="301"/>
      <c r="H790" s="301"/>
      <c r="I790" s="209"/>
    </row>
    <row r="791" spans="3:9" ht="13.45" x14ac:dyDescent="0.25">
      <c r="C791" s="18"/>
      <c r="D791" s="302"/>
      <c r="E791" s="299"/>
      <c r="F791" s="300"/>
      <c r="G791" s="301"/>
      <c r="H791" s="301"/>
      <c r="I791" s="209"/>
    </row>
    <row r="792" spans="3:9" ht="13.45" x14ac:dyDescent="0.25">
      <c r="C792" s="18"/>
      <c r="D792" s="302"/>
      <c r="E792" s="299"/>
      <c r="F792" s="300"/>
      <c r="G792" s="301"/>
      <c r="H792" s="301"/>
      <c r="I792" s="209"/>
    </row>
    <row r="793" spans="3:9" ht="13.45" x14ac:dyDescent="0.25">
      <c r="C793" s="18"/>
      <c r="D793" s="302"/>
      <c r="E793" s="299"/>
      <c r="F793" s="300"/>
      <c r="G793" s="301"/>
      <c r="H793" s="301"/>
      <c r="I793" s="209"/>
    </row>
    <row r="794" spans="3:9" ht="13.45" x14ac:dyDescent="0.25">
      <c r="C794" s="18"/>
      <c r="D794" s="302"/>
      <c r="E794" s="299"/>
      <c r="F794" s="300"/>
      <c r="G794" s="301"/>
      <c r="H794" s="301"/>
      <c r="I794" s="209"/>
    </row>
    <row r="795" spans="3:9" ht="13.45" x14ac:dyDescent="0.25">
      <c r="C795" s="18"/>
      <c r="D795" s="302"/>
      <c r="E795" s="299"/>
      <c r="F795" s="300"/>
      <c r="G795" s="301"/>
      <c r="H795" s="301"/>
      <c r="I795" s="209"/>
    </row>
    <row r="796" spans="3:9" ht="13.45" x14ac:dyDescent="0.25">
      <c r="C796" s="18"/>
      <c r="D796" s="302"/>
      <c r="E796" s="299"/>
      <c r="F796" s="300"/>
      <c r="G796" s="301"/>
      <c r="H796" s="301"/>
      <c r="I796" s="209"/>
    </row>
    <row r="797" spans="3:9" ht="13.45" x14ac:dyDescent="0.25">
      <c r="C797" s="18"/>
      <c r="D797" s="302"/>
      <c r="E797" s="299"/>
      <c r="F797" s="300"/>
      <c r="G797" s="301"/>
      <c r="H797" s="301"/>
      <c r="I797" s="209"/>
    </row>
    <row r="798" spans="3:9" ht="13.45" x14ac:dyDescent="0.25">
      <c r="C798" s="18"/>
      <c r="D798" s="302"/>
      <c r="E798" s="299"/>
      <c r="F798" s="300"/>
      <c r="G798" s="301"/>
      <c r="H798" s="301"/>
      <c r="I798" s="209"/>
    </row>
    <row r="799" spans="3:9" ht="13.45" x14ac:dyDescent="0.25">
      <c r="C799" s="18"/>
      <c r="D799" s="302"/>
      <c r="E799" s="299"/>
      <c r="F799" s="300"/>
      <c r="G799" s="301"/>
      <c r="H799" s="301"/>
      <c r="I799" s="209"/>
    </row>
    <row r="800" spans="3:9" ht="13.45" x14ac:dyDescent="0.25">
      <c r="C800" s="18"/>
      <c r="D800" s="302"/>
      <c r="E800" s="299"/>
      <c r="F800" s="300"/>
      <c r="G800" s="301"/>
      <c r="H800" s="301"/>
      <c r="I800" s="209"/>
    </row>
    <row r="801" spans="3:9" ht="13.45" x14ac:dyDescent="0.25">
      <c r="C801" s="18"/>
      <c r="D801" s="302"/>
      <c r="E801" s="299"/>
      <c r="F801" s="300"/>
      <c r="G801" s="301"/>
      <c r="H801" s="301"/>
      <c r="I801" s="209"/>
    </row>
    <row r="802" spans="3:9" ht="13.45" x14ac:dyDescent="0.25">
      <c r="C802" s="18"/>
      <c r="D802" s="302"/>
      <c r="E802" s="299"/>
      <c r="F802" s="300"/>
      <c r="G802" s="301"/>
      <c r="H802" s="301"/>
      <c r="I802" s="209"/>
    </row>
    <row r="803" spans="3:9" ht="13.45" x14ac:dyDescent="0.25">
      <c r="C803" s="18"/>
      <c r="D803" s="302"/>
      <c r="E803" s="299"/>
      <c r="F803" s="300"/>
      <c r="G803" s="301"/>
      <c r="H803" s="301"/>
      <c r="I803" s="209"/>
    </row>
    <row r="804" spans="3:9" ht="13.45" x14ac:dyDescent="0.25">
      <c r="C804" s="18"/>
      <c r="D804" s="302"/>
      <c r="E804" s="299"/>
      <c r="F804" s="300"/>
      <c r="G804" s="301"/>
      <c r="H804" s="301"/>
      <c r="I804" s="209"/>
    </row>
    <row r="805" spans="3:9" ht="13.45" x14ac:dyDescent="0.25">
      <c r="C805" s="18"/>
      <c r="D805" s="302"/>
      <c r="E805" s="299"/>
      <c r="F805" s="300"/>
      <c r="G805" s="301"/>
      <c r="H805" s="301"/>
      <c r="I805" s="209"/>
    </row>
    <row r="806" spans="3:9" ht="13.45" x14ac:dyDescent="0.25">
      <c r="C806" s="18"/>
      <c r="D806" s="302"/>
      <c r="E806" s="299"/>
      <c r="F806" s="300"/>
      <c r="G806" s="301"/>
      <c r="H806" s="301"/>
      <c r="I806" s="209"/>
    </row>
    <row r="807" spans="3:9" ht="13.45" x14ac:dyDescent="0.25">
      <c r="C807" s="18"/>
      <c r="D807" s="302"/>
      <c r="E807" s="299"/>
      <c r="F807" s="300"/>
      <c r="G807" s="301"/>
      <c r="H807" s="301"/>
      <c r="I807" s="209"/>
    </row>
    <row r="808" spans="3:9" ht="13.45" x14ac:dyDescent="0.25">
      <c r="C808" s="18"/>
      <c r="D808" s="302"/>
      <c r="E808" s="299"/>
      <c r="F808" s="300"/>
      <c r="G808" s="301"/>
      <c r="H808" s="301"/>
      <c r="I808" s="209"/>
    </row>
    <row r="809" spans="3:9" ht="13.45" x14ac:dyDescent="0.25">
      <c r="C809" s="18"/>
      <c r="D809" s="302"/>
      <c r="E809" s="299"/>
      <c r="F809" s="300"/>
      <c r="G809" s="301"/>
      <c r="H809" s="301"/>
      <c r="I809" s="209"/>
    </row>
    <row r="810" spans="3:9" ht="13.45" x14ac:dyDescent="0.25">
      <c r="C810" s="18"/>
      <c r="D810" s="302"/>
      <c r="E810" s="299"/>
      <c r="F810" s="300"/>
      <c r="G810" s="301"/>
      <c r="H810" s="301"/>
      <c r="I810" s="209"/>
    </row>
    <row r="811" spans="3:9" ht="13.45" x14ac:dyDescent="0.25">
      <c r="C811" s="18"/>
      <c r="D811" s="302"/>
      <c r="E811" s="299"/>
      <c r="F811" s="300"/>
      <c r="G811" s="301"/>
      <c r="H811" s="301"/>
      <c r="I811" s="209"/>
    </row>
    <row r="812" spans="3:9" ht="13.45" x14ac:dyDescent="0.25">
      <c r="C812" s="18"/>
      <c r="D812" s="302"/>
      <c r="E812" s="299"/>
      <c r="F812" s="300"/>
      <c r="G812" s="301"/>
      <c r="H812" s="301"/>
      <c r="I812" s="209"/>
    </row>
    <row r="813" spans="3:9" ht="13.45" x14ac:dyDescent="0.25">
      <c r="C813" s="18"/>
      <c r="D813" s="302"/>
      <c r="E813" s="299"/>
      <c r="F813" s="300"/>
      <c r="G813" s="301"/>
      <c r="H813" s="301"/>
      <c r="I813" s="209"/>
    </row>
    <row r="814" spans="3:9" ht="13.45" x14ac:dyDescent="0.25">
      <c r="C814" s="18"/>
      <c r="D814" s="302"/>
      <c r="E814" s="299"/>
      <c r="F814" s="300"/>
      <c r="G814" s="301"/>
      <c r="H814" s="301"/>
      <c r="I814" s="209"/>
    </row>
    <row r="815" spans="3:9" ht="13.45" x14ac:dyDescent="0.25">
      <c r="C815" s="18"/>
      <c r="D815" s="302"/>
      <c r="E815" s="299"/>
      <c r="F815" s="300"/>
      <c r="G815" s="301"/>
      <c r="H815" s="301"/>
      <c r="I815" s="209"/>
    </row>
    <row r="816" spans="3:9" ht="13.45" x14ac:dyDescent="0.25">
      <c r="C816" s="18"/>
      <c r="D816" s="302"/>
      <c r="E816" s="299"/>
      <c r="F816" s="300"/>
      <c r="G816" s="301"/>
      <c r="H816" s="301"/>
      <c r="I816" s="209"/>
    </row>
    <row r="817" spans="3:9" ht="13.45" x14ac:dyDescent="0.25">
      <c r="C817" s="18"/>
      <c r="D817" s="302"/>
      <c r="E817" s="299"/>
      <c r="F817" s="300"/>
      <c r="G817" s="301"/>
      <c r="H817" s="301"/>
      <c r="I817" s="209"/>
    </row>
    <row r="818" spans="3:9" ht="13.45" x14ac:dyDescent="0.25">
      <c r="C818" s="18"/>
      <c r="D818" s="302"/>
      <c r="E818" s="299"/>
      <c r="F818" s="300"/>
      <c r="G818" s="301"/>
      <c r="H818" s="301"/>
      <c r="I818" s="209"/>
    </row>
    <row r="819" spans="3:9" ht="13.45" x14ac:dyDescent="0.25">
      <c r="C819" s="18"/>
      <c r="D819" s="302"/>
      <c r="E819" s="299"/>
      <c r="F819" s="300"/>
      <c r="G819" s="301"/>
      <c r="H819" s="301"/>
      <c r="I819" s="209"/>
    </row>
    <row r="820" spans="3:9" ht="13.45" x14ac:dyDescent="0.25">
      <c r="C820" s="18"/>
      <c r="D820" s="302"/>
      <c r="E820" s="299"/>
      <c r="F820" s="300"/>
      <c r="G820" s="301"/>
      <c r="H820" s="301"/>
      <c r="I820" s="209"/>
    </row>
    <row r="821" spans="3:9" ht="13.45" x14ac:dyDescent="0.25">
      <c r="C821" s="18"/>
      <c r="D821" s="302"/>
      <c r="E821" s="299"/>
      <c r="F821" s="300"/>
      <c r="G821" s="301"/>
      <c r="H821" s="301"/>
      <c r="I821" s="209"/>
    </row>
    <row r="822" spans="3:9" ht="13.45" x14ac:dyDescent="0.25">
      <c r="C822" s="18"/>
      <c r="D822" s="302"/>
      <c r="E822" s="299"/>
      <c r="F822" s="300"/>
      <c r="G822" s="301"/>
      <c r="H822" s="301"/>
      <c r="I822" s="209"/>
    </row>
    <row r="823" spans="3:9" ht="13.45" x14ac:dyDescent="0.25">
      <c r="C823" s="18"/>
      <c r="D823" s="302"/>
      <c r="E823" s="299"/>
      <c r="F823" s="300"/>
      <c r="G823" s="301"/>
      <c r="H823" s="301"/>
      <c r="I823" s="209"/>
    </row>
    <row r="824" spans="3:9" ht="13.45" x14ac:dyDescent="0.25">
      <c r="C824" s="18"/>
      <c r="D824" s="302"/>
      <c r="E824" s="299"/>
      <c r="F824" s="300"/>
      <c r="G824" s="301"/>
      <c r="H824" s="301"/>
      <c r="I824" s="209"/>
    </row>
    <row r="825" spans="3:9" ht="13.45" x14ac:dyDescent="0.25">
      <c r="C825" s="18"/>
      <c r="D825" s="302"/>
      <c r="E825" s="299"/>
      <c r="F825" s="300"/>
      <c r="G825" s="301"/>
      <c r="H825" s="301"/>
      <c r="I825" s="209"/>
    </row>
    <row r="826" spans="3:9" ht="13.45" x14ac:dyDescent="0.25">
      <c r="C826" s="18"/>
      <c r="D826" s="302"/>
      <c r="E826" s="299"/>
      <c r="F826" s="300"/>
      <c r="G826" s="301"/>
      <c r="H826" s="301"/>
      <c r="I826" s="209"/>
    </row>
    <row r="827" spans="3:9" ht="13.45" x14ac:dyDescent="0.25">
      <c r="C827" s="18"/>
      <c r="D827" s="302"/>
      <c r="E827" s="299"/>
      <c r="F827" s="300"/>
      <c r="G827" s="301"/>
      <c r="H827" s="301"/>
      <c r="I827" s="209"/>
    </row>
    <row r="828" spans="3:9" ht="13.45" x14ac:dyDescent="0.25">
      <c r="C828" s="18"/>
      <c r="D828" s="302"/>
      <c r="E828" s="299"/>
      <c r="F828" s="300"/>
      <c r="G828" s="301"/>
      <c r="H828" s="301"/>
      <c r="I828" s="209"/>
    </row>
    <row r="829" spans="3:9" ht="13.45" x14ac:dyDescent="0.25">
      <c r="C829" s="18"/>
      <c r="D829" s="302"/>
      <c r="E829" s="299"/>
      <c r="F829" s="300"/>
      <c r="G829" s="301"/>
      <c r="H829" s="301"/>
      <c r="I829" s="209"/>
    </row>
    <row r="830" spans="3:9" ht="13.45" x14ac:dyDescent="0.25">
      <c r="C830" s="18"/>
      <c r="D830" s="302"/>
      <c r="E830" s="299"/>
      <c r="F830" s="300"/>
      <c r="G830" s="301"/>
      <c r="H830" s="301"/>
      <c r="I830" s="209"/>
    </row>
    <row r="831" spans="3:9" ht="13.45" x14ac:dyDescent="0.25">
      <c r="C831" s="18"/>
      <c r="D831" s="302"/>
      <c r="E831" s="299"/>
      <c r="F831" s="300"/>
      <c r="G831" s="301"/>
      <c r="H831" s="301"/>
      <c r="I831" s="209"/>
    </row>
    <row r="832" spans="3:9" ht="13.45" x14ac:dyDescent="0.25">
      <c r="C832" s="18"/>
      <c r="D832" s="302"/>
      <c r="E832" s="299"/>
      <c r="F832" s="300"/>
      <c r="G832" s="301"/>
      <c r="H832" s="301"/>
      <c r="I832" s="209"/>
    </row>
    <row r="833" spans="3:9" ht="13.45" x14ac:dyDescent="0.25">
      <c r="C833" s="18"/>
      <c r="D833" s="302"/>
      <c r="E833" s="299"/>
      <c r="F833" s="300"/>
      <c r="G833" s="301"/>
      <c r="H833" s="301"/>
      <c r="I833" s="209"/>
    </row>
    <row r="834" spans="3:9" ht="13.45" x14ac:dyDescent="0.25">
      <c r="C834" s="18"/>
      <c r="D834" s="302"/>
      <c r="E834" s="299"/>
      <c r="F834" s="300"/>
      <c r="G834" s="301"/>
      <c r="H834" s="301"/>
      <c r="I834" s="209"/>
    </row>
    <row r="835" spans="3:9" ht="13.45" x14ac:dyDescent="0.25">
      <c r="C835" s="18"/>
      <c r="D835" s="302"/>
      <c r="E835" s="299"/>
      <c r="F835" s="300"/>
      <c r="G835" s="301"/>
      <c r="H835" s="301"/>
      <c r="I835" s="209"/>
    </row>
    <row r="836" spans="3:9" ht="13.45" x14ac:dyDescent="0.25">
      <c r="C836" s="18"/>
      <c r="D836" s="302"/>
      <c r="E836" s="299"/>
      <c r="F836" s="300"/>
      <c r="G836" s="301"/>
      <c r="H836" s="301"/>
      <c r="I836" s="209"/>
    </row>
    <row r="837" spans="3:9" ht="13.45" x14ac:dyDescent="0.25">
      <c r="C837" s="18"/>
      <c r="D837" s="302"/>
      <c r="E837" s="299"/>
      <c r="F837" s="300"/>
      <c r="G837" s="301"/>
      <c r="H837" s="301"/>
      <c r="I837" s="209"/>
    </row>
    <row r="838" spans="3:9" ht="13.45" x14ac:dyDescent="0.25">
      <c r="C838" s="18"/>
      <c r="D838" s="302"/>
      <c r="E838" s="299"/>
      <c r="F838" s="300"/>
      <c r="G838" s="301"/>
      <c r="H838" s="301"/>
      <c r="I838" s="209"/>
    </row>
    <row r="839" spans="3:9" ht="13.45" x14ac:dyDescent="0.25">
      <c r="C839" s="18"/>
      <c r="D839" s="302"/>
      <c r="E839" s="299"/>
      <c r="F839" s="300"/>
      <c r="G839" s="301"/>
      <c r="H839" s="301"/>
      <c r="I839" s="209"/>
    </row>
    <row r="840" spans="3:9" ht="13.45" x14ac:dyDescent="0.25">
      <c r="C840" s="18"/>
      <c r="D840" s="302"/>
      <c r="E840" s="299"/>
      <c r="F840" s="300"/>
      <c r="G840" s="301"/>
      <c r="H840" s="301"/>
      <c r="I840" s="209"/>
    </row>
    <row r="841" spans="3:9" ht="13.45" x14ac:dyDescent="0.25">
      <c r="C841" s="18"/>
      <c r="D841" s="302"/>
      <c r="E841" s="299"/>
      <c r="F841" s="300"/>
      <c r="G841" s="301"/>
      <c r="H841" s="301"/>
      <c r="I841" s="209"/>
    </row>
    <row r="842" spans="3:9" ht="13.45" x14ac:dyDescent="0.25">
      <c r="C842" s="18"/>
      <c r="D842" s="302"/>
      <c r="E842" s="299"/>
      <c r="F842" s="300"/>
      <c r="G842" s="301"/>
      <c r="H842" s="301"/>
      <c r="I842" s="209"/>
    </row>
    <row r="843" spans="3:9" ht="13.45" x14ac:dyDescent="0.25">
      <c r="C843" s="18"/>
      <c r="D843" s="302"/>
      <c r="E843" s="299"/>
      <c r="F843" s="300"/>
      <c r="G843" s="301"/>
      <c r="H843" s="301"/>
      <c r="I843" s="209"/>
    </row>
    <row r="844" spans="3:9" ht="13.45" x14ac:dyDescent="0.25">
      <c r="C844" s="18"/>
      <c r="D844" s="302"/>
      <c r="E844" s="299"/>
      <c r="F844" s="300"/>
      <c r="G844" s="301"/>
      <c r="H844" s="301"/>
      <c r="I844" s="209"/>
    </row>
    <row r="845" spans="3:9" ht="13.45" x14ac:dyDescent="0.25">
      <c r="C845" s="18"/>
      <c r="D845" s="302"/>
      <c r="E845" s="299"/>
      <c r="F845" s="300"/>
      <c r="G845" s="301"/>
      <c r="H845" s="301"/>
      <c r="I845" s="209"/>
    </row>
    <row r="846" spans="3:9" ht="13.45" x14ac:dyDescent="0.25">
      <c r="C846" s="18"/>
      <c r="D846" s="302"/>
      <c r="E846" s="299"/>
      <c r="F846" s="300"/>
      <c r="G846" s="301"/>
      <c r="H846" s="301"/>
      <c r="I846" s="209"/>
    </row>
    <row r="847" spans="3:9" ht="13.45" x14ac:dyDescent="0.25">
      <c r="C847" s="18"/>
      <c r="D847" s="302"/>
      <c r="E847" s="299"/>
      <c r="F847" s="300"/>
      <c r="G847" s="301"/>
      <c r="H847" s="301"/>
      <c r="I847" s="209"/>
    </row>
    <row r="848" spans="3:9" ht="13.45" x14ac:dyDescent="0.25">
      <c r="C848" s="18"/>
      <c r="D848" s="302"/>
      <c r="E848" s="299"/>
      <c r="F848" s="300"/>
      <c r="G848" s="301"/>
      <c r="H848" s="301"/>
      <c r="I848" s="209"/>
    </row>
    <row r="849" spans="3:9" ht="13.45" x14ac:dyDescent="0.25">
      <c r="C849" s="18"/>
      <c r="D849" s="302"/>
      <c r="E849" s="299"/>
      <c r="F849" s="300"/>
      <c r="G849" s="301"/>
      <c r="H849" s="301"/>
      <c r="I849" s="209"/>
    </row>
    <row r="850" spans="3:9" ht="13.45" x14ac:dyDescent="0.25">
      <c r="C850" s="18"/>
      <c r="D850" s="302"/>
      <c r="E850" s="299"/>
      <c r="F850" s="300"/>
      <c r="G850" s="301"/>
      <c r="H850" s="301"/>
      <c r="I850" s="209"/>
    </row>
    <row r="851" spans="3:9" ht="13.45" x14ac:dyDescent="0.25">
      <c r="C851" s="18"/>
      <c r="D851" s="302"/>
      <c r="E851" s="299"/>
      <c r="F851" s="300"/>
      <c r="G851" s="301"/>
      <c r="H851" s="301"/>
      <c r="I851" s="209"/>
    </row>
    <row r="852" spans="3:9" ht="13.45" x14ac:dyDescent="0.25">
      <c r="C852" s="18"/>
      <c r="D852" s="302"/>
      <c r="E852" s="299"/>
      <c r="F852" s="300"/>
      <c r="G852" s="301"/>
      <c r="H852" s="301"/>
      <c r="I852" s="209"/>
    </row>
    <row r="853" spans="3:9" ht="13.45" x14ac:dyDescent="0.25">
      <c r="C853" s="18"/>
      <c r="D853" s="302"/>
      <c r="E853" s="299"/>
      <c r="F853" s="300"/>
      <c r="G853" s="301"/>
      <c r="H853" s="301"/>
      <c r="I853" s="209"/>
    </row>
    <row r="854" spans="3:9" ht="13.45" x14ac:dyDescent="0.25">
      <c r="C854" s="18"/>
      <c r="D854" s="302"/>
      <c r="E854" s="299"/>
      <c r="F854" s="300"/>
      <c r="G854" s="301"/>
      <c r="H854" s="301"/>
      <c r="I854" s="209"/>
    </row>
    <row r="855" spans="3:9" ht="13.45" x14ac:dyDescent="0.25">
      <c r="C855" s="18"/>
      <c r="D855" s="302"/>
      <c r="E855" s="299"/>
      <c r="F855" s="300"/>
      <c r="G855" s="301"/>
      <c r="H855" s="301"/>
      <c r="I855" s="209"/>
    </row>
    <row r="856" spans="3:9" ht="13.45" x14ac:dyDescent="0.25">
      <c r="C856" s="18"/>
      <c r="D856" s="302"/>
      <c r="E856" s="299"/>
      <c r="F856" s="300"/>
      <c r="G856" s="301"/>
      <c r="H856" s="301"/>
      <c r="I856" s="209"/>
    </row>
    <row r="857" spans="3:9" ht="13.45" x14ac:dyDescent="0.25">
      <c r="C857" s="18"/>
      <c r="D857" s="302"/>
      <c r="E857" s="299"/>
      <c r="F857" s="300"/>
      <c r="G857" s="301"/>
      <c r="H857" s="301"/>
      <c r="I857" s="209"/>
    </row>
    <row r="858" spans="3:9" ht="13.45" x14ac:dyDescent="0.25">
      <c r="C858" s="18"/>
      <c r="D858" s="302"/>
      <c r="E858" s="299"/>
      <c r="F858" s="300"/>
      <c r="G858" s="301"/>
      <c r="H858" s="301"/>
      <c r="I858" s="209"/>
    </row>
    <row r="859" spans="3:9" ht="13.45" x14ac:dyDescent="0.25">
      <c r="C859" s="18"/>
      <c r="D859" s="302"/>
      <c r="E859" s="299"/>
      <c r="F859" s="300"/>
      <c r="G859" s="301"/>
      <c r="H859" s="301"/>
      <c r="I859" s="209"/>
    </row>
    <row r="860" spans="3:9" ht="13.45" x14ac:dyDescent="0.25">
      <c r="C860" s="18"/>
      <c r="D860" s="302"/>
      <c r="E860" s="299"/>
      <c r="F860" s="300"/>
      <c r="G860" s="301"/>
      <c r="H860" s="301"/>
      <c r="I860" s="209"/>
    </row>
    <row r="861" spans="3:9" ht="13.45" x14ac:dyDescent="0.25">
      <c r="C861" s="18"/>
      <c r="D861" s="302"/>
      <c r="E861" s="299"/>
      <c r="F861" s="300"/>
      <c r="G861" s="301"/>
      <c r="H861" s="301"/>
      <c r="I861" s="209"/>
    </row>
    <row r="862" spans="3:9" ht="13.45" x14ac:dyDescent="0.25">
      <c r="C862" s="18"/>
      <c r="D862" s="302"/>
      <c r="E862" s="299"/>
      <c r="F862" s="300"/>
      <c r="G862" s="301"/>
      <c r="H862" s="301"/>
      <c r="I862" s="209"/>
    </row>
    <row r="863" spans="3:9" ht="13.45" x14ac:dyDescent="0.25">
      <c r="C863" s="18"/>
      <c r="D863" s="302"/>
      <c r="E863" s="299"/>
      <c r="F863" s="300"/>
      <c r="G863" s="301"/>
      <c r="H863" s="301"/>
      <c r="I863" s="209"/>
    </row>
    <row r="864" spans="3:9" ht="13.45" x14ac:dyDescent="0.25">
      <c r="C864" s="18"/>
      <c r="D864" s="302"/>
      <c r="E864" s="299"/>
      <c r="F864" s="300"/>
      <c r="G864" s="301"/>
      <c r="H864" s="301"/>
      <c r="I864" s="209"/>
    </row>
    <row r="865" spans="3:9" ht="13.45" x14ac:dyDescent="0.25">
      <c r="C865" s="18"/>
      <c r="D865" s="302"/>
      <c r="E865" s="299"/>
      <c r="F865" s="300"/>
      <c r="G865" s="301"/>
      <c r="H865" s="301"/>
      <c r="I865" s="209"/>
    </row>
    <row r="866" spans="3:9" ht="13.45" x14ac:dyDescent="0.25">
      <c r="C866" s="18"/>
      <c r="D866" s="302"/>
      <c r="E866" s="299"/>
      <c r="F866" s="300"/>
      <c r="G866" s="301"/>
      <c r="H866" s="301"/>
      <c r="I866" s="209"/>
    </row>
    <row r="867" spans="3:9" ht="13.45" x14ac:dyDescent="0.25">
      <c r="C867" s="18"/>
      <c r="D867" s="302"/>
      <c r="E867" s="299"/>
      <c r="F867" s="300"/>
      <c r="G867" s="301"/>
      <c r="H867" s="301"/>
      <c r="I867" s="209"/>
    </row>
    <row r="868" spans="3:9" ht="13.45" x14ac:dyDescent="0.25">
      <c r="C868" s="18"/>
      <c r="D868" s="302"/>
      <c r="E868" s="299"/>
      <c r="F868" s="300"/>
      <c r="G868" s="301"/>
      <c r="H868" s="301"/>
      <c r="I868" s="209"/>
    </row>
    <row r="869" spans="3:9" ht="13.45" x14ac:dyDescent="0.25">
      <c r="C869" s="18"/>
      <c r="D869" s="302"/>
      <c r="E869" s="299"/>
      <c r="F869" s="300"/>
      <c r="G869" s="301"/>
      <c r="H869" s="301"/>
      <c r="I869" s="209"/>
    </row>
    <row r="870" spans="3:9" ht="13.45" x14ac:dyDescent="0.25">
      <c r="C870" s="18"/>
      <c r="D870" s="302"/>
      <c r="E870" s="299"/>
      <c r="F870" s="300"/>
      <c r="G870" s="301"/>
      <c r="H870" s="301"/>
      <c r="I870" s="209"/>
    </row>
    <row r="871" spans="3:9" ht="13.45" x14ac:dyDescent="0.25">
      <c r="C871" s="18"/>
      <c r="D871" s="302"/>
      <c r="E871" s="299"/>
      <c r="F871" s="300"/>
      <c r="G871" s="301"/>
      <c r="H871" s="301"/>
      <c r="I871" s="209"/>
    </row>
    <row r="872" spans="3:9" ht="13.45" x14ac:dyDescent="0.25">
      <c r="C872" s="18"/>
      <c r="D872" s="302"/>
      <c r="E872" s="299"/>
      <c r="F872" s="300"/>
      <c r="G872" s="301"/>
      <c r="H872" s="301"/>
      <c r="I872" s="209"/>
    </row>
    <row r="873" spans="3:9" ht="13.45" x14ac:dyDescent="0.25">
      <c r="C873" s="18"/>
      <c r="D873" s="302"/>
      <c r="E873" s="299"/>
      <c r="F873" s="300"/>
      <c r="G873" s="301"/>
      <c r="H873" s="301"/>
      <c r="I873" s="209"/>
    </row>
    <row r="874" spans="3:9" ht="13.45" x14ac:dyDescent="0.25">
      <c r="C874" s="18"/>
      <c r="D874" s="302"/>
      <c r="E874" s="299"/>
      <c r="F874" s="300"/>
      <c r="G874" s="301"/>
      <c r="H874" s="301"/>
      <c r="I874" s="209"/>
    </row>
    <row r="875" spans="3:9" ht="13.45" x14ac:dyDescent="0.25">
      <c r="C875" s="18"/>
      <c r="D875" s="302"/>
      <c r="E875" s="299"/>
      <c r="F875" s="300"/>
      <c r="G875" s="301"/>
      <c r="H875" s="301"/>
      <c r="I875" s="209"/>
    </row>
    <row r="876" spans="3:9" ht="13.45" x14ac:dyDescent="0.25">
      <c r="C876" s="18"/>
      <c r="D876" s="302"/>
      <c r="E876" s="299"/>
      <c r="F876" s="300"/>
      <c r="G876" s="301"/>
      <c r="H876" s="301"/>
      <c r="I876" s="209"/>
    </row>
    <row r="877" spans="3:9" ht="13.45" x14ac:dyDescent="0.25">
      <c r="C877" s="18"/>
      <c r="D877" s="302"/>
      <c r="E877" s="299"/>
      <c r="F877" s="300"/>
      <c r="G877" s="301"/>
      <c r="H877" s="301"/>
      <c r="I877" s="209"/>
    </row>
    <row r="878" spans="3:9" ht="13.45" x14ac:dyDescent="0.25">
      <c r="C878" s="18"/>
      <c r="D878" s="302"/>
      <c r="E878" s="299"/>
      <c r="F878" s="300"/>
      <c r="G878" s="301"/>
      <c r="H878" s="301"/>
      <c r="I878" s="209"/>
    </row>
    <row r="879" spans="3:9" ht="13.45" x14ac:dyDescent="0.25">
      <c r="C879" s="18"/>
      <c r="D879" s="302"/>
      <c r="E879" s="299"/>
      <c r="F879" s="300"/>
      <c r="G879" s="301"/>
      <c r="H879" s="301"/>
      <c r="I879" s="209"/>
    </row>
    <row r="880" spans="3:9" ht="13.45" x14ac:dyDescent="0.25">
      <c r="C880" s="18"/>
      <c r="D880" s="302"/>
      <c r="E880" s="299"/>
      <c r="F880" s="300"/>
      <c r="G880" s="301"/>
      <c r="H880" s="301"/>
      <c r="I880" s="209"/>
    </row>
    <row r="881" spans="3:9" ht="13.45" x14ac:dyDescent="0.25">
      <c r="C881" s="18"/>
      <c r="D881" s="302"/>
      <c r="E881" s="299"/>
      <c r="F881" s="300"/>
      <c r="G881" s="301"/>
      <c r="H881" s="301"/>
      <c r="I881" s="209"/>
    </row>
    <row r="882" spans="3:9" ht="13.45" x14ac:dyDescent="0.25">
      <c r="C882" s="18"/>
      <c r="D882" s="302"/>
      <c r="E882" s="299"/>
      <c r="F882" s="300"/>
      <c r="G882" s="301"/>
      <c r="H882" s="301"/>
      <c r="I882" s="209"/>
    </row>
    <row r="883" spans="3:9" ht="13.45" x14ac:dyDescent="0.25">
      <c r="C883" s="18"/>
      <c r="D883" s="302"/>
      <c r="E883" s="299"/>
      <c r="F883" s="300"/>
      <c r="G883" s="301"/>
      <c r="H883" s="301"/>
      <c r="I883" s="209"/>
    </row>
    <row r="884" spans="3:9" ht="13.45" x14ac:dyDescent="0.25">
      <c r="C884" s="18"/>
      <c r="D884" s="302"/>
      <c r="E884" s="299"/>
      <c r="F884" s="300"/>
      <c r="G884" s="301"/>
      <c r="H884" s="301"/>
      <c r="I884" s="209"/>
    </row>
    <row r="885" spans="3:9" ht="13.45" x14ac:dyDescent="0.25">
      <c r="C885" s="18"/>
      <c r="D885" s="302"/>
      <c r="E885" s="299"/>
      <c r="F885" s="300"/>
      <c r="G885" s="301"/>
      <c r="H885" s="301"/>
      <c r="I885" s="209"/>
    </row>
    <row r="886" spans="3:9" ht="13.45" x14ac:dyDescent="0.25">
      <c r="C886" s="18"/>
      <c r="D886" s="302"/>
      <c r="E886" s="299"/>
      <c r="F886" s="300"/>
      <c r="G886" s="301"/>
      <c r="H886" s="301"/>
      <c r="I886" s="209"/>
    </row>
    <row r="887" spans="3:9" ht="13.45" x14ac:dyDescent="0.25">
      <c r="C887" s="18"/>
      <c r="D887" s="302"/>
      <c r="E887" s="299"/>
      <c r="F887" s="300"/>
      <c r="G887" s="301"/>
      <c r="H887" s="301"/>
      <c r="I887" s="209"/>
    </row>
    <row r="888" spans="3:9" ht="13.45" x14ac:dyDescent="0.25">
      <c r="C888" s="18"/>
      <c r="D888" s="302"/>
      <c r="E888" s="299"/>
      <c r="F888" s="300"/>
      <c r="G888" s="301"/>
      <c r="H888" s="301"/>
      <c r="I888" s="209"/>
    </row>
    <row r="889" spans="3:9" ht="13.45" x14ac:dyDescent="0.25">
      <c r="C889" s="18"/>
      <c r="D889" s="302"/>
      <c r="E889" s="299"/>
      <c r="F889" s="300"/>
      <c r="G889" s="301"/>
      <c r="H889" s="301"/>
      <c r="I889" s="209"/>
    </row>
    <row r="890" spans="3:9" ht="13.45" x14ac:dyDescent="0.25">
      <c r="C890" s="18"/>
      <c r="D890" s="302"/>
      <c r="E890" s="299"/>
      <c r="F890" s="300"/>
      <c r="G890" s="301"/>
      <c r="H890" s="301"/>
      <c r="I890" s="209"/>
    </row>
    <row r="891" spans="3:9" ht="13.45" x14ac:dyDescent="0.25">
      <c r="C891" s="18"/>
      <c r="D891" s="302"/>
      <c r="E891" s="299"/>
      <c r="F891" s="300"/>
      <c r="G891" s="301"/>
      <c r="H891" s="301"/>
      <c r="I891" s="209"/>
    </row>
    <row r="892" spans="3:9" ht="13.45" x14ac:dyDescent="0.25">
      <c r="C892" s="18"/>
      <c r="D892" s="302"/>
      <c r="E892" s="299"/>
      <c r="F892" s="300"/>
      <c r="G892" s="301"/>
      <c r="H892" s="301"/>
      <c r="I892" s="209"/>
    </row>
    <row r="893" spans="3:9" ht="13.45" x14ac:dyDescent="0.25">
      <c r="C893" s="18"/>
      <c r="D893" s="302"/>
      <c r="E893" s="299"/>
      <c r="F893" s="300"/>
      <c r="G893" s="301"/>
      <c r="H893" s="301"/>
      <c r="I893" s="209"/>
    </row>
    <row r="894" spans="3:9" ht="13.45" x14ac:dyDescent="0.25">
      <c r="C894" s="18"/>
      <c r="D894" s="302"/>
      <c r="E894" s="299"/>
      <c r="F894" s="300"/>
      <c r="G894" s="301"/>
      <c r="H894" s="301"/>
      <c r="I894" s="209"/>
    </row>
    <row r="895" spans="3:9" ht="13.45" x14ac:dyDescent="0.25">
      <c r="C895" s="18"/>
      <c r="D895" s="302"/>
      <c r="E895" s="299"/>
      <c r="F895" s="300"/>
      <c r="G895" s="301"/>
      <c r="H895" s="301"/>
      <c r="I895" s="209"/>
    </row>
    <row r="896" spans="3:9" ht="13.45" x14ac:dyDescent="0.25">
      <c r="C896" s="18"/>
      <c r="D896" s="302"/>
      <c r="E896" s="299"/>
      <c r="F896" s="300"/>
      <c r="G896" s="301"/>
      <c r="H896" s="301"/>
      <c r="I896" s="209"/>
    </row>
    <row r="897" spans="3:9" ht="13.45" x14ac:dyDescent="0.25">
      <c r="C897" s="18"/>
      <c r="D897" s="302"/>
      <c r="E897" s="299"/>
      <c r="F897" s="300"/>
      <c r="G897" s="301"/>
      <c r="H897" s="301"/>
      <c r="I897" s="209"/>
    </row>
    <row r="898" spans="3:9" ht="13.45" x14ac:dyDescent="0.25">
      <c r="C898" s="18"/>
      <c r="D898" s="302"/>
      <c r="E898" s="299"/>
      <c r="F898" s="300"/>
      <c r="G898" s="301"/>
      <c r="H898" s="301"/>
      <c r="I898" s="209"/>
    </row>
    <row r="899" spans="3:9" ht="13.45" x14ac:dyDescent="0.25">
      <c r="C899" s="18"/>
      <c r="D899" s="302"/>
      <c r="E899" s="299"/>
      <c r="F899" s="300"/>
      <c r="G899" s="301"/>
      <c r="H899" s="301"/>
      <c r="I899" s="209"/>
    </row>
    <row r="900" spans="3:9" ht="13.45" x14ac:dyDescent="0.25">
      <c r="C900" s="18"/>
      <c r="D900" s="302"/>
      <c r="E900" s="299"/>
      <c r="F900" s="300"/>
      <c r="G900" s="301"/>
      <c r="H900" s="301"/>
      <c r="I900" s="209"/>
    </row>
    <row r="901" spans="3:9" ht="13.45" x14ac:dyDescent="0.25">
      <c r="C901" s="18"/>
      <c r="D901" s="302"/>
      <c r="E901" s="299"/>
      <c r="F901" s="300"/>
      <c r="G901" s="301"/>
      <c r="H901" s="301"/>
      <c r="I901" s="209"/>
    </row>
    <row r="902" spans="3:9" ht="13.45" x14ac:dyDescent="0.25">
      <c r="C902" s="18"/>
      <c r="D902" s="302"/>
      <c r="E902" s="299"/>
      <c r="F902" s="300"/>
      <c r="G902" s="301"/>
      <c r="H902" s="301"/>
      <c r="I902" s="209"/>
    </row>
    <row r="903" spans="3:9" ht="13.45" x14ac:dyDescent="0.25">
      <c r="C903" s="18"/>
      <c r="D903" s="302"/>
      <c r="E903" s="299"/>
      <c r="F903" s="300"/>
      <c r="G903" s="301"/>
      <c r="H903" s="301"/>
      <c r="I903" s="209"/>
    </row>
    <row r="904" spans="3:9" ht="13.45" x14ac:dyDescent="0.25">
      <c r="C904" s="18"/>
      <c r="D904" s="302"/>
      <c r="E904" s="299"/>
      <c r="F904" s="300"/>
      <c r="G904" s="301"/>
      <c r="H904" s="301"/>
      <c r="I904" s="209"/>
    </row>
    <row r="905" spans="3:9" ht="13.45" x14ac:dyDescent="0.25">
      <c r="C905" s="18"/>
      <c r="D905" s="302"/>
      <c r="E905" s="299"/>
      <c r="F905" s="300"/>
      <c r="G905" s="301"/>
      <c r="H905" s="301"/>
      <c r="I905" s="209"/>
    </row>
    <row r="906" spans="3:9" ht="13.45" x14ac:dyDescent="0.25">
      <c r="C906" s="18"/>
      <c r="D906" s="302"/>
      <c r="E906" s="299"/>
      <c r="F906" s="300"/>
      <c r="G906" s="301"/>
      <c r="H906" s="301"/>
      <c r="I906" s="209"/>
    </row>
    <row r="907" spans="3:9" ht="13.45" x14ac:dyDescent="0.25">
      <c r="C907" s="18"/>
      <c r="D907" s="302"/>
      <c r="E907" s="299"/>
      <c r="F907" s="300"/>
      <c r="G907" s="301"/>
      <c r="H907" s="301"/>
      <c r="I907" s="209"/>
    </row>
    <row r="908" spans="3:9" ht="13.45" x14ac:dyDescent="0.25">
      <c r="C908" s="18"/>
      <c r="D908" s="302"/>
      <c r="E908" s="299"/>
      <c r="F908" s="300"/>
      <c r="G908" s="301"/>
      <c r="H908" s="301"/>
      <c r="I908" s="209"/>
    </row>
    <row r="909" spans="3:9" ht="13.45" x14ac:dyDescent="0.25">
      <c r="C909" s="18"/>
      <c r="D909" s="302"/>
      <c r="E909" s="299"/>
      <c r="F909" s="300"/>
      <c r="G909" s="301"/>
      <c r="H909" s="301"/>
      <c r="I909" s="209"/>
    </row>
    <row r="910" spans="3:9" ht="13.45" x14ac:dyDescent="0.25">
      <c r="C910" s="18"/>
      <c r="D910" s="302"/>
      <c r="E910" s="299"/>
      <c r="F910" s="300"/>
      <c r="G910" s="301"/>
      <c r="H910" s="301"/>
      <c r="I910" s="209"/>
    </row>
    <row r="911" spans="3:9" ht="13.45" x14ac:dyDescent="0.25">
      <c r="C911" s="18"/>
      <c r="D911" s="302"/>
      <c r="E911" s="299"/>
      <c r="F911" s="300"/>
      <c r="G911" s="301"/>
      <c r="H911" s="301"/>
      <c r="I911" s="209"/>
    </row>
    <row r="912" spans="3:9" ht="13.45" x14ac:dyDescent="0.25">
      <c r="C912" s="18"/>
      <c r="D912" s="302"/>
      <c r="E912" s="299"/>
      <c r="F912" s="300"/>
      <c r="G912" s="301"/>
      <c r="H912" s="301"/>
      <c r="I912" s="209"/>
    </row>
    <row r="913" spans="3:9" ht="13.45" x14ac:dyDescent="0.25">
      <c r="C913" s="18"/>
      <c r="D913" s="302"/>
      <c r="E913" s="299"/>
      <c r="F913" s="300"/>
      <c r="G913" s="301"/>
      <c r="H913" s="301"/>
      <c r="I913" s="209"/>
    </row>
    <row r="914" spans="3:9" ht="13.45" x14ac:dyDescent="0.25">
      <c r="C914" s="18"/>
      <c r="D914" s="302"/>
      <c r="E914" s="299"/>
      <c r="F914" s="300"/>
      <c r="G914" s="301"/>
      <c r="H914" s="301"/>
      <c r="I914" s="209"/>
    </row>
    <row r="915" spans="3:9" ht="13.45" x14ac:dyDescent="0.25">
      <c r="C915" s="18"/>
      <c r="D915" s="302"/>
      <c r="E915" s="299"/>
      <c r="F915" s="300"/>
      <c r="G915" s="301"/>
      <c r="H915" s="301"/>
      <c r="I915" s="209"/>
    </row>
    <row r="916" spans="3:9" ht="13.45" x14ac:dyDescent="0.25">
      <c r="C916" s="18"/>
      <c r="D916" s="302"/>
      <c r="E916" s="299"/>
      <c r="F916" s="300"/>
      <c r="G916" s="301"/>
      <c r="H916" s="301"/>
      <c r="I916" s="209"/>
    </row>
    <row r="917" spans="3:9" ht="13.45" x14ac:dyDescent="0.25">
      <c r="C917" s="18"/>
      <c r="D917" s="302"/>
      <c r="E917" s="299"/>
      <c r="F917" s="300"/>
      <c r="G917" s="301"/>
      <c r="H917" s="301"/>
      <c r="I917" s="209"/>
    </row>
    <row r="918" spans="3:9" ht="13.45" x14ac:dyDescent="0.25">
      <c r="C918" s="18"/>
      <c r="D918" s="302"/>
      <c r="E918" s="299"/>
      <c r="F918" s="300"/>
      <c r="G918" s="301"/>
      <c r="H918" s="301"/>
      <c r="I918" s="209"/>
    </row>
    <row r="919" spans="3:9" ht="13.45" x14ac:dyDescent="0.25">
      <c r="C919" s="18"/>
      <c r="D919" s="302"/>
      <c r="E919" s="299"/>
      <c r="F919" s="300"/>
      <c r="G919" s="301"/>
      <c r="H919" s="301"/>
      <c r="I919" s="209"/>
    </row>
    <row r="920" spans="3:9" ht="13.45" x14ac:dyDescent="0.25">
      <c r="C920" s="18"/>
      <c r="D920" s="302"/>
      <c r="E920" s="299"/>
      <c r="F920" s="300"/>
      <c r="G920" s="301"/>
      <c r="H920" s="301"/>
      <c r="I920" s="209"/>
    </row>
    <row r="921" spans="3:9" ht="13.45" x14ac:dyDescent="0.25">
      <c r="C921" s="18"/>
      <c r="D921" s="302"/>
      <c r="E921" s="299"/>
      <c r="F921" s="300"/>
      <c r="G921" s="301"/>
      <c r="H921" s="301"/>
      <c r="I921" s="209"/>
    </row>
    <row r="922" spans="3:9" ht="13.45" x14ac:dyDescent="0.25">
      <c r="C922" s="18"/>
      <c r="D922" s="302"/>
      <c r="E922" s="299"/>
      <c r="F922" s="300"/>
      <c r="G922" s="301"/>
      <c r="H922" s="301"/>
      <c r="I922" s="209"/>
    </row>
    <row r="923" spans="3:9" ht="13.45" x14ac:dyDescent="0.25">
      <c r="C923" s="18"/>
      <c r="D923" s="302"/>
      <c r="E923" s="299"/>
      <c r="F923" s="300"/>
      <c r="G923" s="301"/>
      <c r="H923" s="301"/>
      <c r="I923" s="209"/>
    </row>
    <row r="924" spans="3:9" ht="13.45" x14ac:dyDescent="0.25">
      <c r="C924" s="18"/>
      <c r="D924" s="302"/>
      <c r="E924" s="299"/>
      <c r="F924" s="300"/>
      <c r="G924" s="301"/>
      <c r="H924" s="301"/>
      <c r="I924" s="209"/>
    </row>
    <row r="925" spans="3:9" ht="13.45" x14ac:dyDescent="0.25">
      <c r="C925" s="18"/>
      <c r="D925" s="302"/>
      <c r="E925" s="299"/>
      <c r="F925" s="300"/>
      <c r="G925" s="301"/>
      <c r="H925" s="301"/>
      <c r="I925" s="209"/>
    </row>
    <row r="926" spans="3:9" ht="13.45" x14ac:dyDescent="0.25">
      <c r="C926" s="18"/>
      <c r="D926" s="302"/>
      <c r="E926" s="299"/>
      <c r="F926" s="300"/>
      <c r="G926" s="301"/>
      <c r="H926" s="301"/>
      <c r="I926" s="209"/>
    </row>
    <row r="927" spans="3:9" ht="13.45" x14ac:dyDescent="0.25">
      <c r="C927" s="18"/>
      <c r="D927" s="302"/>
      <c r="E927" s="299"/>
      <c r="F927" s="300"/>
      <c r="G927" s="301"/>
      <c r="H927" s="301"/>
      <c r="I927" s="209"/>
    </row>
    <row r="928" spans="3:9" ht="13.45" x14ac:dyDescent="0.25">
      <c r="C928" s="18"/>
      <c r="D928" s="302"/>
      <c r="E928" s="299"/>
      <c r="F928" s="300"/>
      <c r="G928" s="301"/>
      <c r="H928" s="301"/>
      <c r="I928" s="209"/>
    </row>
    <row r="929" spans="3:9" ht="13.45" x14ac:dyDescent="0.25">
      <c r="C929" s="18"/>
      <c r="D929" s="302"/>
      <c r="E929" s="299"/>
      <c r="F929" s="300"/>
      <c r="G929" s="301"/>
      <c r="H929" s="301"/>
      <c r="I929" s="209"/>
    </row>
    <row r="930" spans="3:9" ht="13.45" x14ac:dyDescent="0.25">
      <c r="C930" s="18"/>
      <c r="D930" s="302"/>
      <c r="E930" s="299"/>
      <c r="F930" s="300"/>
      <c r="G930" s="301"/>
      <c r="H930" s="301"/>
      <c r="I930" s="209"/>
    </row>
    <row r="931" spans="3:9" ht="13.45" x14ac:dyDescent="0.25">
      <c r="C931" s="18"/>
      <c r="D931" s="302"/>
      <c r="E931" s="299"/>
      <c r="F931" s="300"/>
      <c r="G931" s="301"/>
      <c r="H931" s="301"/>
      <c r="I931" s="209"/>
    </row>
    <row r="932" spans="3:9" ht="13.45" x14ac:dyDescent="0.25">
      <c r="C932" s="18"/>
      <c r="D932" s="302"/>
      <c r="E932" s="299"/>
      <c r="F932" s="300"/>
      <c r="G932" s="301"/>
      <c r="H932" s="301"/>
      <c r="I932" s="209"/>
    </row>
    <row r="933" spans="3:9" ht="13.45" x14ac:dyDescent="0.25">
      <c r="C933" s="18"/>
      <c r="D933" s="302"/>
      <c r="E933" s="299"/>
      <c r="F933" s="300"/>
      <c r="G933" s="301"/>
      <c r="H933" s="301"/>
      <c r="I933" s="209"/>
    </row>
    <row r="934" spans="3:9" ht="13.45" x14ac:dyDescent="0.25">
      <c r="C934" s="18"/>
      <c r="D934" s="302"/>
      <c r="E934" s="299"/>
      <c r="F934" s="300"/>
      <c r="G934" s="301"/>
      <c r="H934" s="301"/>
      <c r="I934" s="209"/>
    </row>
    <row r="935" spans="3:9" ht="13.45" x14ac:dyDescent="0.25">
      <c r="C935" s="18"/>
      <c r="D935" s="302"/>
      <c r="E935" s="299"/>
      <c r="F935" s="300"/>
      <c r="G935" s="301"/>
      <c r="H935" s="301"/>
      <c r="I935" s="209"/>
    </row>
    <row r="936" spans="3:9" ht="13.45" x14ac:dyDescent="0.25">
      <c r="C936" s="18"/>
      <c r="D936" s="302"/>
      <c r="E936" s="299"/>
      <c r="F936" s="300"/>
      <c r="G936" s="301"/>
      <c r="H936" s="301"/>
      <c r="I936" s="209"/>
    </row>
    <row r="937" spans="3:9" ht="13.45" x14ac:dyDescent="0.25">
      <c r="C937" s="18"/>
      <c r="D937" s="302"/>
      <c r="E937" s="299"/>
      <c r="F937" s="300"/>
      <c r="G937" s="301"/>
      <c r="H937" s="301"/>
      <c r="I937" s="209"/>
    </row>
    <row r="938" spans="3:9" ht="13.45" x14ac:dyDescent="0.25">
      <c r="C938" s="18"/>
      <c r="D938" s="302"/>
      <c r="E938" s="299"/>
      <c r="F938" s="300"/>
      <c r="G938" s="301"/>
      <c r="H938" s="301"/>
      <c r="I938" s="209"/>
    </row>
    <row r="939" spans="3:9" ht="13.45" x14ac:dyDescent="0.25">
      <c r="C939" s="18"/>
      <c r="D939" s="302"/>
      <c r="E939" s="299"/>
      <c r="F939" s="300"/>
      <c r="G939" s="301"/>
      <c r="H939" s="301"/>
      <c r="I939" s="209"/>
    </row>
    <row r="940" spans="3:9" ht="13.45" x14ac:dyDescent="0.25">
      <c r="C940" s="18"/>
      <c r="D940" s="302"/>
      <c r="E940" s="299"/>
      <c r="F940" s="300"/>
      <c r="G940" s="301"/>
      <c r="H940" s="301"/>
      <c r="I940" s="209"/>
    </row>
    <row r="941" spans="3:9" ht="13.45" x14ac:dyDescent="0.25">
      <c r="C941" s="18"/>
      <c r="D941" s="302"/>
      <c r="E941" s="299"/>
      <c r="F941" s="300"/>
      <c r="G941" s="301"/>
      <c r="H941" s="301"/>
      <c r="I941" s="209"/>
    </row>
    <row r="942" spans="3:9" ht="13.45" x14ac:dyDescent="0.25">
      <c r="C942" s="18"/>
      <c r="D942" s="302"/>
      <c r="E942" s="299"/>
      <c r="F942" s="300"/>
      <c r="G942" s="301"/>
      <c r="H942" s="301"/>
      <c r="I942" s="209"/>
    </row>
    <row r="943" spans="3:9" ht="13.45" x14ac:dyDescent="0.25">
      <c r="C943" s="18"/>
      <c r="D943" s="302"/>
      <c r="E943" s="299"/>
      <c r="F943" s="300"/>
      <c r="G943" s="301"/>
      <c r="H943" s="301"/>
      <c r="I943" s="209"/>
    </row>
    <row r="944" spans="3:9" ht="13.45" x14ac:dyDescent="0.25">
      <c r="C944" s="18"/>
      <c r="D944" s="302"/>
      <c r="E944" s="299"/>
      <c r="F944" s="300"/>
      <c r="G944" s="301"/>
      <c r="H944" s="301"/>
      <c r="I944" s="209"/>
    </row>
    <row r="945" spans="3:9" ht="13.45" x14ac:dyDescent="0.25">
      <c r="C945" s="18"/>
      <c r="D945" s="302"/>
      <c r="E945" s="299"/>
      <c r="F945" s="300"/>
      <c r="G945" s="301"/>
      <c r="H945" s="301"/>
      <c r="I945" s="209"/>
    </row>
    <row r="946" spans="3:9" ht="13.45" x14ac:dyDescent="0.25">
      <c r="C946" s="18"/>
      <c r="D946" s="302"/>
      <c r="E946" s="299"/>
      <c r="F946" s="300"/>
      <c r="G946" s="301"/>
      <c r="H946" s="301"/>
      <c r="I946" s="209"/>
    </row>
    <row r="947" spans="3:9" ht="13.45" x14ac:dyDescent="0.25">
      <c r="C947" s="18"/>
      <c r="D947" s="302"/>
      <c r="E947" s="299"/>
      <c r="F947" s="300"/>
      <c r="G947" s="301"/>
      <c r="H947" s="301"/>
      <c r="I947" s="209"/>
    </row>
    <row r="948" spans="3:9" ht="13.45" x14ac:dyDescent="0.25">
      <c r="C948" s="18"/>
      <c r="D948" s="302"/>
      <c r="E948" s="299"/>
      <c r="F948" s="300"/>
      <c r="G948" s="301"/>
      <c r="H948" s="301"/>
      <c r="I948" s="209"/>
    </row>
    <row r="949" spans="3:9" ht="13.45" x14ac:dyDescent="0.25">
      <c r="C949" s="18"/>
      <c r="D949" s="302"/>
      <c r="E949" s="299"/>
      <c r="F949" s="300"/>
      <c r="G949" s="301"/>
      <c r="H949" s="301"/>
      <c r="I949" s="209"/>
    </row>
    <row r="950" spans="3:9" ht="13.45" x14ac:dyDescent="0.25">
      <c r="C950" s="18"/>
      <c r="D950" s="302"/>
      <c r="E950" s="299"/>
      <c r="F950" s="300"/>
      <c r="G950" s="301"/>
      <c r="H950" s="301"/>
      <c r="I950" s="209"/>
    </row>
    <row r="951" spans="3:9" ht="13.45" x14ac:dyDescent="0.25">
      <c r="C951" s="18"/>
      <c r="D951" s="302"/>
      <c r="E951" s="299"/>
      <c r="F951" s="300"/>
      <c r="G951" s="301"/>
      <c r="H951" s="301"/>
      <c r="I951" s="209"/>
    </row>
    <row r="952" spans="3:9" ht="13.45" x14ac:dyDescent="0.25">
      <c r="C952" s="18"/>
      <c r="D952" s="302"/>
      <c r="E952" s="299"/>
      <c r="F952" s="300"/>
      <c r="G952" s="301"/>
      <c r="H952" s="301"/>
      <c r="I952" s="209"/>
    </row>
    <row r="953" spans="3:9" ht="13.45" x14ac:dyDescent="0.25">
      <c r="C953" s="18"/>
      <c r="D953" s="302"/>
      <c r="E953" s="299"/>
      <c r="F953" s="300"/>
      <c r="G953" s="301"/>
      <c r="H953" s="301"/>
      <c r="I953" s="209"/>
    </row>
    <row r="954" spans="3:9" ht="13.45" x14ac:dyDescent="0.25">
      <c r="C954" s="18"/>
      <c r="D954" s="302"/>
      <c r="E954" s="299"/>
      <c r="F954" s="300"/>
      <c r="G954" s="301"/>
      <c r="H954" s="301"/>
      <c r="I954" s="209"/>
    </row>
    <row r="955" spans="3:9" ht="13.45" x14ac:dyDescent="0.25">
      <c r="C955" s="18"/>
      <c r="D955" s="302"/>
      <c r="E955" s="299"/>
      <c r="F955" s="300"/>
      <c r="G955" s="301"/>
      <c r="H955" s="301"/>
      <c r="I955" s="209"/>
    </row>
    <row r="956" spans="3:9" ht="13.45" x14ac:dyDescent="0.25">
      <c r="C956" s="18"/>
      <c r="D956" s="302"/>
      <c r="E956" s="299"/>
      <c r="F956" s="300"/>
      <c r="G956" s="301"/>
      <c r="H956" s="301"/>
      <c r="I956" s="209"/>
    </row>
    <row r="957" spans="3:9" ht="13.45" x14ac:dyDescent="0.25">
      <c r="C957" s="18"/>
      <c r="D957" s="302"/>
      <c r="E957" s="299"/>
      <c r="F957" s="300"/>
      <c r="G957" s="301"/>
      <c r="H957" s="301"/>
      <c r="I957" s="209"/>
    </row>
    <row r="958" spans="3:9" ht="13.45" x14ac:dyDescent="0.25">
      <c r="C958" s="18"/>
      <c r="D958" s="302"/>
      <c r="E958" s="299"/>
      <c r="F958" s="300"/>
      <c r="G958" s="301"/>
      <c r="H958" s="301"/>
      <c r="I958" s="209"/>
    </row>
    <row r="959" spans="3:9" ht="13.45" x14ac:dyDescent="0.25">
      <c r="C959" s="18"/>
      <c r="D959" s="302"/>
      <c r="E959" s="299"/>
      <c r="F959" s="300"/>
      <c r="G959" s="301"/>
      <c r="H959" s="301"/>
      <c r="I959" s="209"/>
    </row>
    <row r="960" spans="3:9" ht="13.45" x14ac:dyDescent="0.25">
      <c r="C960" s="18"/>
      <c r="D960" s="302"/>
      <c r="E960" s="299"/>
      <c r="F960" s="300"/>
      <c r="G960" s="301"/>
      <c r="H960" s="301"/>
      <c r="I960" s="209"/>
    </row>
    <row r="961" spans="3:9" ht="13.45" x14ac:dyDescent="0.25">
      <c r="C961" s="18"/>
      <c r="D961" s="302"/>
      <c r="E961" s="299"/>
      <c r="F961" s="300"/>
      <c r="G961" s="301"/>
      <c r="H961" s="301"/>
      <c r="I961" s="209"/>
    </row>
    <row r="962" spans="3:9" ht="13.45" x14ac:dyDescent="0.25">
      <c r="C962" s="18"/>
      <c r="D962" s="302"/>
      <c r="E962" s="299"/>
      <c r="F962" s="300"/>
      <c r="G962" s="301"/>
      <c r="H962" s="301"/>
      <c r="I962" s="209"/>
    </row>
    <row r="963" spans="3:9" ht="13.45" x14ac:dyDescent="0.25">
      <c r="C963" s="18"/>
      <c r="D963" s="302"/>
      <c r="E963" s="299"/>
      <c r="F963" s="300"/>
      <c r="G963" s="301"/>
      <c r="H963" s="301"/>
      <c r="I963" s="209"/>
    </row>
    <row r="1048566" ht="12.8" customHeight="1" x14ac:dyDescent="0.25"/>
    <row r="1048567" ht="12.8" customHeight="1" x14ac:dyDescent="0.25"/>
    <row r="1048568" ht="12.8" customHeight="1" x14ac:dyDescent="0.25"/>
    <row r="1048569" ht="12.8" customHeight="1" x14ac:dyDescent="0.25"/>
  </sheetData>
  <autoFilter ref="C3:I963" xr:uid="{00000000-0009-0000-0000-000003000000}"/>
  <mergeCells count="23">
    <mergeCell ref="C524:F524"/>
    <mergeCell ref="C509:F509"/>
    <mergeCell ref="C512:F512"/>
    <mergeCell ref="C515:F515"/>
    <mergeCell ref="C518:F518"/>
    <mergeCell ref="C521:F521"/>
    <mergeCell ref="D458:G458"/>
    <mergeCell ref="D462:F462"/>
    <mergeCell ref="D465:G465"/>
    <mergeCell ref="D466:G466"/>
    <mergeCell ref="D500:D501"/>
    <mergeCell ref="F500:F501"/>
    <mergeCell ref="G500:G501"/>
    <mergeCell ref="J44:J45"/>
    <mergeCell ref="J46:J52"/>
    <mergeCell ref="J54:J121"/>
    <mergeCell ref="J123:J126"/>
    <mergeCell ref="D457:G457"/>
    <mergeCell ref="C1:H2"/>
    <mergeCell ref="J9:J10"/>
    <mergeCell ref="J11:J12"/>
    <mergeCell ref="J24:J26"/>
    <mergeCell ref="J32:J38"/>
  </mergeCells>
  <conditionalFormatting sqref="H249:H250 H504:I504 I505:I506 H507:I507 I508:I963 I1:I2 H14:I21 I4:I13 I24:I503">
    <cfRule type="containsText" dxfId="0" priority="2" operator="containsText" text="VAGO">
      <formula>NOT(ISERROR(SEARCH("VAGO",H1)))</formula>
    </cfRule>
  </conditionalFormatting>
  <dataValidations count="5">
    <dataValidation type="list" allowBlank="1" showInputMessage="1" showErrorMessage="1" prompt="Clique e insira um valor de a lista de itens" sqref="E687:E963" xr:uid="{00000000-0002-0000-0300-000000000000}">
      <formula1>"AJAJ,AJ-BIBLIOTECONOMIA,TJAA,AJAA,TJAS,AJOJ,AJEC,AJ-INFORMATICA,AJ-DESENVOLVIMENTO,TJ-INFORMÁTICA,AJ-INFRAESTRUTURA,AJ-MEDICINA"</formula1>
      <formula2>0</formula2>
    </dataValidation>
    <dataValidation type="list" allowBlank="1" showInputMessage="1" showErrorMessage="1" prompt="Clique e digite um valor da lista de itens" sqref="F4:F250 D5:D17 E14:E16 D18 E19:E21 D22 D24 D26 D28:D29 D39:D42 D44:D45 D48:D52 D80 D94 D120 D126:D137 D139 D185 E249:E250 E504:F504 E507:F507 D510 F510 F513 F516 F519 F522 F525" xr:uid="{00000000-0002-0000-0300-000001000000}">
      <formula1>"SECAD,NUJUD,NUGEP,NUFICOP,NIST,DTIC,NI,NIAP,NUAUD,NEGI,DIRFORO"</formula1>
      <formula2>0</formula2>
    </dataValidation>
    <dataValidation type="list" allowBlank="1" showInputMessage="1" showErrorMessage="1" prompt="Clique e insira um valor de a lista de itens" sqref="E5:E13 E22:E248 F492:F493 E510 E513 E516 E519 E522 E525" xr:uid="{00000000-0002-0000-0300-000002000000}">
      <formula1>"AJAJ,AJ-BIBLIOTECONOMIA,TJAA,AJAA,TJAS,AJOJ,AJEC,AJ-INFORMATICA,AJ-DESENVOLVIMENTO,TJ-INFORMÁTICA,AJ-INFRAESTRUTURA,AJ-MEDICINA,AJ-CONTADORIA,AJAE"</formula1>
      <formula2>0</formula2>
    </dataValidation>
    <dataValidation type="list" allowBlank="1" showInputMessage="1" showErrorMessage="1" prompt="Clique e insira um valor de a lista de itens" sqref="I4:I21 H14:H21 I24:I248 H249:I250 H504:I504 H507:I507 I510 I513 I516 I519 I522 I525" xr:uid="{00000000-0002-0000-0300-000003000000}">
      <formula1>"EFETIVO,REQUISITADO,EX. PROVISÓRIO,REMOVIDO,SEM VÍNCULO,VAGO,PROVIDO,A SER PROVIDO"</formula1>
      <formula2>0</formula2>
    </dataValidation>
    <dataValidation type="list" allowBlank="1" showInputMessage="1" showErrorMessage="1" prompt="Clique e insira um valor de a lista de itens" sqref="I22:I23" xr:uid="{00000000-0002-0000-0300-000004000000}">
      <formula1>"EFETIVO,REQUISITADO,EX. PROVISÓRIO,REMOVIDO,SEM VÍNCULO,VAGO"</formula1>
      <formula2>0</formula2>
    </dataValidation>
  </dataValidations>
  <pageMargins left="0.51180555555555596" right="0.51180555555555596" top="0.78749999999999998" bottom="0.78749999999999998" header="0.511811023622047" footer="0.511811023622047"/>
  <pageSetup orientation="landscape" horizontalDpi="300" verticalDpi="300"/>
  <legacyDrawing r:id="rId1"/>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dimension ref="A1:J995"/>
  <sheetViews>
    <sheetView zoomScale="110" zoomScaleNormal="110" workbookViewId="0">
      <selection activeCell="D4" activeCellId="1" sqref="B9 D4"/>
    </sheetView>
  </sheetViews>
  <sheetFormatPr defaultColWidth="12.6328125" defaultRowHeight="14.25" customHeight="1" x14ac:dyDescent="0.25"/>
  <cols>
    <col min="1" max="1" width="7.6328125" customWidth="1"/>
    <col min="2" max="2" width="10.26953125" customWidth="1"/>
    <col min="3" max="3" width="24" customWidth="1"/>
    <col min="4" max="4" width="44.6328125" customWidth="1"/>
    <col min="5" max="5" width="7.6328125" customWidth="1"/>
    <col min="6" max="6" width="11.453125" customWidth="1"/>
    <col min="7" max="7" width="25.36328125" customWidth="1"/>
    <col min="8" max="28" width="7.6328125" customWidth="1"/>
  </cols>
  <sheetData>
    <row r="1" spans="1:8" ht="14" x14ac:dyDescent="0.3">
      <c r="A1" s="16" t="s">
        <v>1462</v>
      </c>
    </row>
    <row r="3" spans="1:8" ht="35.200000000000003" customHeight="1" x14ac:dyDescent="0.25">
      <c r="C3" s="212" t="s">
        <v>149</v>
      </c>
      <c r="D3" s="212" t="s">
        <v>150</v>
      </c>
      <c r="E3" s="212" t="s">
        <v>118</v>
      </c>
      <c r="F3" s="212" t="s">
        <v>970</v>
      </c>
    </row>
    <row r="4" spans="1:8" ht="14" x14ac:dyDescent="0.3">
      <c r="B4" s="477" t="s">
        <v>2072</v>
      </c>
      <c r="C4" s="249" t="s">
        <v>3332</v>
      </c>
      <c r="D4" s="468" t="s">
        <v>3333</v>
      </c>
      <c r="E4" s="468" t="s">
        <v>171</v>
      </c>
      <c r="F4" s="468" t="s">
        <v>159</v>
      </c>
    </row>
    <row r="5" spans="1:8" ht="14" x14ac:dyDescent="0.3">
      <c r="B5" s="477" t="s">
        <v>2072</v>
      </c>
      <c r="C5" s="249" t="s">
        <v>3334</v>
      </c>
      <c r="D5" s="468" t="s">
        <v>3335</v>
      </c>
      <c r="E5" s="468"/>
      <c r="F5" s="468" t="s">
        <v>164</v>
      </c>
    </row>
    <row r="6" spans="1:8" ht="14" x14ac:dyDescent="0.3">
      <c r="B6" s="477" t="s">
        <v>2072</v>
      </c>
      <c r="C6" s="249" t="s">
        <v>3336</v>
      </c>
      <c r="D6" s="468" t="s">
        <v>3337</v>
      </c>
      <c r="E6" s="468" t="s">
        <v>178</v>
      </c>
      <c r="F6" s="468" t="s">
        <v>159</v>
      </c>
    </row>
    <row r="7" spans="1:8" ht="14" x14ac:dyDescent="0.3">
      <c r="B7" s="477" t="s">
        <v>1853</v>
      </c>
      <c r="C7" s="249" t="s">
        <v>3338</v>
      </c>
      <c r="D7" s="468" t="s">
        <v>3339</v>
      </c>
      <c r="E7" s="468" t="s">
        <v>171</v>
      </c>
      <c r="F7" s="468" t="s">
        <v>168</v>
      </c>
    </row>
    <row r="8" spans="1:8" ht="14" x14ac:dyDescent="0.3">
      <c r="B8" s="477" t="s">
        <v>2072</v>
      </c>
      <c r="C8" s="249" t="s">
        <v>3340</v>
      </c>
      <c r="D8" s="468" t="s">
        <v>3341</v>
      </c>
      <c r="E8" s="468" t="s">
        <v>290</v>
      </c>
      <c r="F8" s="468" t="s">
        <v>159</v>
      </c>
      <c r="G8">
        <v>1</v>
      </c>
    </row>
    <row r="9" spans="1:8" ht="14" x14ac:dyDescent="0.3">
      <c r="B9" s="477" t="s">
        <v>2072</v>
      </c>
      <c r="C9" s="249" t="s">
        <v>3342</v>
      </c>
      <c r="D9" s="468" t="s">
        <v>3343</v>
      </c>
      <c r="E9" s="468" t="s">
        <v>171</v>
      </c>
      <c r="F9" s="468" t="s">
        <v>159</v>
      </c>
    </row>
    <row r="10" spans="1:8" ht="14" x14ac:dyDescent="0.3">
      <c r="B10" s="477" t="s">
        <v>2072</v>
      </c>
      <c r="C10" s="249" t="s">
        <v>3344</v>
      </c>
      <c r="D10" s="468" t="s">
        <v>3345</v>
      </c>
      <c r="E10" s="468" t="s">
        <v>290</v>
      </c>
      <c r="F10" s="468" t="s">
        <v>159</v>
      </c>
      <c r="G10">
        <v>2</v>
      </c>
    </row>
    <row r="11" spans="1:8" ht="14" x14ac:dyDescent="0.3">
      <c r="B11" s="477" t="s">
        <v>2072</v>
      </c>
      <c r="C11" s="249" t="s">
        <v>3346</v>
      </c>
      <c r="D11" s="468" t="s">
        <v>3347</v>
      </c>
      <c r="E11" s="468" t="s">
        <v>290</v>
      </c>
      <c r="F11" s="468" t="s">
        <v>159</v>
      </c>
      <c r="G11">
        <v>3</v>
      </c>
    </row>
    <row r="12" spans="1:8" ht="15.75" customHeight="1" x14ac:dyDescent="0.3">
      <c r="B12" s="563" t="s">
        <v>2072</v>
      </c>
      <c r="C12" s="248" t="s">
        <v>3348</v>
      </c>
      <c r="D12" s="522" t="s">
        <v>3349</v>
      </c>
      <c r="E12" s="522" t="s">
        <v>171</v>
      </c>
      <c r="F12" s="522" t="s">
        <v>159</v>
      </c>
    </row>
    <row r="13" spans="1:8" ht="15.75" customHeight="1" x14ac:dyDescent="0.3">
      <c r="B13" s="563" t="s">
        <v>2072</v>
      </c>
      <c r="C13" s="248" t="s">
        <v>3350</v>
      </c>
      <c r="D13" s="522" t="s">
        <v>3351</v>
      </c>
      <c r="E13" s="522" t="s">
        <v>178</v>
      </c>
      <c r="F13" s="522" t="s">
        <v>159</v>
      </c>
    </row>
    <row r="14" spans="1:8" ht="15.75" customHeight="1" x14ac:dyDescent="0.3">
      <c r="B14" s="477" t="s">
        <v>2072</v>
      </c>
      <c r="C14" s="248" t="s">
        <v>3352</v>
      </c>
      <c r="D14" s="522" t="s">
        <v>3353</v>
      </c>
      <c r="E14" s="522" t="s">
        <v>171</v>
      </c>
      <c r="F14" s="468" t="s">
        <v>159</v>
      </c>
      <c r="G14" s="479"/>
      <c r="H14" s="479"/>
    </row>
    <row r="15" spans="1:8" ht="15.75" customHeight="1" x14ac:dyDescent="0.3">
      <c r="B15" s="477" t="s">
        <v>2072</v>
      </c>
      <c r="C15" s="249" t="s">
        <v>1873</v>
      </c>
      <c r="D15" s="468" t="s">
        <v>1874</v>
      </c>
      <c r="E15" s="468" t="s">
        <v>171</v>
      </c>
      <c r="F15" s="522" t="s">
        <v>159</v>
      </c>
    </row>
    <row r="16" spans="1:8" ht="15.75" customHeight="1" x14ac:dyDescent="0.3">
      <c r="B16" s="477" t="s">
        <v>2072</v>
      </c>
      <c r="C16" s="249" t="s">
        <v>3354</v>
      </c>
      <c r="D16" s="468" t="s">
        <v>3355</v>
      </c>
      <c r="E16" s="522" t="s">
        <v>171</v>
      </c>
      <c r="F16" s="522" t="s">
        <v>164</v>
      </c>
    </row>
    <row r="17" spans="2:6" ht="15.75" customHeight="1" x14ac:dyDescent="0.3">
      <c r="B17" s="476"/>
      <c r="C17" s="249" t="s">
        <v>3356</v>
      </c>
      <c r="D17" s="468" t="s">
        <v>3357</v>
      </c>
      <c r="E17" s="468" t="s">
        <v>178</v>
      </c>
      <c r="F17" s="468" t="s">
        <v>159</v>
      </c>
    </row>
    <row r="18" spans="2:6" ht="15.75" customHeight="1" x14ac:dyDescent="0.3">
      <c r="B18" s="476"/>
      <c r="C18" s="249" t="s">
        <v>2237</v>
      </c>
      <c r="D18" s="468" t="s">
        <v>1083</v>
      </c>
      <c r="E18" s="468" t="s">
        <v>178</v>
      </c>
      <c r="F18" s="468" t="s">
        <v>159</v>
      </c>
    </row>
    <row r="19" spans="2:6" ht="15.75" customHeight="1" x14ac:dyDescent="0.3">
      <c r="C19" s="249" t="s">
        <v>2956</v>
      </c>
      <c r="D19" s="468" t="s">
        <v>2957</v>
      </c>
      <c r="E19" s="468" t="s">
        <v>171</v>
      </c>
      <c r="F19" s="468" t="s">
        <v>159</v>
      </c>
    </row>
    <row r="20" spans="2:6" ht="15.75" customHeight="1" x14ac:dyDescent="0.3">
      <c r="C20" s="249" t="s">
        <v>3159</v>
      </c>
      <c r="D20" s="468" t="s">
        <v>3358</v>
      </c>
      <c r="E20" s="468" t="s">
        <v>171</v>
      </c>
      <c r="F20" s="468" t="s">
        <v>159</v>
      </c>
    </row>
    <row r="21" spans="2:6" ht="15.75" customHeight="1" x14ac:dyDescent="0.25"/>
    <row r="22" spans="2:6" ht="15.75" customHeight="1" x14ac:dyDescent="0.25">
      <c r="C22" s="509">
        <v>44927</v>
      </c>
    </row>
    <row r="23" spans="2:6" ht="15.75" customHeight="1" x14ac:dyDescent="0.25">
      <c r="C23" s="479" t="s">
        <v>3359</v>
      </c>
    </row>
    <row r="24" spans="2:6" ht="15.75" customHeight="1" x14ac:dyDescent="0.25"/>
    <row r="25" spans="2:6" ht="15.75" customHeight="1" x14ac:dyDescent="0.25">
      <c r="C25" s="509">
        <v>44958</v>
      </c>
    </row>
    <row r="26" spans="2:6" ht="15.75" customHeight="1" x14ac:dyDescent="0.25">
      <c r="C26" s="479" t="s">
        <v>2228</v>
      </c>
    </row>
    <row r="27" spans="2:6" ht="15.75" customHeight="1" x14ac:dyDescent="0.25">
      <c r="C27" s="479" t="s">
        <v>2229</v>
      </c>
    </row>
    <row r="28" spans="2:6" ht="15.75" customHeight="1" x14ac:dyDescent="0.25">
      <c r="C28" s="479" t="s">
        <v>2230</v>
      </c>
    </row>
    <row r="29" spans="2:6" ht="15.75" customHeight="1" x14ac:dyDescent="0.25">
      <c r="C29" s="479" t="s">
        <v>2231</v>
      </c>
    </row>
    <row r="30" spans="2:6" ht="15.75" customHeight="1" x14ac:dyDescent="0.3">
      <c r="C30" s="524" t="s">
        <v>2232</v>
      </c>
    </row>
    <row r="31" spans="2:6" ht="15.75" customHeight="1" x14ac:dyDescent="0.3">
      <c r="C31" s="524" t="s">
        <v>2233</v>
      </c>
    </row>
    <row r="32" spans="2:6" ht="15.75" customHeight="1" x14ac:dyDescent="0.3">
      <c r="C32" s="524" t="s">
        <v>2234</v>
      </c>
    </row>
    <row r="33" spans="3:3" ht="15.75" customHeight="1" x14ac:dyDescent="0.3">
      <c r="C33" s="524" t="s">
        <v>2235</v>
      </c>
    </row>
    <row r="34" spans="3:3" ht="15.75" customHeight="1" x14ac:dyDescent="0.3">
      <c r="C34" s="524" t="s">
        <v>2236</v>
      </c>
    </row>
    <row r="35" spans="3:3" ht="15.75" customHeight="1" x14ac:dyDescent="0.25"/>
    <row r="36" spans="3:3" ht="15.75" customHeight="1" x14ac:dyDescent="0.25">
      <c r="C36" s="337">
        <v>45047</v>
      </c>
    </row>
    <row r="37" spans="3:3" ht="15.75" customHeight="1" x14ac:dyDescent="0.25">
      <c r="C37" s="479" t="s">
        <v>3360</v>
      </c>
    </row>
    <row r="38" spans="3:3" ht="15.75" customHeight="1" x14ac:dyDescent="0.25">
      <c r="C38" s="479"/>
    </row>
    <row r="39" spans="3:3" ht="15.75" customHeight="1" x14ac:dyDescent="0.25"/>
    <row r="40" spans="3:3" ht="15.75" customHeight="1" x14ac:dyDescent="0.25">
      <c r="C40" s="337">
        <v>45078</v>
      </c>
    </row>
    <row r="41" spans="3:3" ht="15.75" customHeight="1" x14ac:dyDescent="0.25">
      <c r="C41" s="479" t="s">
        <v>3361</v>
      </c>
    </row>
    <row r="42" spans="3:3" ht="15.75" customHeight="1" x14ac:dyDescent="0.25">
      <c r="C42" s="479" t="s">
        <v>1850</v>
      </c>
    </row>
    <row r="43" spans="3:3" ht="15.75" customHeight="1" x14ac:dyDescent="0.25"/>
    <row r="44" spans="3:3" ht="15.75" customHeight="1" x14ac:dyDescent="0.25">
      <c r="C44" s="337">
        <v>45108</v>
      </c>
    </row>
    <row r="45" spans="3:3" ht="15.75" customHeight="1" x14ac:dyDescent="0.25">
      <c r="C45" s="479" t="s">
        <v>3362</v>
      </c>
    </row>
    <row r="46" spans="3:3" ht="15.75" customHeight="1" x14ac:dyDescent="0.25"/>
    <row r="47" spans="3:3" ht="15.75" customHeight="1" x14ac:dyDescent="0.25">
      <c r="C47" s="337">
        <v>45139</v>
      </c>
    </row>
    <row r="48" spans="3:3" ht="15.75" customHeight="1" x14ac:dyDescent="0.25">
      <c r="C48" s="479" t="s">
        <v>3363</v>
      </c>
    </row>
    <row r="49" spans="2:10" ht="15.75" customHeight="1" x14ac:dyDescent="0.25"/>
    <row r="50" spans="2:10" ht="15.75" customHeight="1" x14ac:dyDescent="0.25">
      <c r="C50" s="337">
        <v>45170</v>
      </c>
    </row>
    <row r="51" spans="2:10" ht="15.75" customHeight="1" x14ac:dyDescent="0.25"/>
    <row r="52" spans="2:10" ht="15.75" customHeight="1" x14ac:dyDescent="0.3">
      <c r="C52" s="249" t="s">
        <v>3364</v>
      </c>
      <c r="D52" s="468" t="s">
        <v>3365</v>
      </c>
      <c r="E52" s="468" t="s">
        <v>167</v>
      </c>
      <c r="F52" s="468" t="s">
        <v>159</v>
      </c>
      <c r="G52" s="479" t="s">
        <v>3366</v>
      </c>
      <c r="H52" s="564" t="s">
        <v>3367</v>
      </c>
    </row>
    <row r="53" spans="2:10" ht="15.75" customHeight="1" x14ac:dyDescent="0.25"/>
    <row r="54" spans="2:10" ht="15.75" customHeight="1" x14ac:dyDescent="0.25">
      <c r="C54" s="510">
        <v>45536</v>
      </c>
    </row>
    <row r="55" spans="2:10" ht="15.75" customHeight="1" x14ac:dyDescent="0.3">
      <c r="C55" s="249" t="s">
        <v>3368</v>
      </c>
      <c r="D55" s="468" t="s">
        <v>3369</v>
      </c>
      <c r="E55" s="468" t="s">
        <v>178</v>
      </c>
      <c r="F55" s="468" t="s">
        <v>164</v>
      </c>
      <c r="G55" s="623" t="s">
        <v>3370</v>
      </c>
      <c r="H55" s="623"/>
      <c r="I55" s="623"/>
      <c r="J55" s="623"/>
    </row>
    <row r="56" spans="2:10" ht="15.75" customHeight="1" x14ac:dyDescent="0.25"/>
    <row r="57" spans="2:10" ht="15.75" customHeight="1" x14ac:dyDescent="0.3">
      <c r="C57" s="249" t="s">
        <v>3368</v>
      </c>
      <c r="D57" s="468" t="s">
        <v>3369</v>
      </c>
      <c r="E57" s="468" t="s">
        <v>178</v>
      </c>
      <c r="F57" s="468" t="s">
        <v>164</v>
      </c>
      <c r="G57" s="504" t="s">
        <v>3371</v>
      </c>
    </row>
    <row r="58" spans="2:10" ht="15.75" customHeight="1" x14ac:dyDescent="0.25">
      <c r="C58" s="510">
        <v>45627</v>
      </c>
    </row>
    <row r="59" spans="2:10" ht="15.75" customHeight="1" x14ac:dyDescent="0.3">
      <c r="C59" s="249" t="s">
        <v>2237</v>
      </c>
      <c r="D59" s="468" t="s">
        <v>1083</v>
      </c>
      <c r="E59" s="468" t="s">
        <v>178</v>
      </c>
      <c r="F59" s="468" t="s">
        <v>159</v>
      </c>
      <c r="G59" s="623" t="s">
        <v>3372</v>
      </c>
      <c r="H59" s="623"/>
      <c r="I59" s="623"/>
    </row>
    <row r="60" spans="2:10" ht="15.75" customHeight="1" x14ac:dyDescent="0.25"/>
    <row r="61" spans="2:10" ht="15.75" customHeight="1" x14ac:dyDescent="0.25">
      <c r="C61" t="s">
        <v>3373</v>
      </c>
    </row>
    <row r="62" spans="2:10" ht="15.75" customHeight="1" x14ac:dyDescent="0.3">
      <c r="B62" s="477" t="s">
        <v>2072</v>
      </c>
      <c r="C62" s="249" t="s">
        <v>3368</v>
      </c>
      <c r="D62" s="468" t="s">
        <v>3369</v>
      </c>
      <c r="E62" s="468" t="s">
        <v>178</v>
      </c>
      <c r="F62" s="468" t="s">
        <v>164</v>
      </c>
      <c r="G62" s="623" t="s">
        <v>3370</v>
      </c>
      <c r="H62" s="623"/>
      <c r="I62" s="623"/>
      <c r="J62" s="623"/>
    </row>
    <row r="63" spans="2:10" ht="15.75" customHeight="1" x14ac:dyDescent="0.25"/>
    <row r="64" spans="2:10"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sheetData>
  <autoFilter ref="C3:F19" xr:uid="{00000000-0009-0000-0000-000027000000}"/>
  <mergeCells count="3">
    <mergeCell ref="G55:J55"/>
    <mergeCell ref="G59:I59"/>
    <mergeCell ref="G62:J62"/>
  </mergeCells>
  <pageMargins left="0.51180555555555596" right="0.51180555555555596" top="0.78749999999999998" bottom="0.78749999999999998" header="0.511811023622047" footer="0.511811023622047"/>
  <pageSetup orientation="landscape" horizontalDpi="300" verticalDpi="300"/>
  <legacyDrawing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dimension ref="B3:F998"/>
  <sheetViews>
    <sheetView topLeftCell="C1" zoomScale="110" zoomScaleNormal="110" workbookViewId="0">
      <selection activeCell="D4" activeCellId="1" sqref="B9 D4"/>
    </sheetView>
  </sheetViews>
  <sheetFormatPr defaultColWidth="12.6328125" defaultRowHeight="14.25" customHeight="1" x14ac:dyDescent="0.25"/>
  <cols>
    <col min="1" max="1" width="7.6328125" customWidth="1"/>
    <col min="2" max="2" width="11.90625" customWidth="1"/>
    <col min="3" max="3" width="10.08984375" customWidth="1"/>
    <col min="4" max="4" width="38.36328125" customWidth="1"/>
    <col min="5" max="5" width="9.7265625" customWidth="1"/>
    <col min="6" max="6" width="12" customWidth="1"/>
    <col min="7" max="26" width="7.6328125" customWidth="1"/>
  </cols>
  <sheetData>
    <row r="3" spans="2:6" ht="29.3" customHeight="1" x14ac:dyDescent="0.25">
      <c r="C3" s="212" t="s">
        <v>149</v>
      </c>
      <c r="D3" s="212" t="s">
        <v>150</v>
      </c>
      <c r="E3" s="212" t="s">
        <v>118</v>
      </c>
      <c r="F3" s="212" t="s">
        <v>970</v>
      </c>
    </row>
    <row r="4" spans="2:6" ht="14" x14ac:dyDescent="0.3">
      <c r="C4" s="249" t="s">
        <v>3374</v>
      </c>
      <c r="D4" s="468" t="s">
        <v>3375</v>
      </c>
      <c r="E4" s="469" t="s">
        <v>213</v>
      </c>
      <c r="F4" s="469" t="s">
        <v>159</v>
      </c>
    </row>
    <row r="5" spans="2:6" ht="14" x14ac:dyDescent="0.3">
      <c r="C5" s="249" t="s">
        <v>3376</v>
      </c>
      <c r="D5" s="468" t="s">
        <v>3377</v>
      </c>
      <c r="E5" s="469" t="s">
        <v>171</v>
      </c>
      <c r="F5" s="469" t="s">
        <v>159</v>
      </c>
    </row>
    <row r="6" spans="2:6" ht="14" x14ac:dyDescent="0.3">
      <c r="C6" s="249" t="s">
        <v>3378</v>
      </c>
      <c r="D6" s="468" t="s">
        <v>3379</v>
      </c>
      <c r="E6" s="469" t="s">
        <v>178</v>
      </c>
      <c r="F6" s="469" t="s">
        <v>159</v>
      </c>
    </row>
    <row r="7" spans="2:6" ht="14" x14ac:dyDescent="0.3">
      <c r="C7" s="249" t="s">
        <v>3380</v>
      </c>
      <c r="D7" s="468" t="s">
        <v>3381</v>
      </c>
      <c r="E7" s="469" t="s">
        <v>178</v>
      </c>
      <c r="F7" s="469" t="s">
        <v>159</v>
      </c>
    </row>
    <row r="8" spans="2:6" ht="14" x14ac:dyDescent="0.3">
      <c r="C8" s="249" t="s">
        <v>3382</v>
      </c>
      <c r="D8" s="468" t="s">
        <v>3383</v>
      </c>
      <c r="E8" s="469" t="s">
        <v>171</v>
      </c>
      <c r="F8" s="469" t="s">
        <v>159</v>
      </c>
    </row>
    <row r="9" spans="2:6" ht="14" x14ac:dyDescent="0.3">
      <c r="C9" s="249" t="s">
        <v>3384</v>
      </c>
      <c r="D9" s="468" t="s">
        <v>3385</v>
      </c>
      <c r="E9" s="469" t="s">
        <v>171</v>
      </c>
      <c r="F9" s="469" t="s">
        <v>159</v>
      </c>
    </row>
    <row r="10" spans="2:6" ht="14" x14ac:dyDescent="0.3">
      <c r="C10" s="249" t="s">
        <v>3386</v>
      </c>
      <c r="D10" s="468" t="s">
        <v>3387</v>
      </c>
      <c r="E10" s="469" t="s">
        <v>171</v>
      </c>
      <c r="F10" s="469" t="s">
        <v>159</v>
      </c>
    </row>
    <row r="11" spans="2:6" ht="14" x14ac:dyDescent="0.3">
      <c r="C11" s="249" t="s">
        <v>3388</v>
      </c>
      <c r="D11" s="468" t="s">
        <v>3389</v>
      </c>
      <c r="E11" s="469" t="s">
        <v>178</v>
      </c>
      <c r="F11" s="469" t="s">
        <v>159</v>
      </c>
    </row>
    <row r="12" spans="2:6" ht="14" x14ac:dyDescent="0.3">
      <c r="B12" s="479" t="s">
        <v>1853</v>
      </c>
      <c r="C12" s="249" t="s">
        <v>3390</v>
      </c>
      <c r="D12" s="468" t="s">
        <v>3391</v>
      </c>
      <c r="E12" s="469" t="s">
        <v>171</v>
      </c>
      <c r="F12" s="469" t="s">
        <v>159</v>
      </c>
    </row>
    <row r="13" spans="2:6" ht="14" x14ac:dyDescent="0.3">
      <c r="C13" s="249" t="s">
        <v>3392</v>
      </c>
      <c r="D13" s="468" t="s">
        <v>3393</v>
      </c>
      <c r="E13" s="469" t="s">
        <v>171</v>
      </c>
      <c r="F13" s="469" t="s">
        <v>159</v>
      </c>
    </row>
    <row r="14" spans="2:6" ht="14" x14ac:dyDescent="0.3">
      <c r="C14" s="249" t="s">
        <v>3394</v>
      </c>
      <c r="D14" s="468" t="s">
        <v>3395</v>
      </c>
      <c r="E14" s="469" t="s">
        <v>171</v>
      </c>
      <c r="F14" s="469" t="s">
        <v>159</v>
      </c>
    </row>
    <row r="15" spans="2:6" ht="14" x14ac:dyDescent="0.3">
      <c r="C15" s="249" t="s">
        <v>3396</v>
      </c>
      <c r="D15" s="468" t="s">
        <v>3397</v>
      </c>
      <c r="E15" s="469" t="s">
        <v>171</v>
      </c>
      <c r="F15" s="469" t="s">
        <v>168</v>
      </c>
    </row>
    <row r="16" spans="2:6" ht="14" x14ac:dyDescent="0.3">
      <c r="C16" s="249" t="s">
        <v>3398</v>
      </c>
      <c r="D16" s="468" t="s">
        <v>3399</v>
      </c>
      <c r="E16" s="469" t="s">
        <v>178</v>
      </c>
      <c r="F16" s="469" t="s">
        <v>168</v>
      </c>
    </row>
    <row r="17" spans="3:6" ht="14" x14ac:dyDescent="0.3">
      <c r="C17" s="249" t="s">
        <v>3400</v>
      </c>
      <c r="D17" s="468" t="s">
        <v>3401</v>
      </c>
      <c r="E17" s="469" t="s">
        <v>171</v>
      </c>
      <c r="F17" s="469" t="s">
        <v>159</v>
      </c>
    </row>
    <row r="18" spans="3:6" ht="14" x14ac:dyDescent="0.3">
      <c r="C18" s="249" t="s">
        <v>2579</v>
      </c>
      <c r="D18" s="468" t="s">
        <v>2580</v>
      </c>
      <c r="E18" s="469" t="s">
        <v>171</v>
      </c>
      <c r="F18" s="469" t="s">
        <v>159</v>
      </c>
    </row>
    <row r="19" spans="3:6" ht="15.75" customHeight="1" x14ac:dyDescent="0.3">
      <c r="C19" s="249"/>
      <c r="D19" s="468"/>
      <c r="E19" s="469"/>
      <c r="F19" s="469"/>
    </row>
    <row r="20" spans="3:6" ht="15.75" customHeight="1" x14ac:dyDescent="0.3">
      <c r="C20" s="249"/>
      <c r="D20" s="468"/>
      <c r="E20" s="469"/>
      <c r="F20" s="469"/>
    </row>
    <row r="21" spans="3:6" ht="15.75" customHeight="1" x14ac:dyDescent="0.3">
      <c r="C21" s="249"/>
      <c r="D21" s="468"/>
      <c r="E21" s="468"/>
      <c r="F21" s="468"/>
    </row>
    <row r="22" spans="3:6" ht="15.75" customHeight="1" x14ac:dyDescent="0.25"/>
    <row r="23" spans="3:6" ht="15.75" customHeight="1" x14ac:dyDescent="0.25"/>
    <row r="24" spans="3:6" ht="15.75" customHeight="1" x14ac:dyDescent="0.25">
      <c r="C24" s="629" t="s">
        <v>3402</v>
      </c>
      <c r="D24" s="629"/>
    </row>
    <row r="25" spans="3:6" ht="15.75" customHeight="1" x14ac:dyDescent="0.3">
      <c r="C25" s="249" t="s">
        <v>3403</v>
      </c>
      <c r="D25" s="468" t="s">
        <v>1616</v>
      </c>
      <c r="E25" s="469" t="s">
        <v>178</v>
      </c>
      <c r="F25" s="469" t="s">
        <v>159</v>
      </c>
    </row>
    <row r="26" spans="3:6" ht="15.75" customHeight="1" x14ac:dyDescent="0.25"/>
    <row r="27" spans="3:6" ht="15.75" customHeight="1" x14ac:dyDescent="0.25"/>
    <row r="28" spans="3:6" ht="15.75" customHeight="1" x14ac:dyDescent="0.25"/>
    <row r="29" spans="3:6" ht="15.75" customHeight="1" x14ac:dyDescent="0.25"/>
    <row r="30" spans="3:6" ht="15.75" customHeight="1" x14ac:dyDescent="0.25"/>
    <row r="31" spans="3:6" ht="15.75" customHeight="1" x14ac:dyDescent="0.25"/>
    <row r="32" spans="3:6"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sheetData>
  <autoFilter ref="C3:F21" xr:uid="{00000000-0009-0000-0000-000028000000}"/>
  <mergeCells count="1">
    <mergeCell ref="C24:D24"/>
  </mergeCells>
  <pageMargins left="0.51180555555555596" right="0.51180555555555596" top="0.78749999999999998" bottom="0.78749999999999998" header="0.511811023622047" footer="0.511811023622047"/>
  <pageSetup orientation="landscape" horizontalDpi="300" verticalDpi="300"/>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dimension ref="B3:F998"/>
  <sheetViews>
    <sheetView zoomScale="110" zoomScaleNormal="110" workbookViewId="0">
      <selection activeCell="D18" activeCellId="1" sqref="B9 D18"/>
    </sheetView>
  </sheetViews>
  <sheetFormatPr defaultColWidth="12.6328125" defaultRowHeight="14.25" customHeight="1" x14ac:dyDescent="0.25"/>
  <cols>
    <col min="1" max="2" width="7.6328125" customWidth="1"/>
    <col min="3" max="3" width="9.90625" customWidth="1"/>
    <col min="4" max="4" width="36" customWidth="1"/>
    <col min="5" max="5" width="7.6328125" customWidth="1"/>
    <col min="6" max="6" width="10.90625" customWidth="1"/>
    <col min="7" max="27" width="7.6328125" customWidth="1"/>
  </cols>
  <sheetData>
    <row r="3" spans="2:6" ht="36" customHeight="1" x14ac:dyDescent="0.25">
      <c r="C3" s="212" t="s">
        <v>149</v>
      </c>
      <c r="D3" s="212" t="s">
        <v>150</v>
      </c>
      <c r="E3" s="212" t="s">
        <v>118</v>
      </c>
      <c r="F3" s="212" t="s">
        <v>970</v>
      </c>
    </row>
    <row r="4" spans="2:6" ht="14" x14ac:dyDescent="0.3">
      <c r="C4" s="249" t="s">
        <v>3404</v>
      </c>
      <c r="D4" s="468" t="s">
        <v>3405</v>
      </c>
      <c r="E4" s="469" t="s">
        <v>213</v>
      </c>
      <c r="F4" s="469" t="s">
        <v>159</v>
      </c>
    </row>
    <row r="5" spans="2:6" ht="14" x14ac:dyDescent="0.3">
      <c r="C5" s="249" t="s">
        <v>3406</v>
      </c>
      <c r="D5" s="468" t="s">
        <v>3407</v>
      </c>
      <c r="E5" s="469" t="s">
        <v>178</v>
      </c>
      <c r="F5" s="469" t="s">
        <v>159</v>
      </c>
    </row>
    <row r="6" spans="2:6" ht="14" x14ac:dyDescent="0.3">
      <c r="C6" s="249" t="s">
        <v>3408</v>
      </c>
      <c r="D6" s="468" t="s">
        <v>3409</v>
      </c>
      <c r="E6" s="469" t="s">
        <v>171</v>
      </c>
      <c r="F6" s="469" t="s">
        <v>159</v>
      </c>
    </row>
    <row r="7" spans="2:6" ht="14" x14ac:dyDescent="0.3">
      <c r="C7" s="249" t="s">
        <v>3410</v>
      </c>
      <c r="D7" s="468" t="s">
        <v>3411</v>
      </c>
      <c r="E7" s="469" t="s">
        <v>178</v>
      </c>
      <c r="F7" s="469" t="s">
        <v>159</v>
      </c>
    </row>
    <row r="8" spans="2:6" ht="14" x14ac:dyDescent="0.3">
      <c r="C8" s="249" t="s">
        <v>3412</v>
      </c>
      <c r="D8" s="468" t="s">
        <v>3413</v>
      </c>
      <c r="E8" s="469" t="s">
        <v>171</v>
      </c>
      <c r="F8" s="469" t="s">
        <v>159</v>
      </c>
    </row>
    <row r="9" spans="2:6" ht="14" x14ac:dyDescent="0.3">
      <c r="C9" s="249" t="s">
        <v>3414</v>
      </c>
      <c r="D9" s="468" t="s">
        <v>3415</v>
      </c>
      <c r="E9" s="469" t="s">
        <v>171</v>
      </c>
      <c r="F9" s="469" t="s">
        <v>159</v>
      </c>
    </row>
    <row r="10" spans="2:6" ht="27.4" x14ac:dyDescent="0.3">
      <c r="B10" s="479" t="s">
        <v>1853</v>
      </c>
      <c r="C10" s="249" t="s">
        <v>3416</v>
      </c>
      <c r="D10" s="468" t="s">
        <v>3417</v>
      </c>
      <c r="E10" s="469" t="s">
        <v>178</v>
      </c>
      <c r="F10" s="469" t="s">
        <v>159</v>
      </c>
    </row>
    <row r="11" spans="2:6" ht="14" x14ac:dyDescent="0.3">
      <c r="C11" s="249" t="s">
        <v>3418</v>
      </c>
      <c r="D11" s="468" t="s">
        <v>3419</v>
      </c>
      <c r="E11" s="469"/>
      <c r="F11" s="469" t="s">
        <v>164</v>
      </c>
    </row>
    <row r="12" spans="2:6" ht="14" x14ac:dyDescent="0.3">
      <c r="C12" s="249" t="s">
        <v>3420</v>
      </c>
      <c r="D12" s="468" t="s">
        <v>3421</v>
      </c>
      <c r="E12" s="469" t="s">
        <v>171</v>
      </c>
      <c r="F12" s="469" t="s">
        <v>159</v>
      </c>
    </row>
    <row r="13" spans="2:6" ht="14" x14ac:dyDescent="0.3">
      <c r="C13" s="249" t="s">
        <v>3422</v>
      </c>
      <c r="D13" s="468" t="s">
        <v>3423</v>
      </c>
      <c r="E13" s="469" t="s">
        <v>171</v>
      </c>
      <c r="F13" s="469" t="s">
        <v>159</v>
      </c>
    </row>
    <row r="14" spans="2:6" ht="14" x14ac:dyDescent="0.3">
      <c r="C14" s="249" t="s">
        <v>3424</v>
      </c>
      <c r="D14" s="468" t="s">
        <v>3425</v>
      </c>
      <c r="E14" s="469" t="s">
        <v>171</v>
      </c>
      <c r="F14" s="469" t="s">
        <v>159</v>
      </c>
    </row>
    <row r="15" spans="2:6" ht="14" x14ac:dyDescent="0.3">
      <c r="C15" s="249" t="s">
        <v>3426</v>
      </c>
      <c r="D15" s="468" t="s">
        <v>3427</v>
      </c>
      <c r="E15" s="469" t="s">
        <v>171</v>
      </c>
      <c r="F15" s="469" t="s">
        <v>159</v>
      </c>
    </row>
    <row r="16" spans="2:6" ht="14" x14ac:dyDescent="0.3">
      <c r="C16" s="249" t="s">
        <v>3428</v>
      </c>
      <c r="D16" s="468" t="s">
        <v>3429</v>
      </c>
      <c r="E16" s="469" t="s">
        <v>171</v>
      </c>
      <c r="F16" s="469" t="s">
        <v>159</v>
      </c>
    </row>
    <row r="17" spans="3:6" ht="14" x14ac:dyDescent="0.3">
      <c r="C17" s="249" t="s">
        <v>3430</v>
      </c>
      <c r="D17" s="468" t="s">
        <v>3431</v>
      </c>
      <c r="E17" s="469" t="s">
        <v>171</v>
      </c>
      <c r="F17" s="469" t="s">
        <v>159</v>
      </c>
    </row>
    <row r="18" spans="3:6" ht="14" x14ac:dyDescent="0.3">
      <c r="C18" s="249" t="s">
        <v>3432</v>
      </c>
      <c r="D18" s="468" t="s">
        <v>3433</v>
      </c>
      <c r="E18" s="469" t="s">
        <v>171</v>
      </c>
      <c r="F18" s="469" t="s">
        <v>159</v>
      </c>
    </row>
    <row r="19" spans="3:6" ht="15.75" customHeight="1" x14ac:dyDescent="0.3">
      <c r="C19" s="249"/>
      <c r="D19" s="468"/>
      <c r="E19" s="469"/>
      <c r="F19" s="469"/>
    </row>
    <row r="20" spans="3:6" ht="15.75" customHeight="1" x14ac:dyDescent="0.3">
      <c r="C20" s="249"/>
      <c r="D20" s="468"/>
      <c r="E20" s="469"/>
      <c r="F20" s="469"/>
    </row>
    <row r="21" spans="3:6" ht="15.75" customHeight="1" x14ac:dyDescent="0.3">
      <c r="C21" s="249"/>
      <c r="D21" s="468"/>
      <c r="E21" s="469"/>
      <c r="F21" s="469"/>
    </row>
    <row r="22" spans="3:6" ht="15.75" customHeight="1" x14ac:dyDescent="0.25"/>
    <row r="23" spans="3:6" ht="15.75" customHeight="1" x14ac:dyDescent="0.25"/>
    <row r="24" spans="3:6" ht="15.75" customHeight="1" x14ac:dyDescent="0.25"/>
    <row r="25" spans="3:6" ht="15.75" customHeight="1" x14ac:dyDescent="0.25"/>
    <row r="26" spans="3:6" ht="15.75" customHeight="1" x14ac:dyDescent="0.3">
      <c r="C26" s="507">
        <v>44409</v>
      </c>
    </row>
    <row r="27" spans="3:6" ht="15.75" customHeight="1" x14ac:dyDescent="0.3">
      <c r="C27" s="16" t="s">
        <v>3434</v>
      </c>
    </row>
    <row r="28" spans="3:6" ht="15.75" customHeight="1" x14ac:dyDescent="0.3">
      <c r="C28" s="16" t="s">
        <v>3435</v>
      </c>
    </row>
    <row r="29" spans="3:6" ht="15.75" customHeight="1" x14ac:dyDescent="0.25"/>
    <row r="30" spans="3:6" ht="15.75" customHeight="1" x14ac:dyDescent="0.25"/>
    <row r="31" spans="3:6" ht="15.75" customHeight="1" x14ac:dyDescent="0.25"/>
    <row r="32" spans="3:6"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sheetData>
  <autoFilter ref="C3:F21" xr:uid="{00000000-0009-0000-0000-000029000000}"/>
  <pageMargins left="0.51180555555555596" right="0.51180555555555596" top="0.78749999999999998" bottom="0.78749999999999998" header="0.511811023622047" footer="0.511811023622047"/>
  <pageSetup orientation="landscape" horizontalDpi="300" verticalDpi="30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filterMode="1"/>
  <dimension ref="B3:J61"/>
  <sheetViews>
    <sheetView topLeftCell="A24" zoomScale="110" zoomScaleNormal="110" workbookViewId="0">
      <selection activeCell="I37" activeCellId="1" sqref="B9 I37"/>
    </sheetView>
  </sheetViews>
  <sheetFormatPr defaultColWidth="12.6328125" defaultRowHeight="14.25" customHeight="1" x14ac:dyDescent="0.25"/>
  <cols>
    <col min="4" max="4" width="38" customWidth="1"/>
  </cols>
  <sheetData>
    <row r="3" spans="2:7" ht="29.95" customHeight="1" x14ac:dyDescent="0.25">
      <c r="C3" s="212" t="s">
        <v>149</v>
      </c>
      <c r="D3" s="212" t="s">
        <v>150</v>
      </c>
      <c r="E3" s="212" t="s">
        <v>118</v>
      </c>
      <c r="F3" s="212" t="s">
        <v>970</v>
      </c>
      <c r="G3" s="212" t="s">
        <v>1651</v>
      </c>
    </row>
    <row r="4" spans="2:7" ht="15.05" customHeight="1" x14ac:dyDescent="0.3">
      <c r="C4" s="249" t="s">
        <v>3256</v>
      </c>
      <c r="D4" s="468" t="s">
        <v>3436</v>
      </c>
      <c r="E4" s="469" t="s">
        <v>290</v>
      </c>
      <c r="F4" s="469" t="s">
        <v>168</v>
      </c>
      <c r="G4" s="469" t="s">
        <v>3437</v>
      </c>
    </row>
    <row r="5" spans="2:7" ht="15.05" customHeight="1" x14ac:dyDescent="0.3">
      <c r="C5" s="249" t="s">
        <v>3438</v>
      </c>
      <c r="D5" s="468" t="s">
        <v>3439</v>
      </c>
      <c r="E5" s="469" t="s">
        <v>171</v>
      </c>
      <c r="F5" s="469" t="s">
        <v>159</v>
      </c>
      <c r="G5" s="469" t="s">
        <v>3437</v>
      </c>
    </row>
    <row r="6" spans="2:7" ht="15.05" customHeight="1" x14ac:dyDescent="0.3">
      <c r="C6" s="249" t="s">
        <v>3440</v>
      </c>
      <c r="D6" s="468" t="s">
        <v>3441</v>
      </c>
      <c r="E6" s="469" t="s">
        <v>290</v>
      </c>
      <c r="F6" s="469" t="s">
        <v>159</v>
      </c>
      <c r="G6" s="469" t="s">
        <v>3437</v>
      </c>
    </row>
    <row r="7" spans="2:7" ht="15.05" customHeight="1" x14ac:dyDescent="0.3">
      <c r="C7" s="249" t="s">
        <v>3442</v>
      </c>
      <c r="D7" s="468" t="s">
        <v>3443</v>
      </c>
      <c r="E7" s="469" t="s">
        <v>213</v>
      </c>
      <c r="F7" s="469" t="s">
        <v>159</v>
      </c>
      <c r="G7" s="469" t="s">
        <v>3437</v>
      </c>
    </row>
    <row r="8" spans="2:7" ht="15.05" customHeight="1" x14ac:dyDescent="0.3">
      <c r="C8" s="249" t="s">
        <v>3444</v>
      </c>
      <c r="D8" s="468" t="s">
        <v>3445</v>
      </c>
      <c r="E8" s="469" t="s">
        <v>290</v>
      </c>
      <c r="F8" s="469" t="s">
        <v>159</v>
      </c>
      <c r="G8" s="469" t="s">
        <v>3437</v>
      </c>
    </row>
    <row r="9" spans="2:7" ht="15.05" customHeight="1" x14ac:dyDescent="0.3">
      <c r="C9" s="249" t="s">
        <v>3446</v>
      </c>
      <c r="D9" s="468" t="s">
        <v>3447</v>
      </c>
      <c r="E9" s="469" t="s">
        <v>167</v>
      </c>
      <c r="F9" s="469" t="s">
        <v>159</v>
      </c>
      <c r="G9" s="469" t="s">
        <v>3437</v>
      </c>
    </row>
    <row r="10" spans="2:7" ht="15.05" customHeight="1" x14ac:dyDescent="0.3">
      <c r="C10" s="249" t="s">
        <v>3448</v>
      </c>
      <c r="D10" s="468" t="s">
        <v>3449</v>
      </c>
      <c r="E10" s="469" t="s">
        <v>178</v>
      </c>
      <c r="F10" s="469" t="s">
        <v>159</v>
      </c>
      <c r="G10" s="469" t="s">
        <v>3437</v>
      </c>
    </row>
    <row r="11" spans="2:7" ht="15.05" customHeight="1" x14ac:dyDescent="0.3">
      <c r="C11" s="249" t="s">
        <v>3450</v>
      </c>
      <c r="D11" s="468" t="s">
        <v>1619</v>
      </c>
      <c r="E11" s="469" t="s">
        <v>171</v>
      </c>
      <c r="F11" s="469" t="s">
        <v>159</v>
      </c>
      <c r="G11" s="469" t="s">
        <v>3437</v>
      </c>
    </row>
    <row r="12" spans="2:7" ht="15.05" customHeight="1" x14ac:dyDescent="0.3">
      <c r="B12" s="479" t="s">
        <v>1853</v>
      </c>
      <c r="C12" s="249" t="s">
        <v>3451</v>
      </c>
      <c r="D12" s="468" t="s">
        <v>3452</v>
      </c>
      <c r="E12" s="469" t="s">
        <v>171</v>
      </c>
      <c r="F12" s="469" t="s">
        <v>164</v>
      </c>
      <c r="G12" s="469" t="s">
        <v>3437</v>
      </c>
    </row>
    <row r="13" spans="2:7" ht="15.05" customHeight="1" x14ac:dyDescent="0.3">
      <c r="C13" s="249" t="s">
        <v>3453</v>
      </c>
      <c r="D13" s="468" t="s">
        <v>3454</v>
      </c>
      <c r="E13" s="469" t="s">
        <v>178</v>
      </c>
      <c r="F13" s="469" t="s">
        <v>159</v>
      </c>
      <c r="G13" s="469" t="s">
        <v>3437</v>
      </c>
    </row>
    <row r="14" spans="2:7" ht="15.05" customHeight="1" x14ac:dyDescent="0.3">
      <c r="C14" s="249" t="s">
        <v>3455</v>
      </c>
      <c r="D14" s="468" t="s">
        <v>3456</v>
      </c>
      <c r="E14" s="469" t="s">
        <v>178</v>
      </c>
      <c r="F14" s="469" t="s">
        <v>159</v>
      </c>
      <c r="G14" s="469" t="s">
        <v>3437</v>
      </c>
    </row>
    <row r="15" spans="2:7" ht="15.05" customHeight="1" x14ac:dyDescent="0.3">
      <c r="C15" s="249" t="s">
        <v>3457</v>
      </c>
      <c r="D15" s="468" t="s">
        <v>3458</v>
      </c>
      <c r="E15" s="469" t="s">
        <v>171</v>
      </c>
      <c r="F15" s="469" t="s">
        <v>159</v>
      </c>
      <c r="G15" s="469" t="s">
        <v>3437</v>
      </c>
    </row>
    <row r="16" spans="2:7" ht="15.05" customHeight="1" x14ac:dyDescent="0.3">
      <c r="C16" s="249" t="s">
        <v>3459</v>
      </c>
      <c r="D16" s="468" t="s">
        <v>3460</v>
      </c>
      <c r="E16" s="469" t="s">
        <v>178</v>
      </c>
      <c r="F16" s="469" t="s">
        <v>159</v>
      </c>
      <c r="G16" s="469" t="s">
        <v>3437</v>
      </c>
    </row>
    <row r="17" spans="3:8" ht="15.05" customHeight="1" x14ac:dyDescent="0.3">
      <c r="C17" s="249" t="s">
        <v>3461</v>
      </c>
      <c r="D17" s="468" t="s">
        <v>3462</v>
      </c>
      <c r="E17" s="469" t="s">
        <v>171</v>
      </c>
      <c r="F17" s="469" t="s">
        <v>159</v>
      </c>
      <c r="G17" s="469" t="s">
        <v>3437</v>
      </c>
    </row>
    <row r="18" spans="3:8" ht="15.05" customHeight="1" x14ac:dyDescent="0.3">
      <c r="C18" s="249" t="s">
        <v>3463</v>
      </c>
      <c r="D18" s="468" t="s">
        <v>3464</v>
      </c>
      <c r="E18" s="469" t="s">
        <v>167</v>
      </c>
      <c r="F18" s="469" t="s">
        <v>159</v>
      </c>
      <c r="G18" s="469" t="s">
        <v>3437</v>
      </c>
    </row>
    <row r="19" spans="3:8" ht="15.05" customHeight="1" x14ac:dyDescent="0.3">
      <c r="C19" s="249" t="s">
        <v>3465</v>
      </c>
      <c r="D19" s="468" t="s">
        <v>3466</v>
      </c>
      <c r="E19" s="469" t="s">
        <v>171</v>
      </c>
      <c r="F19" s="469" t="s">
        <v>159</v>
      </c>
      <c r="G19" s="469" t="s">
        <v>3437</v>
      </c>
    </row>
    <row r="20" spans="3:8" ht="15.05" customHeight="1" x14ac:dyDescent="0.3">
      <c r="C20" s="249" t="s">
        <v>3467</v>
      </c>
      <c r="D20" s="468" t="s">
        <v>3468</v>
      </c>
      <c r="E20" s="469" t="s">
        <v>171</v>
      </c>
      <c r="F20" s="469" t="s">
        <v>159</v>
      </c>
      <c r="G20" s="469" t="s">
        <v>3437</v>
      </c>
    </row>
    <row r="21" spans="3:8" ht="14" hidden="1" x14ac:dyDescent="0.3">
      <c r="C21" s="249" t="s">
        <v>3469</v>
      </c>
      <c r="D21" s="468" t="s">
        <v>3470</v>
      </c>
      <c r="E21" s="469" t="s">
        <v>213</v>
      </c>
      <c r="F21" s="469" t="s">
        <v>159</v>
      </c>
      <c r="G21" s="469" t="s">
        <v>2449</v>
      </c>
      <c r="H21" s="16" t="s">
        <v>3471</v>
      </c>
    </row>
    <row r="22" spans="3:8" ht="14" hidden="1" x14ac:dyDescent="0.3">
      <c r="C22" s="249" t="s">
        <v>3472</v>
      </c>
      <c r="D22" s="468" t="s">
        <v>3473</v>
      </c>
      <c r="E22" s="469" t="s">
        <v>171</v>
      </c>
      <c r="F22" s="469" t="s">
        <v>159</v>
      </c>
      <c r="G22" s="469" t="s">
        <v>2449</v>
      </c>
      <c r="H22" s="16" t="s">
        <v>2510</v>
      </c>
    </row>
    <row r="23" spans="3:8" ht="14" hidden="1" x14ac:dyDescent="0.3">
      <c r="C23" s="249" t="s">
        <v>3474</v>
      </c>
      <c r="D23" s="468" t="s">
        <v>3475</v>
      </c>
      <c r="E23" s="469" t="s">
        <v>171</v>
      </c>
      <c r="F23" s="469" t="s">
        <v>159</v>
      </c>
      <c r="G23" s="469" t="s">
        <v>2449</v>
      </c>
      <c r="H23" s="16" t="s">
        <v>2450</v>
      </c>
    </row>
    <row r="24" spans="3:8" ht="15.05" customHeight="1" x14ac:dyDescent="0.3">
      <c r="C24" s="249" t="s">
        <v>3476</v>
      </c>
      <c r="D24" s="468" t="s">
        <v>3477</v>
      </c>
      <c r="E24" s="469" t="s">
        <v>171</v>
      </c>
      <c r="F24" s="469" t="s">
        <v>159</v>
      </c>
      <c r="G24" s="469" t="s">
        <v>3478</v>
      </c>
    </row>
    <row r="25" spans="3:8" ht="15.05" customHeight="1" x14ac:dyDescent="0.3">
      <c r="C25" s="249" t="s">
        <v>3479</v>
      </c>
      <c r="D25" s="468" t="s">
        <v>3480</v>
      </c>
      <c r="E25" s="469" t="s">
        <v>171</v>
      </c>
      <c r="F25" s="469" t="s">
        <v>159</v>
      </c>
      <c r="G25" s="469" t="s">
        <v>3478</v>
      </c>
    </row>
    <row r="26" spans="3:8" ht="15.05" customHeight="1" x14ac:dyDescent="0.3">
      <c r="C26" s="249" t="s">
        <v>3481</v>
      </c>
      <c r="D26" s="468" t="s">
        <v>3482</v>
      </c>
      <c r="E26" s="469" t="s">
        <v>171</v>
      </c>
      <c r="F26" s="469" t="s">
        <v>159</v>
      </c>
      <c r="G26" s="469" t="s">
        <v>3478</v>
      </c>
    </row>
    <row r="27" spans="3:8" ht="15.05" customHeight="1" x14ac:dyDescent="0.3">
      <c r="C27" s="249" t="s">
        <v>3483</v>
      </c>
      <c r="D27" s="468" t="s">
        <v>3484</v>
      </c>
      <c r="E27" s="469" t="s">
        <v>171</v>
      </c>
      <c r="F27" s="469" t="s">
        <v>159</v>
      </c>
      <c r="G27" s="469" t="s">
        <v>3478</v>
      </c>
    </row>
    <row r="28" spans="3:8" ht="15.05" customHeight="1" x14ac:dyDescent="0.3">
      <c r="C28" s="249" t="s">
        <v>3485</v>
      </c>
      <c r="D28" s="468" t="s">
        <v>3486</v>
      </c>
      <c r="E28" s="469" t="s">
        <v>213</v>
      </c>
      <c r="F28" s="469" t="s">
        <v>159</v>
      </c>
      <c r="G28" s="469" t="s">
        <v>3478</v>
      </c>
    </row>
    <row r="29" spans="3:8" ht="15.05" customHeight="1" x14ac:dyDescent="0.3">
      <c r="C29" s="249" t="s">
        <v>3487</v>
      </c>
      <c r="D29" s="468" t="s">
        <v>3488</v>
      </c>
      <c r="E29" s="469" t="s">
        <v>178</v>
      </c>
      <c r="F29" s="469" t="s">
        <v>159</v>
      </c>
      <c r="G29" s="469" t="s">
        <v>3478</v>
      </c>
    </row>
    <row r="30" spans="3:8" ht="15.05" customHeight="1" x14ac:dyDescent="0.3">
      <c r="C30" s="249" t="s">
        <v>3489</v>
      </c>
      <c r="D30" s="468" t="s">
        <v>3490</v>
      </c>
      <c r="E30" s="469" t="s">
        <v>171</v>
      </c>
      <c r="F30" s="469" t="s">
        <v>159</v>
      </c>
      <c r="G30" s="469" t="s">
        <v>3478</v>
      </c>
    </row>
    <row r="31" spans="3:8" ht="15.05" customHeight="1" x14ac:dyDescent="0.3">
      <c r="C31" s="249" t="s">
        <v>3491</v>
      </c>
      <c r="D31" s="468" t="s">
        <v>3492</v>
      </c>
      <c r="E31" s="469" t="s">
        <v>171</v>
      </c>
      <c r="F31" s="469" t="s">
        <v>159</v>
      </c>
      <c r="G31" s="469" t="s">
        <v>3478</v>
      </c>
    </row>
    <row r="32" spans="3:8" ht="15.05" customHeight="1" x14ac:dyDescent="0.3">
      <c r="C32" s="249" t="s">
        <v>3493</v>
      </c>
      <c r="D32" s="468" t="s">
        <v>3494</v>
      </c>
      <c r="E32" s="469" t="s">
        <v>178</v>
      </c>
      <c r="F32" s="469" t="s">
        <v>159</v>
      </c>
      <c r="G32" s="469" t="s">
        <v>3478</v>
      </c>
    </row>
    <row r="33" spans="2:7" ht="15.05" customHeight="1" x14ac:dyDescent="0.3">
      <c r="C33" s="249" t="s">
        <v>3495</v>
      </c>
      <c r="D33" s="468" t="s">
        <v>3496</v>
      </c>
      <c r="E33" s="469" t="s">
        <v>178</v>
      </c>
      <c r="F33" s="469" t="s">
        <v>159</v>
      </c>
      <c r="G33" s="469" t="s">
        <v>3478</v>
      </c>
    </row>
    <row r="34" spans="2:7" ht="15.05" customHeight="1" x14ac:dyDescent="0.3">
      <c r="B34" s="479" t="s">
        <v>1853</v>
      </c>
      <c r="C34" s="249" t="s">
        <v>3497</v>
      </c>
      <c r="D34" s="468" t="s">
        <v>3498</v>
      </c>
      <c r="E34" s="469" t="s">
        <v>171</v>
      </c>
      <c r="F34" s="469" t="s">
        <v>159</v>
      </c>
      <c r="G34" s="469" t="s">
        <v>3478</v>
      </c>
    </row>
    <row r="35" spans="2:7" ht="15.05" customHeight="1" x14ac:dyDescent="0.3">
      <c r="C35" s="249" t="s">
        <v>3499</v>
      </c>
      <c r="D35" s="468" t="s">
        <v>3500</v>
      </c>
      <c r="E35" s="469" t="s">
        <v>171</v>
      </c>
      <c r="F35" s="469" t="s">
        <v>159</v>
      </c>
      <c r="G35" s="469" t="s">
        <v>3478</v>
      </c>
    </row>
    <row r="36" spans="2:7" ht="15.05" customHeight="1" x14ac:dyDescent="0.3">
      <c r="C36" s="249" t="s">
        <v>3501</v>
      </c>
      <c r="D36" s="468" t="s">
        <v>3502</v>
      </c>
      <c r="E36" s="469" t="s">
        <v>213</v>
      </c>
      <c r="F36" s="469" t="s">
        <v>159</v>
      </c>
      <c r="G36" s="469" t="s">
        <v>3478</v>
      </c>
    </row>
    <row r="37" spans="2:7" ht="14" x14ac:dyDescent="0.3">
      <c r="C37" s="249" t="s">
        <v>3503</v>
      </c>
      <c r="D37" s="468" t="s">
        <v>3504</v>
      </c>
      <c r="E37" s="469" t="s">
        <v>178</v>
      </c>
      <c r="F37" s="469" t="s">
        <v>168</v>
      </c>
      <c r="G37" s="469" t="s">
        <v>3478</v>
      </c>
    </row>
    <row r="38" spans="2:7" ht="15.05" customHeight="1" x14ac:dyDescent="0.3">
      <c r="B38" s="479"/>
      <c r="C38" s="249" t="s">
        <v>3505</v>
      </c>
      <c r="D38" s="468" t="s">
        <v>3506</v>
      </c>
      <c r="E38" s="469" t="s">
        <v>178</v>
      </c>
      <c r="F38" s="502" t="s">
        <v>159</v>
      </c>
      <c r="G38" s="469" t="s">
        <v>3478</v>
      </c>
    </row>
    <row r="39" spans="2:7" ht="15.05" customHeight="1" x14ac:dyDescent="0.3">
      <c r="B39" s="479"/>
      <c r="C39" s="249" t="s">
        <v>3507</v>
      </c>
      <c r="D39" s="468" t="s">
        <v>3508</v>
      </c>
      <c r="E39" s="469" t="s">
        <v>290</v>
      </c>
      <c r="F39" s="502" t="s">
        <v>159</v>
      </c>
      <c r="G39" s="469" t="s">
        <v>3478</v>
      </c>
    </row>
    <row r="40" spans="2:7" ht="15.05" customHeight="1" x14ac:dyDescent="0.3">
      <c r="C40" s="249" t="s">
        <v>3509</v>
      </c>
      <c r="D40" s="468" t="s">
        <v>3510</v>
      </c>
      <c r="E40" s="469" t="s">
        <v>171</v>
      </c>
      <c r="F40" s="469" t="s">
        <v>159</v>
      </c>
      <c r="G40" s="469" t="s">
        <v>3478</v>
      </c>
    </row>
    <row r="41" spans="2:7" ht="14" x14ac:dyDescent="0.3">
      <c r="C41" s="212" t="s">
        <v>990</v>
      </c>
      <c r="D41" s="468" t="s">
        <v>991</v>
      </c>
      <c r="E41" s="469" t="s">
        <v>213</v>
      </c>
      <c r="F41" s="469" t="s">
        <v>159</v>
      </c>
      <c r="G41" s="469" t="s">
        <v>3437</v>
      </c>
    </row>
    <row r="44" spans="2:7" ht="14" x14ac:dyDescent="0.3">
      <c r="D44" s="507">
        <v>44562</v>
      </c>
    </row>
    <row r="45" spans="2:7" ht="14" x14ac:dyDescent="0.3">
      <c r="D45" s="16" t="s">
        <v>3511</v>
      </c>
    </row>
    <row r="46" spans="2:7" ht="14" x14ac:dyDescent="0.3">
      <c r="D46" s="16" t="s">
        <v>3512</v>
      </c>
    </row>
    <row r="47" spans="2:7" ht="14" x14ac:dyDescent="0.3">
      <c r="D47" s="16" t="s">
        <v>3513</v>
      </c>
    </row>
    <row r="49" spans="3:10" ht="14" x14ac:dyDescent="0.3">
      <c r="D49" s="628" t="s">
        <v>3222</v>
      </c>
      <c r="E49" s="628"/>
      <c r="F49" s="628"/>
      <c r="G49" s="628"/>
      <c r="H49" s="628"/>
    </row>
    <row r="51" spans="3:10" ht="14" x14ac:dyDescent="0.3">
      <c r="D51" s="16" t="s">
        <v>3058</v>
      </c>
    </row>
    <row r="52" spans="3:10" ht="13.45" x14ac:dyDescent="0.25">
      <c r="D52" s="605" t="s">
        <v>3059</v>
      </c>
      <c r="E52" s="605"/>
      <c r="F52" s="605"/>
    </row>
    <row r="54" spans="3:10" ht="13.45" x14ac:dyDescent="0.25">
      <c r="D54" s="337">
        <v>45139</v>
      </c>
    </row>
    <row r="55" spans="3:10" ht="26.9" x14ac:dyDescent="0.25">
      <c r="D55" s="479" t="s">
        <v>3514</v>
      </c>
    </row>
    <row r="57" spans="3:10" ht="13.45" x14ac:dyDescent="0.25">
      <c r="D57" s="337">
        <v>45231</v>
      </c>
    </row>
    <row r="58" spans="3:10" ht="26.9" x14ac:dyDescent="0.25">
      <c r="D58" s="479" t="s">
        <v>3515</v>
      </c>
    </row>
    <row r="59" spans="3:10" ht="13.45" x14ac:dyDescent="0.25">
      <c r="D59" s="479"/>
    </row>
    <row r="61" spans="3:10" ht="14" x14ac:dyDescent="0.3">
      <c r="C61" s="249" t="s">
        <v>3507</v>
      </c>
      <c r="D61" s="468" t="s">
        <v>3508</v>
      </c>
      <c r="E61" s="469" t="s">
        <v>290</v>
      </c>
      <c r="F61" s="502" t="s">
        <v>159</v>
      </c>
      <c r="G61" s="565" t="s">
        <v>3516</v>
      </c>
      <c r="J61" s="223"/>
    </row>
  </sheetData>
  <autoFilter ref="C3:G40" xr:uid="{00000000-0009-0000-0000-00002A000000}">
    <filterColumn colId="4">
      <filters>
        <filter val="34ªVARA"/>
        <filter val="35ªVARA"/>
      </filters>
    </filterColumn>
  </autoFilter>
  <mergeCells count="2">
    <mergeCell ref="D49:H49"/>
    <mergeCell ref="D52:F52"/>
  </mergeCells>
  <dataValidations count="2">
    <dataValidation type="list" allowBlank="1" showInputMessage="1" showErrorMessage="1" prompt="Clique e insira um valor de a lista de itens" sqref="E38:E39 E61" xr:uid="{00000000-0002-0000-2A00-000000000000}">
      <formula1>"AJAJ,AJ-BIBLIOTECONOMIA,TJAA,AJAA,TJAS,AJOJ,AJEC,AJ-INFORMATICA,AJ-DESENVOLVIMENTO,TJ-INFORMÁTICA,AJ-INFRAESTRUTURA,AJ-MEDICINA,AJ-CONTADORIA,AJAE"</formula1>
      <formula2>0</formula2>
    </dataValidation>
    <dataValidation type="list" allowBlank="1" showInputMessage="1" showErrorMessage="1" prompt="Clique e insira um valor de a lista de itens" sqref="F38:F39 F61" xr:uid="{00000000-0002-0000-2A00-000001000000}">
      <formula1>"EFETIVO,REQUISITADO,EX. PROVISÓRIO,REMOVIDO,SEM VÍNCULO,VAGO,PROVIDO,A SER PROVIDO"</formula1>
      <formula2>0</formula2>
    </dataValidation>
  </dataValidations>
  <pageMargins left="0.51180555555555596" right="0.51180555555555596" top="0.78749999999999998" bottom="0.78749999999999998" header="0.511811023622047" footer="0.511811023622047"/>
  <pageSetup orientation="landscape" horizontalDpi="300" verticalDpi="300"/>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dimension ref="B5:D65"/>
  <sheetViews>
    <sheetView showGridLines="0" topLeftCell="A43" zoomScale="110" zoomScaleNormal="110" workbookViewId="0">
      <selection activeCell="C63" activeCellId="1" sqref="B9 C63"/>
    </sheetView>
  </sheetViews>
  <sheetFormatPr defaultColWidth="12.6328125" defaultRowHeight="14.25" customHeight="1" x14ac:dyDescent="0.25"/>
  <cols>
    <col min="1" max="1" width="8.6328125" customWidth="1"/>
    <col min="2" max="2" width="50.36328125" customWidth="1"/>
    <col min="3" max="26" width="8.6328125" customWidth="1"/>
  </cols>
  <sheetData>
    <row r="5" spans="2:4" ht="14.25" customHeight="1" x14ac:dyDescent="0.25">
      <c r="B5" s="630" t="s">
        <v>3517</v>
      </c>
      <c r="C5" s="630"/>
      <c r="D5" s="630"/>
    </row>
    <row r="6" spans="2:4" ht="14.25" customHeight="1" x14ac:dyDescent="0.25">
      <c r="B6" s="566" t="s">
        <v>3518</v>
      </c>
      <c r="C6" s="567" t="s">
        <v>1025</v>
      </c>
      <c r="D6" s="568">
        <v>0.3</v>
      </c>
    </row>
    <row r="7" spans="2:4" ht="14.25" customHeight="1" x14ac:dyDescent="0.3">
      <c r="B7" s="569" t="s">
        <v>3519</v>
      </c>
      <c r="C7" s="570">
        <f>SUM(C8:C11)</f>
        <v>9</v>
      </c>
      <c r="D7" s="571">
        <v>3</v>
      </c>
    </row>
    <row r="8" spans="2:4" ht="14.25" customHeight="1" x14ac:dyDescent="0.3">
      <c r="B8" s="572" t="s">
        <v>3520</v>
      </c>
      <c r="C8" s="573">
        <f>COUNTIF('Diretoria do Foro'!$G:$G,"ASSESSORIA ESPECIAL DA DIREÇÃO DO FORO")</f>
        <v>1</v>
      </c>
      <c r="D8" s="573">
        <v>1</v>
      </c>
    </row>
    <row r="9" spans="2:4" ht="14.25" customHeight="1" x14ac:dyDescent="0.3">
      <c r="B9" s="574" t="s">
        <v>3521</v>
      </c>
      <c r="C9" s="573">
        <f>COUNTIF('Diretoria do Foro'!$H:$H,"SETOR DE ACOMPANHAMENTO DE DEMANDAS INTERNAS E INTERINSTITUCIONAIS")</f>
        <v>1</v>
      </c>
      <c r="D9" s="573">
        <v>1</v>
      </c>
    </row>
    <row r="10" spans="2:4" ht="14.25" customHeight="1" x14ac:dyDescent="0.3">
      <c r="B10" s="572" t="s">
        <v>3522</v>
      </c>
      <c r="C10" s="573">
        <f>COUNTIF('Diretoria do Foro'!$G:$G,"SECÃO DE ASSESSORIA JURÍDICA")</f>
        <v>3</v>
      </c>
      <c r="D10" s="573">
        <v>1</v>
      </c>
    </row>
    <row r="11" spans="2:4" ht="14.25" customHeight="1" x14ac:dyDescent="0.3">
      <c r="B11" s="574" t="s">
        <v>3523</v>
      </c>
      <c r="C11" s="573">
        <f>COUNTIF('Diretoria do Foro'!$G:$G,"SEÇÃO DE COMUNICAÇÃO")</f>
        <v>4</v>
      </c>
      <c r="D11" s="573">
        <v>2</v>
      </c>
    </row>
    <row r="12" spans="2:4" ht="14.25" customHeight="1" x14ac:dyDescent="0.3">
      <c r="B12" s="575" t="s">
        <v>3524</v>
      </c>
      <c r="C12" s="570">
        <f>SUM(C13:C15)</f>
        <v>2</v>
      </c>
      <c r="D12" s="571">
        <v>1</v>
      </c>
    </row>
    <row r="13" spans="2:4" ht="14.25" customHeight="1" x14ac:dyDescent="0.3">
      <c r="B13" s="572" t="s">
        <v>3525</v>
      </c>
      <c r="C13" s="573">
        <f>COUNTIF('Diretoria do Foro'!$G:$G,"GABINETE DO DIRETOR DO NÚCLEO DE AUDITORIA INTERNA")</f>
        <v>0</v>
      </c>
      <c r="D13" s="573">
        <v>0</v>
      </c>
    </row>
    <row r="14" spans="2:4" ht="14.25" customHeight="1" x14ac:dyDescent="0.3">
      <c r="B14" s="574" t="s">
        <v>3526</v>
      </c>
      <c r="C14" s="573">
        <f>COUNTIF('Diretoria do Foro'!$G:$G,"SECÃO DE ACOMPANHAMENTO DE GESTÃO ORCAMENTÁRIA FINANCEIRA E
PATRIMONIAL")</f>
        <v>1</v>
      </c>
      <c r="D14" s="573">
        <v>1</v>
      </c>
    </row>
    <row r="15" spans="2:4" ht="14.25" customHeight="1" x14ac:dyDescent="0.3">
      <c r="B15" s="572" t="s">
        <v>3527</v>
      </c>
      <c r="C15" s="573">
        <f>COUNTIF('Diretoria do Foro'!$G:$G,"SECÃO DE ANÁLISE DE ATOS E DESPESAS RELATIVAS A
PESSOAL")</f>
        <v>1</v>
      </c>
      <c r="D15" s="573">
        <v>1</v>
      </c>
    </row>
    <row r="16" spans="2:4" ht="14.25" customHeight="1" x14ac:dyDescent="0.3">
      <c r="B16" s="575" t="s">
        <v>3528</v>
      </c>
      <c r="C16" s="570">
        <f>SUM(C17:C19)</f>
        <v>4</v>
      </c>
      <c r="D16" s="571">
        <v>2</v>
      </c>
    </row>
    <row r="17" spans="2:4" ht="14.25" customHeight="1" x14ac:dyDescent="0.3">
      <c r="B17" s="574" t="s">
        <v>3525</v>
      </c>
      <c r="C17" s="573">
        <f>COUNTIF('Diretoria do Foro'!$G:$G,"GABINETE DO NÚCLEO DE ESTRATÉGIA, GOVERNANÇA E INTEGRIDADE")</f>
        <v>1</v>
      </c>
      <c r="D17" s="576">
        <v>1</v>
      </c>
    </row>
    <row r="18" spans="2:4" ht="14.25" customHeight="1" x14ac:dyDescent="0.3">
      <c r="B18" s="574" t="s">
        <v>3529</v>
      </c>
      <c r="C18" s="573">
        <f>COUNTIF('Diretoria do Foro'!$G:$G,"SEÇÃO DE GESTÃO ESTRATÉGICA E GOVERNANÇA")</f>
        <v>3</v>
      </c>
      <c r="D18" s="576">
        <v>1</v>
      </c>
    </row>
    <row r="19" spans="2:4" ht="14.25" customHeight="1" x14ac:dyDescent="0.3">
      <c r="B19" s="574" t="s">
        <v>3530</v>
      </c>
      <c r="C19" s="573">
        <f>COUNTIF('Diretoria do Foro'!$G:$G,"SEÇÃO DE INTEGRIDADE E GESTÃO DE PROCESSOS E RISCOS")</f>
        <v>0</v>
      </c>
      <c r="D19" s="576">
        <v>0</v>
      </c>
    </row>
    <row r="20" spans="2:4" ht="14.25" customHeight="1" x14ac:dyDescent="0.3">
      <c r="B20" s="575" t="s">
        <v>3531</v>
      </c>
      <c r="C20" s="570">
        <f>SUM(C21:C25)</f>
        <v>13</v>
      </c>
      <c r="D20" s="571">
        <v>3</v>
      </c>
    </row>
    <row r="21" spans="2:4" ht="14.25" customHeight="1" x14ac:dyDescent="0.3">
      <c r="B21" s="574" t="s">
        <v>3532</v>
      </c>
      <c r="C21" s="573">
        <f>COUNTIFS('Secretaria Administrativa'!$G:$G,"GABINETE DO DIRETOR DE SECRETARIA ADMINISTRATIVA",'Secretaria Administrativa'!H:H,"")</f>
        <v>2</v>
      </c>
      <c r="D21" s="576">
        <v>1</v>
      </c>
    </row>
    <row r="22" spans="2:4" ht="14.25" customHeight="1" x14ac:dyDescent="0.3">
      <c r="B22" s="574" t="s">
        <v>3533</v>
      </c>
      <c r="C22" s="573">
        <f>COUNTIFS('Secretaria Administrativa'!$G:$G,"GABINETE DO DIRETOR DE SECRETARIA ADMINISTRATIVA",'Secretaria Administrativa'!H:H,"SETOR DE GOVERNANÇA DE AQUISIÇÕES E CONTRATAÇÕES E APOIO AOS NÚCLEOS")</f>
        <v>0</v>
      </c>
      <c r="D22" s="576">
        <v>0</v>
      </c>
    </row>
    <row r="23" spans="2:4" ht="14.25" customHeight="1" x14ac:dyDescent="0.3">
      <c r="B23" s="574" t="s">
        <v>3534</v>
      </c>
      <c r="C23" s="573">
        <f>COUNTIFS('Secretaria Administrativa'!$G:$G,"GABINETE DO DIRETOR DE SECRETARIA ADMINISTRATIVA",'Secretaria Administrativa'!H:H,"SETOR TECNICO DE APOIO A DIRETORIA")</f>
        <v>0</v>
      </c>
      <c r="D23" s="576">
        <v>0</v>
      </c>
    </row>
    <row r="24" spans="2:4" ht="14.25" customHeight="1" x14ac:dyDescent="0.3">
      <c r="B24" s="574" t="s">
        <v>3535</v>
      </c>
      <c r="C24" s="573">
        <f>COUNTIF('Secretaria Administrativa'!$G:$G,"SEÇÃO DE APOIO À DIRETORIA")</f>
        <v>6</v>
      </c>
      <c r="D24" s="576">
        <v>1</v>
      </c>
    </row>
    <row r="25" spans="2:4" ht="14.25" customHeight="1" x14ac:dyDescent="0.3">
      <c r="B25" s="574" t="s">
        <v>3536</v>
      </c>
      <c r="C25" s="573">
        <f>COUNTIF('Secretaria Administrativa'!$G:$G,"SEÇAO DE BIBLIOTECA, GESTAO DOCUMENTAL E
MEMORIA")</f>
        <v>5</v>
      </c>
      <c r="D25" s="576">
        <v>2</v>
      </c>
    </row>
    <row r="26" spans="2:4" ht="14.25" customHeight="1" x14ac:dyDescent="0.3">
      <c r="B26" s="575" t="s">
        <v>3537</v>
      </c>
      <c r="C26" s="570">
        <f>SUM(C27:C29)</f>
        <v>12</v>
      </c>
      <c r="D26" s="571">
        <v>4</v>
      </c>
    </row>
    <row r="27" spans="2:4" ht="14.25" customHeight="1" x14ac:dyDescent="0.3">
      <c r="B27" s="574" t="s">
        <v>3525</v>
      </c>
      <c r="C27" s="573">
        <f>COUNTIF('Secretaria Administrativa'!$G:$G,"GABINETE DE DIRETOR DO NÚCLEO DE INFRAESTRUTURA E ADMINISTRAÇÃO PREDIAL")</f>
        <v>2</v>
      </c>
      <c r="D27" s="576">
        <v>1</v>
      </c>
    </row>
    <row r="28" spans="2:4" ht="14.25" customHeight="1" x14ac:dyDescent="0.3">
      <c r="B28" s="574" t="s">
        <v>3538</v>
      </c>
      <c r="C28" s="573">
        <f>COUNTIF('Secretaria Administrativa'!$G:$G,"SEÇÃO DE CONSERVAÇÃO PREDIAL")</f>
        <v>5</v>
      </c>
      <c r="D28" s="576">
        <v>2</v>
      </c>
    </row>
    <row r="29" spans="2:4" ht="14.25" customHeight="1" x14ac:dyDescent="0.3">
      <c r="B29" s="574" t="s">
        <v>3539</v>
      </c>
      <c r="C29" s="573">
        <f>COUNTIF('Secretaria Administrativa'!$G:$G,"SEÇÃO DE CONSERVAÇÃO PREDIAL")</f>
        <v>5</v>
      </c>
      <c r="D29" s="576">
        <v>2</v>
      </c>
    </row>
    <row r="30" spans="2:4" ht="14.25" customHeight="1" x14ac:dyDescent="0.3">
      <c r="B30" s="577" t="s">
        <v>3540</v>
      </c>
      <c r="C30" s="570">
        <f>SUM(C31:C36)</f>
        <v>23</v>
      </c>
      <c r="D30" s="571">
        <v>7</v>
      </c>
    </row>
    <row r="31" spans="2:4" ht="14.25" customHeight="1" x14ac:dyDescent="0.3">
      <c r="B31" s="574" t="s">
        <v>3525</v>
      </c>
      <c r="C31" s="573">
        <f>COUNTIFS('Secretaria Administrativa'!$G:$G,"GABINETE DO DIRETOR DO NUCLEO DE GESTÃO ORÇAMENTÁRIA, FINANCEIRA, CONTÁBIL E PATRIMONIAL",'Secretaria Administrativa'!H:H,"")</f>
        <v>3</v>
      </c>
      <c r="D31" s="576">
        <v>1</v>
      </c>
    </row>
    <row r="32" spans="2:4" ht="14.25" customHeight="1" x14ac:dyDescent="0.3">
      <c r="B32" s="578" t="s">
        <v>3541</v>
      </c>
      <c r="C32" s="573">
        <f>COUNTIFS('Secretaria Administrativa'!$G:$G,"GABINETE DO DIRETOR DO NUCLEO DE GESTÃO ORÇAMENTÁRIA, FINANCEIRA, CONTÁBIL E PATRIMONIAL",'Secretaria Administrativa'!H:H,"Setor de contabilidade")</f>
        <v>1</v>
      </c>
      <c r="D32" s="576">
        <v>1</v>
      </c>
    </row>
    <row r="33" spans="2:4" ht="14.25" customHeight="1" x14ac:dyDescent="0.3">
      <c r="B33" s="578" t="s">
        <v>3542</v>
      </c>
      <c r="C33" s="573">
        <f>COUNTIF('Secretaria Administrativa'!$G:$G,"SEÇÃO DE ORÇAMENTO E FINANÇAS")</f>
        <v>6</v>
      </c>
      <c r="D33" s="576">
        <v>2</v>
      </c>
    </row>
    <row r="34" spans="2:4" ht="14.25" customHeight="1" x14ac:dyDescent="0.3">
      <c r="B34" s="578" t="s">
        <v>3543</v>
      </c>
      <c r="C34" s="573">
        <f>COUNTIF('Secretaria Administrativa'!$G:$G,"SEÇÃO DE LICITAÇÕES")</f>
        <v>4</v>
      </c>
      <c r="D34" s="576">
        <v>2</v>
      </c>
    </row>
    <row r="35" spans="2:4" ht="14.25" customHeight="1" x14ac:dyDescent="0.3">
      <c r="B35" s="578" t="s">
        <v>3544</v>
      </c>
      <c r="C35" s="573">
        <f>COUNTIF('Secretaria Administrativa'!$G:$G,"SEÇÃO DE CONTRATOS")</f>
        <v>5</v>
      </c>
      <c r="D35" s="576">
        <v>2</v>
      </c>
    </row>
    <row r="36" spans="2:4" ht="14.25" customHeight="1" x14ac:dyDescent="0.3">
      <c r="B36" s="578" t="s">
        <v>3545</v>
      </c>
      <c r="C36" s="573">
        <f>COUNTIF('Secretaria Administrativa'!$G:$G,"SEÇÃO DE PATRIMÔNIO E ALMOXARIFADO")</f>
        <v>4</v>
      </c>
      <c r="D36" s="576">
        <v>2</v>
      </c>
    </row>
    <row r="37" spans="2:4" ht="14.25" customHeight="1" x14ac:dyDescent="0.3">
      <c r="B37" s="578" t="s">
        <v>3546</v>
      </c>
      <c r="C37" s="579">
        <f>SUM(C38:C44)</f>
        <v>31</v>
      </c>
      <c r="D37" s="571">
        <v>9</v>
      </c>
    </row>
    <row r="38" spans="2:4" ht="14.25" customHeight="1" x14ac:dyDescent="0.3">
      <c r="B38" s="574" t="s">
        <v>3525</v>
      </c>
      <c r="C38" s="573">
        <f>COUNTIFS('Secretaria Administrativa'!$G:$G,"GABINETE DO DIRETOR DO NÚCLEO DE GESTÃO DE PESSOAS")</f>
        <v>2</v>
      </c>
      <c r="D38" s="576">
        <v>1</v>
      </c>
    </row>
    <row r="39" spans="2:4" ht="14.25" customHeight="1" x14ac:dyDescent="0.3">
      <c r="B39" s="578" t="s">
        <v>3547</v>
      </c>
      <c r="C39" s="573">
        <f>COUNTIF('Secretaria Administrativa'!$G:$G,"SEÇÃO DE LEGISLAÇÃO DE PESSOAL")</f>
        <v>3</v>
      </c>
      <c r="D39" s="576">
        <v>2</v>
      </c>
    </row>
    <row r="40" spans="2:4" ht="14.25" customHeight="1" x14ac:dyDescent="0.3">
      <c r="B40" s="578" t="s">
        <v>3548</v>
      </c>
      <c r="C40" s="573">
        <f>COUNTIF('Secretaria Administrativa'!$G:$G,"SEÇÃO DE PROVIMENTO E INFORMAÇÕES FUNCIONAIS")</f>
        <v>4</v>
      </c>
      <c r="D40" s="576">
        <v>2</v>
      </c>
    </row>
    <row r="41" spans="2:4" ht="14.25" customHeight="1" x14ac:dyDescent="0.3">
      <c r="B41" s="578" t="s">
        <v>3549</v>
      </c>
      <c r="C41" s="573">
        <f>COUNTIF('Secretaria Administrativa'!$G:$G,"SEÇÃO DE FOLHA DE PAGAMENTO")</f>
        <v>8</v>
      </c>
      <c r="D41" s="576">
        <v>2</v>
      </c>
    </row>
    <row r="42" spans="2:4" ht="14.25" customHeight="1" x14ac:dyDescent="0.3">
      <c r="B42" s="578" t="s">
        <v>3550</v>
      </c>
      <c r="C42" s="573">
        <f>COUNTIF('Secretaria Administrativa'!$G:$G,"SEÇÃO DE ATENÇÃO À SAÚDE E QUALIDADE DE VIDA")</f>
        <v>9</v>
      </c>
      <c r="D42" s="576">
        <v>3</v>
      </c>
    </row>
    <row r="43" spans="2:4" ht="14.25" customHeight="1" x14ac:dyDescent="0.3">
      <c r="B43" s="578" t="s">
        <v>3551</v>
      </c>
      <c r="C43" s="573">
        <f>COUNTIF('Secretaria Administrativa'!$G:$G,"SEÇÃO DE AUTOGESTÃO EM SAÚDE")</f>
        <v>1</v>
      </c>
      <c r="D43" s="576">
        <v>1</v>
      </c>
    </row>
    <row r="44" spans="2:4" ht="14.25" customHeight="1" x14ac:dyDescent="0.3">
      <c r="B44" s="578" t="s">
        <v>3552</v>
      </c>
      <c r="C44" s="573">
        <f>COUNTIF('Secretaria Administrativa'!$G:$G,"SEÇÃO DE GESTAO DO CONHECIMENTO E INOVAÇAO EM
EDUCAÇAO")</f>
        <v>4</v>
      </c>
      <c r="D44" s="576">
        <v>2</v>
      </c>
    </row>
    <row r="45" spans="2:4" ht="14.25" customHeight="1" x14ac:dyDescent="0.3">
      <c r="B45" s="578" t="s">
        <v>3553</v>
      </c>
      <c r="C45" s="579">
        <f>(SUM(C46:C50))</f>
        <v>37</v>
      </c>
      <c r="D45" s="571">
        <v>12</v>
      </c>
    </row>
    <row r="46" spans="2:4" ht="14.25" customHeight="1" x14ac:dyDescent="0.3">
      <c r="B46" s="574" t="s">
        <v>3525</v>
      </c>
      <c r="C46" s="573">
        <f>COUNTIF('Secretaria Administrativa'!$G:$G,"GABINETE DO DIRETOR DO NÚCLEO JUDICIÁRIO")</f>
        <v>4</v>
      </c>
      <c r="D46" s="576">
        <v>2</v>
      </c>
    </row>
    <row r="47" spans="2:4" ht="14.25" customHeight="1" x14ac:dyDescent="0.3">
      <c r="B47" s="578" t="s">
        <v>3554</v>
      </c>
      <c r="C47" s="573">
        <f>COUNTIF('Secretaria Administrativa'!$G:$G,"SEÇÃO DE APOIO À ATIVIDADE JUDICIÁRIA")</f>
        <v>16</v>
      </c>
      <c r="D47" s="576">
        <v>5</v>
      </c>
    </row>
    <row r="48" spans="2:4" ht="14.25" customHeight="1" x14ac:dyDescent="0.3">
      <c r="B48" s="578" t="s">
        <v>3555</v>
      </c>
      <c r="C48" s="573">
        <f>COUNTIF('Secretaria Administrativa'!$G:$G,"CENTRO JUDICIÁRIO DE SOLUÇÃO CONSENSUAL DE CONFLITOS E CIDADANIA (CENTRAL DE CONCILIAÇÃO)")</f>
        <v>4</v>
      </c>
      <c r="D48" s="576">
        <v>2</v>
      </c>
    </row>
    <row r="49" spans="2:4" ht="14.25" customHeight="1" x14ac:dyDescent="0.3">
      <c r="B49" s="578" t="s">
        <v>3556</v>
      </c>
      <c r="C49" s="573">
        <f>COUNTIF('Secretaria Administrativa'!$G:$G,"SEÇÃO DE CONTADORIA JUDICIAL")</f>
        <v>4</v>
      </c>
      <c r="D49" s="576">
        <v>2</v>
      </c>
    </row>
    <row r="50" spans="2:4" ht="14.25" customHeight="1" x14ac:dyDescent="0.3">
      <c r="B50" s="578" t="s">
        <v>3557</v>
      </c>
      <c r="C50" s="573">
        <f>COUNTIF('Secretaria Administrativa'!$G:$G,"SEÇÃO DE ARQUIVO E DEPÓSITO JUDICIAL")</f>
        <v>9</v>
      </c>
      <c r="D50" s="576">
        <v>3</v>
      </c>
    </row>
    <row r="51" spans="2:4" ht="14.25" customHeight="1" x14ac:dyDescent="0.3">
      <c r="B51" s="578" t="s">
        <v>3558</v>
      </c>
      <c r="C51" s="573">
        <f>COUNTIF('Secretaria Administrativa'!$G:$G,"SEÇÃO DE CENTRAL DE MANDADOS")</f>
        <v>69</v>
      </c>
      <c r="D51" s="576">
        <v>21</v>
      </c>
    </row>
    <row r="52" spans="2:4" ht="14.25" customHeight="1" x14ac:dyDescent="0.3">
      <c r="B52" s="578" t="s">
        <v>3559</v>
      </c>
      <c r="C52" s="579">
        <f>SUM(C53)</f>
        <v>2</v>
      </c>
      <c r="D52" s="571">
        <v>1</v>
      </c>
    </row>
    <row r="53" spans="2:4" ht="14.25" customHeight="1" x14ac:dyDescent="0.3">
      <c r="B53" s="574" t="s">
        <v>3560</v>
      </c>
      <c r="C53" s="573">
        <f>COUNTIF('Secretaria Administrativa'!$G:$G,"GABINETE DE DIRETOR DA DIVISÃO DE TECNOLOGIA DA INFORMAÇÃO")</f>
        <v>2</v>
      </c>
      <c r="D53" s="576">
        <v>1</v>
      </c>
    </row>
    <row r="54" spans="2:4" ht="14.25" customHeight="1" x14ac:dyDescent="0.3">
      <c r="B54" s="578" t="s">
        <v>3561</v>
      </c>
      <c r="C54" s="579">
        <f>SUM(C55:C59)</f>
        <v>20</v>
      </c>
      <c r="D54" s="571">
        <v>4</v>
      </c>
    </row>
    <row r="55" spans="2:4" ht="14.25" customHeight="1" x14ac:dyDescent="0.3">
      <c r="B55" s="574" t="s">
        <v>3525</v>
      </c>
      <c r="C55" s="573">
        <f>COUNTIF('Secretaria Administrativa'!$G:$G,"GABINETE DE DIRETOR DO NÚCLEO DE INOVAÇÃO")</f>
        <v>1</v>
      </c>
      <c r="D55" s="576">
        <v>1</v>
      </c>
    </row>
    <row r="56" spans="2:4" ht="14.25" customHeight="1" x14ac:dyDescent="0.3">
      <c r="B56" s="578" t="s">
        <v>3562</v>
      </c>
      <c r="C56" s="573">
        <f>COUNTIF('Secretaria Administrativa'!$G:$G,"SEÇÃO DE SISTEMAS")</f>
        <v>4</v>
      </c>
      <c r="D56" s="576">
        <v>2</v>
      </c>
    </row>
    <row r="57" spans="2:4" ht="14.25" customHeight="1" x14ac:dyDescent="0.3">
      <c r="B57" s="578" t="s">
        <v>3563</v>
      </c>
      <c r="C57" s="573">
        <f>COUNTIF('Secretaria Administrativa'!$G:$G,"SEÇÃO DE INFRAESTRUTURA")</f>
        <v>12</v>
      </c>
      <c r="D57" s="576">
        <v>2</v>
      </c>
    </row>
    <row r="58" spans="2:4" ht="14.25" customHeight="1" x14ac:dyDescent="0.3">
      <c r="B58" s="578" t="s">
        <v>3564</v>
      </c>
      <c r="C58" s="573">
        <f>COUNTIF('Secretaria Administrativa'!$G:$G,"SEÇÃO DE SUPORTE")</f>
        <v>2</v>
      </c>
      <c r="D58" s="576">
        <v>1</v>
      </c>
    </row>
    <row r="59" spans="2:4" ht="14.25" customHeight="1" x14ac:dyDescent="0.3">
      <c r="B59" s="578" t="s">
        <v>3565</v>
      </c>
      <c r="C59" s="573">
        <f>COUNTIF('Secretaria Administrativa'!$G:$G,"SEÇÃO DE GOVERNANÇA DE TIC E APOIO A LGPD")</f>
        <v>1</v>
      </c>
      <c r="D59" s="576">
        <v>1</v>
      </c>
    </row>
    <row r="60" spans="2:4" ht="14.25" customHeight="1" x14ac:dyDescent="0.3">
      <c r="B60" s="578" t="s">
        <v>3566</v>
      </c>
      <c r="C60" s="579">
        <f>SUM(C61:C62)</f>
        <v>31</v>
      </c>
      <c r="D60" s="571">
        <v>10</v>
      </c>
    </row>
    <row r="61" spans="2:4" ht="14.25" customHeight="1" x14ac:dyDescent="0.3">
      <c r="B61" s="574" t="s">
        <v>3525</v>
      </c>
      <c r="C61" s="573">
        <f>COUNTIF('Secretaria Administrativa'!$G:$G,"GABINETE DE DIRETOR DO NÚCLEO DE INTELIGÊNCIA, SEGURANÇA E TRANSPORTE")</f>
        <v>1</v>
      </c>
      <c r="D61" s="576">
        <v>1</v>
      </c>
    </row>
    <row r="62" spans="2:4" ht="14.25" customHeight="1" x14ac:dyDescent="0.3">
      <c r="B62" s="578" t="s">
        <v>3567</v>
      </c>
      <c r="C62" s="573">
        <f>COUNTIF('Secretaria Administrativa'!$G:$G,"SEÇÃO DE SEGURANÇA")</f>
        <v>30</v>
      </c>
      <c r="D62" s="576">
        <v>9</v>
      </c>
    </row>
    <row r="63" spans="2:4" ht="14.25" customHeight="1" x14ac:dyDescent="0.3">
      <c r="B63" s="578" t="s">
        <v>115</v>
      </c>
      <c r="C63" s="579">
        <f>SUM(C7,C12,C16,C20,C26,C30,C37,C45,C52,C54,C60)</f>
        <v>184</v>
      </c>
      <c r="D63" s="571">
        <v>52</v>
      </c>
    </row>
    <row r="65" spans="2:2" ht="14.25" customHeight="1" x14ac:dyDescent="0.3">
      <c r="B65" s="527" t="s">
        <v>3568</v>
      </c>
    </row>
  </sheetData>
  <mergeCells count="1">
    <mergeCell ref="B5:D5"/>
  </mergeCells>
  <pageMargins left="0.51180555555555596" right="0.51180555555555596" top="0.78749999999999998" bottom="0.78749999999999998" header="0.511811023622047" footer="0.511811023622047"/>
  <pageSetup orientation="landscape" horizontalDpi="300" verticalDpi="300"/>
</worksheet>
</file>

<file path=xl/worksheets/sheet4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dimension ref="B2:C5"/>
  <sheetViews>
    <sheetView showGridLines="0" zoomScale="110" zoomScaleNormal="110" workbookViewId="0">
      <selection activeCell="C5" activeCellId="1" sqref="B9 C5"/>
    </sheetView>
  </sheetViews>
  <sheetFormatPr defaultColWidth="12.6328125" defaultRowHeight="14.25" customHeight="1" x14ac:dyDescent="0.25"/>
  <cols>
    <col min="1" max="1" width="8.6328125" customWidth="1"/>
    <col min="2" max="2" width="26.6328125" customWidth="1"/>
    <col min="3" max="3" width="9.36328125" customWidth="1"/>
    <col min="4" max="26" width="8.6328125" customWidth="1"/>
  </cols>
  <sheetData>
    <row r="2" spans="2:3" ht="14.25" customHeight="1" x14ac:dyDescent="0.3">
      <c r="B2" s="631" t="s">
        <v>3569</v>
      </c>
      <c r="C2" s="631"/>
    </row>
    <row r="3" spans="2:3" ht="14.25" customHeight="1" x14ac:dyDescent="0.3">
      <c r="B3" s="580" t="s">
        <v>120</v>
      </c>
      <c r="C3" s="581">
        <f>('Mapa da Corregedoria'!BG32-'Mapa da Corregedoria'!BE32-'Mapa da Corregedoria'!BA32-'Mapa da Corregedoria'!AX32-'Mapa da Corregedoria'!AR32-'Mapa da Corregedoria'!AO32-'Mapa da Corregedoria'!AL32-'Mapa da Corregedoria'!AG32-'Mapa da Corregedoria'!AB32-'Mapa da Corregedoria'!X32-'Mapa da Corregedoria'!W32)+'Estrutura Administrativa'!$C$45</f>
        <v>650</v>
      </c>
    </row>
    <row r="4" spans="2:3" ht="14.25" customHeight="1" x14ac:dyDescent="0.3">
      <c r="B4" s="580" t="s">
        <v>1235</v>
      </c>
      <c r="C4" s="581">
        <f>'Mapa da Corregedoria'!BG32-'Equalização força de trabalho'!C3</f>
        <v>228</v>
      </c>
    </row>
    <row r="5" spans="2:3" ht="14.25" customHeight="1" x14ac:dyDescent="0.3">
      <c r="B5" s="582" t="s">
        <v>115</v>
      </c>
      <c r="C5" s="583">
        <f>SUM(C3:C4)</f>
        <v>878</v>
      </c>
    </row>
  </sheetData>
  <mergeCells count="1">
    <mergeCell ref="B2:C2"/>
  </mergeCells>
  <pageMargins left="0.51180555555555596" right="0.51180555555555596" top="0.78749999999999998" bottom="0.78749999999999998" header="0.511811023622047" footer="0.511811023622047"/>
  <pageSetup orientation="portrait" horizontalDpi="300" verticalDpi="300"/>
  <drawing r:id="rId1"/>
  <legacyDrawing r:id="rId2"/>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dimension ref="A1"/>
  <sheetViews>
    <sheetView showGridLines="0" topLeftCell="I7" zoomScale="110" zoomScaleNormal="110" workbookViewId="0">
      <selection activeCell="I1" activeCellId="1" sqref="B9 I1"/>
    </sheetView>
  </sheetViews>
  <sheetFormatPr defaultColWidth="12.6328125" defaultRowHeight="14.25" customHeight="1" x14ac:dyDescent="0.25"/>
  <sheetData/>
  <pageMargins left="0.51180555555555596" right="0.51180555555555596" top="0.78749999999999998" bottom="0.78749999999999998" header="0.511811023622047" footer="0.511811023622047"/>
  <pageSetup paperSize="9" orientation="portrait" horizontalDpi="300" verticalDpi="300"/>
  <drawing r:id="rId1"/>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dimension ref="A3:G849"/>
  <sheetViews>
    <sheetView zoomScale="110" zoomScaleNormal="110" workbookViewId="0">
      <selection activeCell="D14" activeCellId="1" sqref="B9 D14"/>
    </sheetView>
  </sheetViews>
  <sheetFormatPr defaultColWidth="12.6328125" defaultRowHeight="14.25" customHeight="1" x14ac:dyDescent="0.25"/>
  <cols>
    <col min="1" max="1" width="21.36328125" customWidth="1"/>
    <col min="2" max="2" width="18" customWidth="1"/>
    <col min="3" max="3" width="20.7265625" customWidth="1"/>
    <col min="4" max="4" width="78.7265625" customWidth="1"/>
    <col min="5" max="5" width="16" customWidth="1"/>
    <col min="6" max="6" width="32.6328125" customWidth="1"/>
    <col min="7" max="7" width="20.08984375" customWidth="1"/>
  </cols>
  <sheetData>
    <row r="3" spans="1:7" ht="14.25" customHeight="1" x14ac:dyDescent="0.25">
      <c r="A3" s="584" t="s">
        <v>1651</v>
      </c>
      <c r="B3" s="584" t="s">
        <v>117</v>
      </c>
      <c r="C3" s="584" t="s">
        <v>119</v>
      </c>
      <c r="D3" s="584" t="s">
        <v>118</v>
      </c>
      <c r="E3" s="584" t="s">
        <v>3570</v>
      </c>
      <c r="F3" s="584" t="s">
        <v>970</v>
      </c>
      <c r="G3" s="584" t="s">
        <v>3571</v>
      </c>
    </row>
    <row r="4" spans="1:7" ht="14.25" customHeight="1" x14ac:dyDescent="0.25">
      <c r="A4" s="584" t="str">
        <f>'Mapa da Corregedoria'!B$6</f>
        <v>1ª Vara</v>
      </c>
      <c r="B4" s="584" t="s">
        <v>120</v>
      </c>
      <c r="C4" s="584" t="s">
        <v>122</v>
      </c>
      <c r="D4" s="584" t="str">
        <f>'Mapa da Corregedoria'!$A$8</f>
        <v>Analista Judiciário(Á. Judiciária)</v>
      </c>
      <c r="E4" s="584">
        <f>'Mapa da Corregedoria'!$B8</f>
        <v>4</v>
      </c>
      <c r="F4" s="584" t="s">
        <v>159</v>
      </c>
      <c r="G4" s="584" t="s">
        <v>1236</v>
      </c>
    </row>
    <row r="5" spans="1:7" ht="14.25" customHeight="1" x14ac:dyDescent="0.25">
      <c r="A5" s="584" t="str">
        <f>'Mapa da Corregedoria'!B$6</f>
        <v>1ª Vara</v>
      </c>
      <c r="B5" s="584" t="s">
        <v>120</v>
      </c>
      <c r="C5" s="584" t="s">
        <v>122</v>
      </c>
      <c r="D5" s="584" t="str">
        <f>'Mapa da Corregedoria'!$A$9</f>
        <v>Analista Judiciário(Á. Administrativa)</v>
      </c>
      <c r="E5" s="584">
        <f>'Mapa da Corregedoria'!$B9</f>
        <v>0</v>
      </c>
      <c r="F5" s="584" t="s">
        <v>159</v>
      </c>
      <c r="G5" s="584" t="s">
        <v>1236</v>
      </c>
    </row>
    <row r="6" spans="1:7" ht="14.25" customHeight="1" x14ac:dyDescent="0.25">
      <c r="A6" s="584" t="str">
        <f>'Mapa da Corregedoria'!B$6</f>
        <v>1ª Vara</v>
      </c>
      <c r="B6" s="584" t="s">
        <v>120</v>
      </c>
      <c r="C6" s="584" t="s">
        <v>122</v>
      </c>
      <c r="D6" s="584" t="str">
        <f>'Mapa da Corregedoria'!$A$10</f>
        <v>Analista Judiciário (Esp.Oficial de Justiça Avaliador Federal)</v>
      </c>
      <c r="E6" s="584">
        <f>'Mapa da Corregedoria'!$B10</f>
        <v>0</v>
      </c>
      <c r="F6" s="584" t="s">
        <v>159</v>
      </c>
      <c r="G6" s="584" t="s">
        <v>1236</v>
      </c>
    </row>
    <row r="7" spans="1:7" ht="14.25" customHeight="1" x14ac:dyDescent="0.25">
      <c r="A7" s="584" t="str">
        <f>'Mapa da Corregedoria'!B$6</f>
        <v>1ª Vara</v>
      </c>
      <c r="B7" s="584" t="s">
        <v>120</v>
      </c>
      <c r="C7" s="584" t="s">
        <v>122</v>
      </c>
      <c r="D7" s="584" t="str">
        <f>'Mapa da Corregedoria'!$A$11</f>
        <v>Anal.Jud.(Á. Biblioteconomia)</v>
      </c>
      <c r="E7" s="584">
        <f>'Mapa da Corregedoria'!$B11</f>
        <v>0</v>
      </c>
      <c r="F7" s="584" t="s">
        <v>159</v>
      </c>
      <c r="G7" s="584" t="s">
        <v>1236</v>
      </c>
    </row>
    <row r="8" spans="1:7" ht="14.25" customHeight="1" x14ac:dyDescent="0.25">
      <c r="A8" s="584" t="str">
        <f>'Mapa da Corregedoria'!B$6</f>
        <v>1ª Vara</v>
      </c>
      <c r="B8" s="584" t="s">
        <v>120</v>
      </c>
      <c r="C8" s="584" t="s">
        <v>122</v>
      </c>
      <c r="D8" s="584" t="str">
        <f>'Mapa da Corregedoria'!$A$12</f>
        <v>Analista Judiciário(Á. Apoio Especializado-Informática)</v>
      </c>
      <c r="E8" s="584">
        <f>'Mapa da Corregedoria'!$B12</f>
        <v>0</v>
      </c>
      <c r="F8" s="584" t="s">
        <v>159</v>
      </c>
      <c r="G8" s="584" t="s">
        <v>1236</v>
      </c>
    </row>
    <row r="9" spans="1:7" ht="14.25" customHeight="1" x14ac:dyDescent="0.25">
      <c r="A9" s="584" t="str">
        <f>'Mapa da Corregedoria'!B$6</f>
        <v>1ª Vara</v>
      </c>
      <c r="B9" s="584" t="s">
        <v>120</v>
      </c>
      <c r="C9" s="584" t="s">
        <v>122</v>
      </c>
      <c r="D9" s="584" t="str">
        <f>'Mapa da Corregedoria'!$A$13</f>
        <v>Analista Judiciário(Á. Apoio Especializado-Informática-Desenvolvimento)</v>
      </c>
      <c r="E9" s="584">
        <f>'Mapa da Corregedoria'!$B13</f>
        <v>0</v>
      </c>
      <c r="F9" s="584" t="s">
        <v>159</v>
      </c>
      <c r="G9" s="584" t="s">
        <v>1236</v>
      </c>
    </row>
    <row r="10" spans="1:7" ht="14.25" customHeight="1" x14ac:dyDescent="0.25">
      <c r="A10" s="584" t="str">
        <f>'Mapa da Corregedoria'!B$6</f>
        <v>1ª Vara</v>
      </c>
      <c r="B10" s="584" t="s">
        <v>120</v>
      </c>
      <c r="C10" s="584" t="s">
        <v>122</v>
      </c>
      <c r="D10" s="584" t="str">
        <f>'Mapa da Corregedoria'!$A$14</f>
        <v>Analista Judiciário(Á. Apoio Especializado-Informática-Infraestrutura)</v>
      </c>
      <c r="E10" s="584">
        <f>'Mapa da Corregedoria'!$B14</f>
        <v>0</v>
      </c>
      <c r="F10" s="584" t="s">
        <v>159</v>
      </c>
      <c r="G10" s="584" t="s">
        <v>1236</v>
      </c>
    </row>
    <row r="11" spans="1:7" ht="14.25" customHeight="1" x14ac:dyDescent="0.25">
      <c r="A11" s="584" t="str">
        <f>'Mapa da Corregedoria'!B$6</f>
        <v>1ª Vara</v>
      </c>
      <c r="B11" s="584" t="s">
        <v>120</v>
      </c>
      <c r="C11" s="584" t="s">
        <v>122</v>
      </c>
      <c r="D11" s="584" t="str">
        <f>'Mapa da Corregedoria'!$A$15</f>
        <v>Analista Judiciário(Á. Apoio Especializado-Medicina-Cliníca Médica)</v>
      </c>
      <c r="E11" s="584">
        <f>'Mapa da Corregedoria'!$B15</f>
        <v>0</v>
      </c>
      <c r="F11" s="584" t="s">
        <v>159</v>
      </c>
      <c r="G11" s="584" t="s">
        <v>1236</v>
      </c>
    </row>
    <row r="12" spans="1:7" ht="14.25" customHeight="1" x14ac:dyDescent="0.25">
      <c r="A12" s="584" t="str">
        <f>'Mapa da Corregedoria'!B$6</f>
        <v>1ª Vara</v>
      </c>
      <c r="B12" s="584" t="s">
        <v>120</v>
      </c>
      <c r="C12" s="584" t="s">
        <v>122</v>
      </c>
      <c r="D12" s="584" t="str">
        <f>'Mapa da Corregedoria'!$A$16</f>
        <v>Analista Judiciário(Á. Apoio Especializado-Contadoria)</v>
      </c>
      <c r="E12" s="584">
        <f>'Mapa da Corregedoria'!$B16</f>
        <v>0</v>
      </c>
      <c r="F12" s="584" t="s">
        <v>159</v>
      </c>
      <c r="G12" s="584" t="s">
        <v>1236</v>
      </c>
    </row>
    <row r="13" spans="1:7" ht="14.25" customHeight="1" x14ac:dyDescent="0.25">
      <c r="A13" s="584" t="str">
        <f>'Mapa da Corregedoria'!B$6</f>
        <v>1ª Vara</v>
      </c>
      <c r="B13" s="584" t="s">
        <v>120</v>
      </c>
      <c r="C13" s="584" t="s">
        <v>122</v>
      </c>
      <c r="D13" s="584" t="str">
        <f>'Mapa da Corregedoria'!$A$17</f>
        <v>Analista Judiciário(Á. Apoio Especializado- Engenharia Civil)</v>
      </c>
      <c r="E13" s="584">
        <f>'Mapa da Corregedoria'!$B17</f>
        <v>0</v>
      </c>
      <c r="F13" s="584" t="s">
        <v>159</v>
      </c>
      <c r="G13" s="584" t="s">
        <v>1236</v>
      </c>
    </row>
    <row r="14" spans="1:7" ht="14.25" customHeight="1" x14ac:dyDescent="0.25">
      <c r="A14" s="584" t="str">
        <f>'Mapa da Corregedoria'!B$6</f>
        <v>1ª Vara</v>
      </c>
      <c r="B14" s="584" t="s">
        <v>120</v>
      </c>
      <c r="C14" s="584" t="s">
        <v>122</v>
      </c>
      <c r="D14" s="584" t="str">
        <f>'Mapa da Corregedoria'!$A$20</f>
        <v xml:space="preserve">Técnico Judiciário (Á. Administrativa)-inclusas as Especialidades Serviços de Portaria/Telefonia </v>
      </c>
      <c r="E14" s="584">
        <f>'Mapa da Corregedoria'!$B20</f>
        <v>7</v>
      </c>
      <c r="F14" s="584" t="s">
        <v>159</v>
      </c>
      <c r="G14" s="584" t="s">
        <v>1236</v>
      </c>
    </row>
    <row r="15" spans="1:7" ht="14.25" customHeight="1" x14ac:dyDescent="0.25">
      <c r="A15" s="584" t="str">
        <f>'Mapa da Corregedoria'!B$6</f>
        <v>1ª Vara</v>
      </c>
      <c r="B15" s="584" t="s">
        <v>120</v>
      </c>
      <c r="C15" s="584" t="s">
        <v>122</v>
      </c>
      <c r="D15" s="584" t="str">
        <f>'Mapa da Corregedoria'!$A$21</f>
        <v>Técnico Judiciário(Á. Apoio Especializado- Informática)</v>
      </c>
      <c r="E15" s="584">
        <f>'Mapa da Corregedoria'!$B21</f>
        <v>0</v>
      </c>
      <c r="F15" s="584" t="s">
        <v>159</v>
      </c>
      <c r="G15" s="584" t="s">
        <v>1236</v>
      </c>
    </row>
    <row r="16" spans="1:7" ht="14.25" customHeight="1" x14ac:dyDescent="0.25">
      <c r="A16" s="584" t="str">
        <f>'Mapa da Corregedoria'!B$6</f>
        <v>1ª Vara</v>
      </c>
      <c r="B16" s="584" t="s">
        <v>120</v>
      </c>
      <c r="C16" s="584" t="s">
        <v>122</v>
      </c>
      <c r="D16" s="584" t="str">
        <f>'Mapa da Corregedoria'!$A$24</f>
        <v>Técnico Judiciário (Á. Segurança e Transporte – Agente de Policia Judicial)</v>
      </c>
      <c r="E16" s="584">
        <f>'Mapa da Corregedoria'!$B24</f>
        <v>1</v>
      </c>
      <c r="F16" s="584" t="s">
        <v>159</v>
      </c>
      <c r="G16" s="584" t="s">
        <v>1236</v>
      </c>
    </row>
    <row r="17" spans="1:7" ht="14.25" customHeight="1" x14ac:dyDescent="0.25">
      <c r="A17" s="584" t="str">
        <f>'Mapa da Corregedoria'!B$6</f>
        <v>1ª Vara</v>
      </c>
      <c r="B17" s="584" t="s">
        <v>120</v>
      </c>
      <c r="C17" s="584" t="s">
        <v>122</v>
      </c>
      <c r="D17" s="584" t="str">
        <f>'Mapa da Corregedoria'!$A$25</f>
        <v>Auxiliar Judiciário</v>
      </c>
      <c r="E17" s="584">
        <f>'Mapa da Corregedoria'!$B25</f>
        <v>0</v>
      </c>
      <c r="F17" s="584" t="s">
        <v>159</v>
      </c>
      <c r="G17" s="584" t="s">
        <v>1236</v>
      </c>
    </row>
    <row r="18" spans="1:7" ht="14.25" customHeight="1" x14ac:dyDescent="0.25">
      <c r="A18" s="584" t="str">
        <f>'Mapa da Corregedoria'!B$6</f>
        <v>1ª Vara</v>
      </c>
      <c r="B18" s="584" t="s">
        <v>120</v>
      </c>
      <c r="C18" s="584" t="s">
        <v>122</v>
      </c>
      <c r="D18" s="584" t="str">
        <f>'Mapa da Corregedoria'!$A$27</f>
        <v>Requisitados</v>
      </c>
      <c r="E18" s="584">
        <f>'Mapa da Corregedoria'!$B27</f>
        <v>0</v>
      </c>
      <c r="F18" s="584" t="str">
        <f>D18</f>
        <v>Requisitados</v>
      </c>
      <c r="G18" s="584" t="s">
        <v>1236</v>
      </c>
    </row>
    <row r="19" spans="1:7" ht="14.25" customHeight="1" x14ac:dyDescent="0.25">
      <c r="A19" s="584" t="str">
        <f>'Mapa da Corregedoria'!B$6</f>
        <v>1ª Vara</v>
      </c>
      <c r="B19" s="584" t="s">
        <v>120</v>
      </c>
      <c r="C19" s="584" t="s">
        <v>122</v>
      </c>
      <c r="D19" s="584" t="str">
        <f>'Mapa da Corregedoria'!$A$28</f>
        <v>Exercício Provisório (de outros órgãos)</v>
      </c>
      <c r="E19" s="584">
        <f>'Mapa da Corregedoria'!$B28</f>
        <v>1</v>
      </c>
      <c r="F19" s="584" t="str">
        <f>D19</f>
        <v>Exercício Provisório (de outros órgãos)</v>
      </c>
      <c r="G19" s="584" t="s">
        <v>1236</v>
      </c>
    </row>
    <row r="20" spans="1:7" ht="14.25" customHeight="1" x14ac:dyDescent="0.25">
      <c r="A20" s="584" t="str">
        <f>'Mapa da Corregedoria'!B$6</f>
        <v>1ª Vara</v>
      </c>
      <c r="B20" s="584" t="s">
        <v>120</v>
      </c>
      <c r="C20" s="584" t="s">
        <v>122</v>
      </c>
      <c r="D20" s="584" t="str">
        <f>'Mapa da Corregedoria'!$A$29</f>
        <v>Removidos (de outros órgãos)</v>
      </c>
      <c r="E20" s="584">
        <f>'Mapa da Corregedoria'!$B29</f>
        <v>2</v>
      </c>
      <c r="F20" s="584" t="str">
        <f>D20</f>
        <v>Removidos (de outros órgãos)</v>
      </c>
      <c r="G20" s="584" t="s">
        <v>1236</v>
      </c>
    </row>
    <row r="21" spans="1:7" ht="14.25" customHeight="1" x14ac:dyDescent="0.25">
      <c r="A21" s="584" t="str">
        <f>'Mapa da Corregedoria'!B$6</f>
        <v>1ª Vara</v>
      </c>
      <c r="B21" s="584" t="s">
        <v>120</v>
      </c>
      <c r="C21" s="584" t="s">
        <v>122</v>
      </c>
      <c r="D21" s="584" t="str">
        <f>'Mapa da Corregedoria'!$A$30</f>
        <v>Sem Vínculo</v>
      </c>
      <c r="E21" s="584">
        <f>'Mapa da Corregedoria'!$B30</f>
        <v>0</v>
      </c>
      <c r="F21" s="584" t="str">
        <f>D21</f>
        <v>Sem Vínculo</v>
      </c>
      <c r="G21" s="584" t="s">
        <v>1236</v>
      </c>
    </row>
    <row r="22" spans="1:7" ht="14.25" customHeight="1" x14ac:dyDescent="0.25">
      <c r="A22" s="584" t="str">
        <f>'Mapa da Corregedoria'!C$6</f>
        <v>2ª Vara</v>
      </c>
      <c r="B22" s="584" t="s">
        <v>120</v>
      </c>
      <c r="C22" s="584" t="s">
        <v>122</v>
      </c>
      <c r="D22" s="584" t="str">
        <f>'Mapa da Corregedoria'!$A$8</f>
        <v>Analista Judiciário(Á. Judiciária)</v>
      </c>
      <c r="E22" s="584">
        <f>'Mapa da Corregedoria'!$C8</f>
        <v>2</v>
      </c>
      <c r="F22" s="584" t="s">
        <v>159</v>
      </c>
      <c r="G22" s="584" t="s">
        <v>1236</v>
      </c>
    </row>
    <row r="23" spans="1:7" ht="14.25" customHeight="1" x14ac:dyDescent="0.25">
      <c r="A23" s="584" t="str">
        <f>'Mapa da Corregedoria'!C$6</f>
        <v>2ª Vara</v>
      </c>
      <c r="B23" s="584" t="s">
        <v>120</v>
      </c>
      <c r="C23" s="584" t="s">
        <v>122</v>
      </c>
      <c r="D23" s="584" t="str">
        <f>'Mapa da Corregedoria'!$A$9</f>
        <v>Analista Judiciário(Á. Administrativa)</v>
      </c>
      <c r="E23" s="584">
        <f>'Mapa da Corregedoria'!$C9</f>
        <v>2</v>
      </c>
      <c r="F23" s="584" t="s">
        <v>159</v>
      </c>
      <c r="G23" s="584" t="s">
        <v>1236</v>
      </c>
    </row>
    <row r="24" spans="1:7" ht="14.25" customHeight="1" x14ac:dyDescent="0.25">
      <c r="A24" s="584" t="str">
        <f>'Mapa da Corregedoria'!C$6</f>
        <v>2ª Vara</v>
      </c>
      <c r="B24" s="584" t="s">
        <v>120</v>
      </c>
      <c r="C24" s="584" t="s">
        <v>122</v>
      </c>
      <c r="D24" s="584" t="str">
        <f>'Mapa da Corregedoria'!$A$10</f>
        <v>Analista Judiciário (Esp.Oficial de Justiça Avaliador Federal)</v>
      </c>
      <c r="E24" s="584">
        <f>'Mapa da Corregedoria'!$C10</f>
        <v>0</v>
      </c>
      <c r="F24" s="584" t="s">
        <v>159</v>
      </c>
      <c r="G24" s="584" t="s">
        <v>1236</v>
      </c>
    </row>
    <row r="25" spans="1:7" ht="14.25" customHeight="1" x14ac:dyDescent="0.25">
      <c r="A25" s="584" t="str">
        <f>'Mapa da Corregedoria'!C$6</f>
        <v>2ª Vara</v>
      </c>
      <c r="B25" s="584" t="s">
        <v>120</v>
      </c>
      <c r="C25" s="584" t="s">
        <v>122</v>
      </c>
      <c r="D25" s="584" t="str">
        <f>'Mapa da Corregedoria'!$A$11</f>
        <v>Anal.Jud.(Á. Biblioteconomia)</v>
      </c>
      <c r="E25" s="584">
        <f>'Mapa da Corregedoria'!$C11</f>
        <v>0</v>
      </c>
      <c r="F25" s="584" t="s">
        <v>159</v>
      </c>
      <c r="G25" s="584" t="s">
        <v>1236</v>
      </c>
    </row>
    <row r="26" spans="1:7" ht="14.25" customHeight="1" x14ac:dyDescent="0.25">
      <c r="A26" s="584" t="str">
        <f>'Mapa da Corregedoria'!C$6</f>
        <v>2ª Vara</v>
      </c>
      <c r="B26" s="584" t="s">
        <v>120</v>
      </c>
      <c r="C26" s="584" t="s">
        <v>122</v>
      </c>
      <c r="D26" s="584" t="str">
        <f>'Mapa da Corregedoria'!$A$12</f>
        <v>Analista Judiciário(Á. Apoio Especializado-Informática)</v>
      </c>
      <c r="E26" s="584">
        <f>'Mapa da Corregedoria'!$C12</f>
        <v>0</v>
      </c>
      <c r="F26" s="584" t="s">
        <v>159</v>
      </c>
      <c r="G26" s="584" t="s">
        <v>1236</v>
      </c>
    </row>
    <row r="27" spans="1:7" ht="14.25" customHeight="1" x14ac:dyDescent="0.25">
      <c r="A27" s="584" t="str">
        <f>'Mapa da Corregedoria'!C$6</f>
        <v>2ª Vara</v>
      </c>
      <c r="B27" s="584" t="s">
        <v>120</v>
      </c>
      <c r="C27" s="584" t="s">
        <v>122</v>
      </c>
      <c r="D27" s="584" t="str">
        <f>'Mapa da Corregedoria'!$A$13</f>
        <v>Analista Judiciário(Á. Apoio Especializado-Informática-Desenvolvimento)</v>
      </c>
      <c r="E27" s="584">
        <f>'Mapa da Corregedoria'!$C13</f>
        <v>0</v>
      </c>
      <c r="F27" s="584" t="s">
        <v>159</v>
      </c>
      <c r="G27" s="584" t="s">
        <v>1236</v>
      </c>
    </row>
    <row r="28" spans="1:7" ht="14.25" customHeight="1" x14ac:dyDescent="0.25">
      <c r="A28" s="584" t="str">
        <f>'Mapa da Corregedoria'!C$6</f>
        <v>2ª Vara</v>
      </c>
      <c r="B28" s="584" t="s">
        <v>120</v>
      </c>
      <c r="C28" s="584" t="s">
        <v>122</v>
      </c>
      <c r="D28" s="584" t="str">
        <f>'Mapa da Corregedoria'!$A$14</f>
        <v>Analista Judiciário(Á. Apoio Especializado-Informática-Infraestrutura)</v>
      </c>
      <c r="E28" s="584">
        <f>'Mapa da Corregedoria'!$C14</f>
        <v>0</v>
      </c>
      <c r="F28" s="584" t="s">
        <v>159</v>
      </c>
      <c r="G28" s="584" t="s">
        <v>1236</v>
      </c>
    </row>
    <row r="29" spans="1:7" ht="14.25" customHeight="1" x14ac:dyDescent="0.25">
      <c r="A29" s="584" t="str">
        <f>'Mapa da Corregedoria'!C$6</f>
        <v>2ª Vara</v>
      </c>
      <c r="B29" s="584" t="s">
        <v>120</v>
      </c>
      <c r="C29" s="584" t="s">
        <v>122</v>
      </c>
      <c r="D29" s="584" t="str">
        <f>'Mapa da Corregedoria'!$A$15</f>
        <v>Analista Judiciário(Á. Apoio Especializado-Medicina-Cliníca Médica)</v>
      </c>
      <c r="E29" s="584">
        <f>'Mapa da Corregedoria'!$C15</f>
        <v>0</v>
      </c>
      <c r="F29" s="584" t="s">
        <v>159</v>
      </c>
      <c r="G29" s="584" t="s">
        <v>1236</v>
      </c>
    </row>
    <row r="30" spans="1:7" ht="14.25" customHeight="1" x14ac:dyDescent="0.25">
      <c r="A30" s="584" t="str">
        <f>'Mapa da Corregedoria'!C$6</f>
        <v>2ª Vara</v>
      </c>
      <c r="B30" s="584" t="s">
        <v>120</v>
      </c>
      <c r="C30" s="584" t="s">
        <v>122</v>
      </c>
      <c r="D30" s="584" t="str">
        <f>'Mapa da Corregedoria'!$A$16</f>
        <v>Analista Judiciário(Á. Apoio Especializado-Contadoria)</v>
      </c>
      <c r="E30" s="584">
        <f>'Mapa da Corregedoria'!$C16</f>
        <v>0</v>
      </c>
      <c r="F30" s="584" t="s">
        <v>159</v>
      </c>
      <c r="G30" s="584" t="s">
        <v>1236</v>
      </c>
    </row>
    <row r="31" spans="1:7" ht="14.25" customHeight="1" x14ac:dyDescent="0.25">
      <c r="A31" s="584" t="str">
        <f>'Mapa da Corregedoria'!C$6</f>
        <v>2ª Vara</v>
      </c>
      <c r="B31" s="584" t="s">
        <v>120</v>
      </c>
      <c r="C31" s="584" t="s">
        <v>122</v>
      </c>
      <c r="D31" s="584" t="str">
        <f>'Mapa da Corregedoria'!$A$17</f>
        <v>Analista Judiciário(Á. Apoio Especializado- Engenharia Civil)</v>
      </c>
      <c r="E31" s="584">
        <f>'Mapa da Corregedoria'!$C17</f>
        <v>0</v>
      </c>
      <c r="F31" s="584" t="s">
        <v>159</v>
      </c>
      <c r="G31" s="584" t="s">
        <v>1236</v>
      </c>
    </row>
    <row r="32" spans="1:7" ht="14.25" customHeight="1" x14ac:dyDescent="0.25">
      <c r="A32" s="584" t="str">
        <f>'Mapa da Corregedoria'!C$6</f>
        <v>2ª Vara</v>
      </c>
      <c r="B32" s="584" t="s">
        <v>120</v>
      </c>
      <c r="C32" s="584" t="s">
        <v>122</v>
      </c>
      <c r="D32" s="584" t="str">
        <f>'Mapa da Corregedoria'!$A$20</f>
        <v xml:space="preserve">Técnico Judiciário (Á. Administrativa)-inclusas as Especialidades Serviços de Portaria/Telefonia </v>
      </c>
      <c r="E32" s="584">
        <f>'Mapa da Corregedoria'!$C20</f>
        <v>0</v>
      </c>
      <c r="F32" s="584" t="s">
        <v>159</v>
      </c>
      <c r="G32" s="584" t="s">
        <v>1236</v>
      </c>
    </row>
    <row r="33" spans="1:7" ht="14.25" customHeight="1" x14ac:dyDescent="0.25">
      <c r="A33" s="584" t="str">
        <f>'Mapa da Corregedoria'!C$6</f>
        <v>2ª Vara</v>
      </c>
      <c r="B33" s="584" t="s">
        <v>120</v>
      </c>
      <c r="C33" s="584" t="s">
        <v>122</v>
      </c>
      <c r="D33" s="584" t="str">
        <f>'Mapa da Corregedoria'!$A$21</f>
        <v>Técnico Judiciário(Á. Apoio Especializado- Informática)</v>
      </c>
      <c r="E33" s="584">
        <f>'Mapa da Corregedoria'!$C21</f>
        <v>0</v>
      </c>
      <c r="F33" s="584" t="s">
        <v>159</v>
      </c>
      <c r="G33" s="584" t="s">
        <v>1236</v>
      </c>
    </row>
    <row r="34" spans="1:7" ht="14.25" customHeight="1" x14ac:dyDescent="0.25">
      <c r="A34" s="584" t="str">
        <f>'Mapa da Corregedoria'!C$6</f>
        <v>2ª Vara</v>
      </c>
      <c r="B34" s="584" t="s">
        <v>120</v>
      </c>
      <c r="C34" s="584" t="s">
        <v>122</v>
      </c>
      <c r="D34" s="584" t="str">
        <f>'Mapa da Corregedoria'!$A$24</f>
        <v>Técnico Judiciário (Á. Segurança e Transporte – Agente de Policia Judicial)</v>
      </c>
      <c r="E34" s="584">
        <f>'Mapa da Corregedoria'!$C24</f>
        <v>0</v>
      </c>
      <c r="F34" s="584" t="s">
        <v>159</v>
      </c>
      <c r="G34" s="584" t="s">
        <v>1236</v>
      </c>
    </row>
    <row r="35" spans="1:7" ht="14.25" customHeight="1" x14ac:dyDescent="0.25">
      <c r="A35" s="584" t="str">
        <f>'Mapa da Corregedoria'!C$6</f>
        <v>2ª Vara</v>
      </c>
      <c r="B35" s="584" t="s">
        <v>120</v>
      </c>
      <c r="C35" s="584" t="s">
        <v>122</v>
      </c>
      <c r="D35" s="584" t="str">
        <f>'Mapa da Corregedoria'!$A$25</f>
        <v>Auxiliar Judiciário</v>
      </c>
      <c r="E35" s="584">
        <f>'Mapa da Corregedoria'!$C25</f>
        <v>0</v>
      </c>
      <c r="F35" s="584" t="s">
        <v>159</v>
      </c>
      <c r="G35" s="584" t="s">
        <v>1236</v>
      </c>
    </row>
    <row r="36" spans="1:7" ht="14.25" customHeight="1" x14ac:dyDescent="0.25">
      <c r="A36" s="584" t="str">
        <f>'Mapa da Corregedoria'!C$6</f>
        <v>2ª Vara</v>
      </c>
      <c r="B36" s="584" t="s">
        <v>120</v>
      </c>
      <c r="C36" s="584" t="s">
        <v>122</v>
      </c>
      <c r="D36" s="584" t="str">
        <f>'Mapa da Corregedoria'!$A$27</f>
        <v>Requisitados</v>
      </c>
      <c r="E36" s="584">
        <f>'Mapa da Corregedoria'!$C27</f>
        <v>0</v>
      </c>
      <c r="F36" s="584" t="str">
        <f>D36</f>
        <v>Requisitados</v>
      </c>
      <c r="G36" s="584" t="s">
        <v>1236</v>
      </c>
    </row>
    <row r="37" spans="1:7" ht="14.25" customHeight="1" x14ac:dyDescent="0.25">
      <c r="A37" s="584" t="str">
        <f>'Mapa da Corregedoria'!C$6</f>
        <v>2ª Vara</v>
      </c>
      <c r="B37" s="584" t="s">
        <v>120</v>
      </c>
      <c r="C37" s="584" t="s">
        <v>122</v>
      </c>
      <c r="D37" s="584" t="str">
        <f>'Mapa da Corregedoria'!$A$28</f>
        <v>Exercício Provisório (de outros órgãos)</v>
      </c>
      <c r="E37" s="584">
        <f>'Mapa da Corregedoria'!$C28</f>
        <v>0</v>
      </c>
      <c r="F37" s="584" t="str">
        <f>D37</f>
        <v>Exercício Provisório (de outros órgãos)</v>
      </c>
      <c r="G37" s="584" t="s">
        <v>1236</v>
      </c>
    </row>
    <row r="38" spans="1:7" ht="14.25" customHeight="1" x14ac:dyDescent="0.25">
      <c r="A38" s="584" t="str">
        <f>'Mapa da Corregedoria'!C$6</f>
        <v>2ª Vara</v>
      </c>
      <c r="B38" s="584" t="s">
        <v>120</v>
      </c>
      <c r="C38" s="584" t="s">
        <v>122</v>
      </c>
      <c r="D38" s="584" t="str">
        <f>'Mapa da Corregedoria'!$A$29</f>
        <v>Removidos (de outros órgãos)</v>
      </c>
      <c r="E38" s="584">
        <f>'Mapa da Corregedoria'!$C29</f>
        <v>0</v>
      </c>
      <c r="F38" s="584" t="str">
        <f>D38</f>
        <v>Removidos (de outros órgãos)</v>
      </c>
      <c r="G38" s="584" t="s">
        <v>1236</v>
      </c>
    </row>
    <row r="39" spans="1:7" ht="14.25" customHeight="1" x14ac:dyDescent="0.25">
      <c r="A39" s="584" t="str">
        <f>'Mapa da Corregedoria'!C$6</f>
        <v>2ª Vara</v>
      </c>
      <c r="B39" s="584" t="s">
        <v>120</v>
      </c>
      <c r="C39" s="584" t="s">
        <v>122</v>
      </c>
      <c r="D39" s="584" t="str">
        <f>'Mapa da Corregedoria'!$A$30</f>
        <v>Sem Vínculo</v>
      </c>
      <c r="E39" s="584">
        <f>'Mapa da Corregedoria'!$C30</f>
        <v>0</v>
      </c>
      <c r="F39" s="584" t="str">
        <f>D39</f>
        <v>Sem Vínculo</v>
      </c>
      <c r="G39" s="584" t="s">
        <v>1236</v>
      </c>
    </row>
    <row r="40" spans="1:7" ht="14.25" customHeight="1" x14ac:dyDescent="0.25">
      <c r="A40" s="584" t="str">
        <f>'Mapa da Corregedoria'!D$6</f>
        <v>3ª Vara</v>
      </c>
      <c r="B40" s="584" t="s">
        <v>120</v>
      </c>
      <c r="C40" s="584" t="s">
        <v>122</v>
      </c>
      <c r="D40" s="584" t="str">
        <f>'Mapa da Corregedoria'!$A$8</f>
        <v>Analista Judiciário(Á. Judiciária)</v>
      </c>
      <c r="E40" s="584">
        <f>'Mapa da Corregedoria'!$D8</f>
        <v>3</v>
      </c>
      <c r="F40" s="584" t="s">
        <v>159</v>
      </c>
      <c r="G40" s="584" t="s">
        <v>1236</v>
      </c>
    </row>
    <row r="41" spans="1:7" ht="14.25" customHeight="1" x14ac:dyDescent="0.25">
      <c r="A41" s="584" t="str">
        <f>'Mapa da Corregedoria'!D$6</f>
        <v>3ª Vara</v>
      </c>
      <c r="B41" s="584" t="s">
        <v>120</v>
      </c>
      <c r="C41" s="584" t="s">
        <v>122</v>
      </c>
      <c r="D41" s="584" t="str">
        <f>'Mapa da Corregedoria'!$A$9</f>
        <v>Analista Judiciário(Á. Administrativa)</v>
      </c>
      <c r="E41" s="584">
        <f>'Mapa da Corregedoria'!$D9</f>
        <v>0</v>
      </c>
      <c r="F41" s="584" t="s">
        <v>159</v>
      </c>
      <c r="G41" s="584" t="s">
        <v>1236</v>
      </c>
    </row>
    <row r="42" spans="1:7" ht="14.25" customHeight="1" x14ac:dyDescent="0.25">
      <c r="A42" s="584" t="str">
        <f>'Mapa da Corregedoria'!D$6</f>
        <v>3ª Vara</v>
      </c>
      <c r="B42" s="584" t="s">
        <v>120</v>
      </c>
      <c r="C42" s="584" t="s">
        <v>122</v>
      </c>
      <c r="D42" s="584" t="str">
        <f>'Mapa da Corregedoria'!$A$10</f>
        <v>Analista Judiciário (Esp.Oficial de Justiça Avaliador Federal)</v>
      </c>
      <c r="E42" s="584">
        <f>'Mapa da Corregedoria'!$D10</f>
        <v>0</v>
      </c>
      <c r="F42" s="584" t="s">
        <v>159</v>
      </c>
      <c r="G42" s="584" t="s">
        <v>1236</v>
      </c>
    </row>
    <row r="43" spans="1:7" ht="14.25" customHeight="1" x14ac:dyDescent="0.25">
      <c r="A43" s="584" t="str">
        <f>'Mapa da Corregedoria'!D$6</f>
        <v>3ª Vara</v>
      </c>
      <c r="B43" s="584" t="s">
        <v>120</v>
      </c>
      <c r="C43" s="584" t="s">
        <v>122</v>
      </c>
      <c r="D43" s="584" t="str">
        <f>'Mapa da Corregedoria'!$A$11</f>
        <v>Anal.Jud.(Á. Biblioteconomia)</v>
      </c>
      <c r="E43" s="584">
        <f>'Mapa da Corregedoria'!$D11</f>
        <v>0</v>
      </c>
      <c r="F43" s="584" t="s">
        <v>159</v>
      </c>
      <c r="G43" s="584" t="s">
        <v>1236</v>
      </c>
    </row>
    <row r="44" spans="1:7" ht="14.25" customHeight="1" x14ac:dyDescent="0.25">
      <c r="A44" s="584" t="str">
        <f>'Mapa da Corregedoria'!D$6</f>
        <v>3ª Vara</v>
      </c>
      <c r="B44" s="584" t="s">
        <v>120</v>
      </c>
      <c r="C44" s="584" t="s">
        <v>122</v>
      </c>
      <c r="D44" s="584" t="str">
        <f>'Mapa da Corregedoria'!$A$12</f>
        <v>Analista Judiciário(Á. Apoio Especializado-Informática)</v>
      </c>
      <c r="E44" s="584">
        <f>'Mapa da Corregedoria'!$D12</f>
        <v>0</v>
      </c>
      <c r="F44" s="584" t="s">
        <v>159</v>
      </c>
      <c r="G44" s="584" t="s">
        <v>1236</v>
      </c>
    </row>
    <row r="45" spans="1:7" ht="14.25" customHeight="1" x14ac:dyDescent="0.25">
      <c r="A45" s="584" t="str">
        <f>'Mapa da Corregedoria'!D$6</f>
        <v>3ª Vara</v>
      </c>
      <c r="B45" s="584" t="s">
        <v>120</v>
      </c>
      <c r="C45" s="584" t="s">
        <v>122</v>
      </c>
      <c r="D45" s="584" t="str">
        <f>'Mapa da Corregedoria'!$A$13</f>
        <v>Analista Judiciário(Á. Apoio Especializado-Informática-Desenvolvimento)</v>
      </c>
      <c r="E45" s="584">
        <f>'Mapa da Corregedoria'!$D13</f>
        <v>0</v>
      </c>
      <c r="F45" s="584" t="s">
        <v>159</v>
      </c>
      <c r="G45" s="584" t="s">
        <v>1236</v>
      </c>
    </row>
    <row r="46" spans="1:7" ht="14.25" customHeight="1" x14ac:dyDescent="0.25">
      <c r="A46" s="584" t="str">
        <f>'Mapa da Corregedoria'!D$6</f>
        <v>3ª Vara</v>
      </c>
      <c r="B46" s="584" t="s">
        <v>120</v>
      </c>
      <c r="C46" s="584" t="s">
        <v>122</v>
      </c>
      <c r="D46" s="584" t="str">
        <f>'Mapa da Corregedoria'!$A$14</f>
        <v>Analista Judiciário(Á. Apoio Especializado-Informática-Infraestrutura)</v>
      </c>
      <c r="E46" s="584">
        <f>'Mapa da Corregedoria'!$D14</f>
        <v>0</v>
      </c>
      <c r="F46" s="584" t="s">
        <v>159</v>
      </c>
      <c r="G46" s="584" t="s">
        <v>1236</v>
      </c>
    </row>
    <row r="47" spans="1:7" ht="14.25" customHeight="1" x14ac:dyDescent="0.25">
      <c r="A47" s="584" t="str">
        <f>'Mapa da Corregedoria'!D$6</f>
        <v>3ª Vara</v>
      </c>
      <c r="B47" s="584" t="s">
        <v>120</v>
      </c>
      <c r="C47" s="584" t="s">
        <v>122</v>
      </c>
      <c r="D47" s="584" t="str">
        <f>'Mapa da Corregedoria'!$A$15</f>
        <v>Analista Judiciário(Á. Apoio Especializado-Medicina-Cliníca Médica)</v>
      </c>
      <c r="E47" s="584">
        <f>'Mapa da Corregedoria'!$D15</f>
        <v>0</v>
      </c>
      <c r="F47" s="584" t="s">
        <v>159</v>
      </c>
      <c r="G47" s="584" t="s">
        <v>1236</v>
      </c>
    </row>
    <row r="48" spans="1:7" ht="14.25" customHeight="1" x14ac:dyDescent="0.25">
      <c r="A48" s="584" t="str">
        <f>'Mapa da Corregedoria'!D$6</f>
        <v>3ª Vara</v>
      </c>
      <c r="B48" s="584" t="s">
        <v>120</v>
      </c>
      <c r="C48" s="584" t="s">
        <v>122</v>
      </c>
      <c r="D48" s="584" t="str">
        <f>'Mapa da Corregedoria'!$A$16</f>
        <v>Analista Judiciário(Á. Apoio Especializado-Contadoria)</v>
      </c>
      <c r="E48" s="584">
        <f>'Mapa da Corregedoria'!$D16</f>
        <v>0</v>
      </c>
      <c r="F48" s="584" t="s">
        <v>159</v>
      </c>
      <c r="G48" s="584" t="s">
        <v>1236</v>
      </c>
    </row>
    <row r="49" spans="1:7" ht="14.25" customHeight="1" x14ac:dyDescent="0.25">
      <c r="A49" s="584" t="str">
        <f>'Mapa da Corregedoria'!D$6</f>
        <v>3ª Vara</v>
      </c>
      <c r="B49" s="584" t="s">
        <v>120</v>
      </c>
      <c r="C49" s="584" t="s">
        <v>122</v>
      </c>
      <c r="D49" s="584" t="str">
        <f>'Mapa da Corregedoria'!$A$17</f>
        <v>Analista Judiciário(Á. Apoio Especializado- Engenharia Civil)</v>
      </c>
      <c r="E49" s="584">
        <f>'Mapa da Corregedoria'!$D17</f>
        <v>0</v>
      </c>
      <c r="F49" s="584" t="s">
        <v>159</v>
      </c>
      <c r="G49" s="584" t="s">
        <v>1236</v>
      </c>
    </row>
    <row r="50" spans="1:7" ht="14.25" customHeight="1" x14ac:dyDescent="0.25">
      <c r="A50" s="584" t="str">
        <f>'Mapa da Corregedoria'!D$6</f>
        <v>3ª Vara</v>
      </c>
      <c r="B50" s="584" t="s">
        <v>120</v>
      </c>
      <c r="C50" s="584" t="s">
        <v>122</v>
      </c>
      <c r="D50" s="584" t="str">
        <f>'Mapa da Corregedoria'!$A$20</f>
        <v xml:space="preserve">Técnico Judiciário (Á. Administrativa)-inclusas as Especialidades Serviços de Portaria/Telefonia </v>
      </c>
      <c r="E50" s="584">
        <f>'Mapa da Corregedoria'!$D20</f>
        <v>16</v>
      </c>
      <c r="F50" s="584" t="s">
        <v>159</v>
      </c>
      <c r="G50" s="584" t="s">
        <v>1236</v>
      </c>
    </row>
    <row r="51" spans="1:7" ht="14.25" customHeight="1" x14ac:dyDescent="0.25">
      <c r="A51" s="584" t="str">
        <f>'Mapa da Corregedoria'!D$6</f>
        <v>3ª Vara</v>
      </c>
      <c r="B51" s="584" t="s">
        <v>120</v>
      </c>
      <c r="C51" s="584" t="s">
        <v>122</v>
      </c>
      <c r="D51" s="584" t="str">
        <f>'Mapa da Corregedoria'!$A$21</f>
        <v>Técnico Judiciário(Á. Apoio Especializado- Informática)</v>
      </c>
      <c r="E51" s="584">
        <f>'Mapa da Corregedoria'!$D21</f>
        <v>0</v>
      </c>
      <c r="F51" s="584" t="s">
        <v>159</v>
      </c>
      <c r="G51" s="584" t="s">
        <v>1236</v>
      </c>
    </row>
    <row r="52" spans="1:7" ht="14.25" customHeight="1" x14ac:dyDescent="0.25">
      <c r="A52" s="584" t="str">
        <f>'Mapa da Corregedoria'!D$6</f>
        <v>3ª Vara</v>
      </c>
      <c r="B52" s="584" t="s">
        <v>120</v>
      </c>
      <c r="C52" s="584" t="s">
        <v>122</v>
      </c>
      <c r="D52" s="584" t="str">
        <f>'Mapa da Corregedoria'!$A$24</f>
        <v>Técnico Judiciário (Á. Segurança e Transporte – Agente de Policia Judicial)</v>
      </c>
      <c r="E52" s="584">
        <f>'Mapa da Corregedoria'!$D24</f>
        <v>0</v>
      </c>
      <c r="F52" s="584" t="s">
        <v>159</v>
      </c>
      <c r="G52" s="584" t="s">
        <v>1236</v>
      </c>
    </row>
    <row r="53" spans="1:7" ht="14.25" customHeight="1" x14ac:dyDescent="0.25">
      <c r="A53" s="584" t="str">
        <f>'Mapa da Corregedoria'!D$6</f>
        <v>3ª Vara</v>
      </c>
      <c r="B53" s="584" t="s">
        <v>120</v>
      </c>
      <c r="C53" s="584" t="s">
        <v>122</v>
      </c>
      <c r="D53" s="584" t="str">
        <f>'Mapa da Corregedoria'!$A$25</f>
        <v>Auxiliar Judiciário</v>
      </c>
      <c r="E53" s="584">
        <f>'Mapa da Corregedoria'!$D25</f>
        <v>0</v>
      </c>
      <c r="F53" s="584" t="s">
        <v>159</v>
      </c>
      <c r="G53" s="584" t="s">
        <v>1236</v>
      </c>
    </row>
    <row r="54" spans="1:7" ht="14.25" customHeight="1" x14ac:dyDescent="0.25">
      <c r="A54" s="584" t="str">
        <f>'Mapa da Corregedoria'!D$6</f>
        <v>3ª Vara</v>
      </c>
      <c r="B54" s="584" t="s">
        <v>120</v>
      </c>
      <c r="C54" s="584" t="s">
        <v>122</v>
      </c>
      <c r="D54" s="584" t="str">
        <f>'Mapa da Corregedoria'!$A$27</f>
        <v>Requisitados</v>
      </c>
      <c r="E54" s="584">
        <f>'Mapa da Corregedoria'!$D27</f>
        <v>0</v>
      </c>
      <c r="F54" s="584" t="str">
        <f>D54</f>
        <v>Requisitados</v>
      </c>
      <c r="G54" s="584" t="s">
        <v>1236</v>
      </c>
    </row>
    <row r="55" spans="1:7" ht="14.25" customHeight="1" x14ac:dyDescent="0.25">
      <c r="A55" s="584" t="str">
        <f>'Mapa da Corregedoria'!D$6</f>
        <v>3ª Vara</v>
      </c>
      <c r="B55" s="584" t="s">
        <v>120</v>
      </c>
      <c r="C55" s="584" t="s">
        <v>122</v>
      </c>
      <c r="D55" s="584" t="str">
        <f>'Mapa da Corregedoria'!$A$28</f>
        <v>Exercício Provisório (de outros órgãos)</v>
      </c>
      <c r="E55" s="584">
        <f>'Mapa da Corregedoria'!$D28</f>
        <v>0</v>
      </c>
      <c r="F55" s="584" t="str">
        <f>D55</f>
        <v>Exercício Provisório (de outros órgãos)</v>
      </c>
      <c r="G55" s="584" t="s">
        <v>1236</v>
      </c>
    </row>
    <row r="56" spans="1:7" ht="14.25" customHeight="1" x14ac:dyDescent="0.25">
      <c r="A56" s="584" t="str">
        <f>'Mapa da Corregedoria'!D$6</f>
        <v>3ª Vara</v>
      </c>
      <c r="B56" s="584" t="s">
        <v>120</v>
      </c>
      <c r="C56" s="584" t="s">
        <v>122</v>
      </c>
      <c r="D56" s="584" t="str">
        <f>'Mapa da Corregedoria'!$A$29</f>
        <v>Removidos (de outros órgãos)</v>
      </c>
      <c r="E56" s="584">
        <f>'Mapa da Corregedoria'!$D29</f>
        <v>1</v>
      </c>
      <c r="F56" s="584" t="str">
        <f>D56</f>
        <v>Removidos (de outros órgãos)</v>
      </c>
      <c r="G56" s="584" t="s">
        <v>1236</v>
      </c>
    </row>
    <row r="57" spans="1:7" ht="14.25" customHeight="1" x14ac:dyDescent="0.25">
      <c r="A57" s="584" t="str">
        <f>'Mapa da Corregedoria'!D$6</f>
        <v>3ª Vara</v>
      </c>
      <c r="B57" s="584" t="s">
        <v>120</v>
      </c>
      <c r="C57" s="584" t="s">
        <v>122</v>
      </c>
      <c r="D57" s="584" t="str">
        <f>'Mapa da Corregedoria'!$A$30</f>
        <v>Sem Vínculo</v>
      </c>
      <c r="E57" s="584">
        <f>'Mapa da Corregedoria'!$D30</f>
        <v>0</v>
      </c>
      <c r="F57" s="584" t="str">
        <f>D57</f>
        <v>Sem Vínculo</v>
      </c>
      <c r="G57" s="584" t="s">
        <v>1236</v>
      </c>
    </row>
    <row r="58" spans="1:7" ht="14.25" customHeight="1" x14ac:dyDescent="0.25">
      <c r="A58" s="584" t="str">
        <f>'Mapa da Corregedoria'!E$6</f>
        <v>4ª Vara</v>
      </c>
      <c r="B58" s="584" t="s">
        <v>120</v>
      </c>
      <c r="C58" s="584" t="s">
        <v>122</v>
      </c>
      <c r="D58" s="584" t="str">
        <f>'Mapa da Corregedoria'!$A$8</f>
        <v>Analista Judiciário(Á. Judiciária)</v>
      </c>
      <c r="E58" s="584">
        <f>'Mapa da Corregedoria'!$E8</f>
        <v>5</v>
      </c>
      <c r="F58" s="584" t="s">
        <v>159</v>
      </c>
      <c r="G58" s="584" t="s">
        <v>1236</v>
      </c>
    </row>
    <row r="59" spans="1:7" ht="14.25" customHeight="1" x14ac:dyDescent="0.25">
      <c r="A59" s="584" t="str">
        <f>'Mapa da Corregedoria'!E$6</f>
        <v>4ª Vara</v>
      </c>
      <c r="B59" s="584" t="s">
        <v>120</v>
      </c>
      <c r="C59" s="584" t="s">
        <v>122</v>
      </c>
      <c r="D59" s="584" t="str">
        <f>'Mapa da Corregedoria'!$A$9</f>
        <v>Analista Judiciário(Á. Administrativa)</v>
      </c>
      <c r="E59" s="584">
        <f>'Mapa da Corregedoria'!$E9</f>
        <v>0</v>
      </c>
      <c r="F59" s="584" t="s">
        <v>159</v>
      </c>
      <c r="G59" s="584" t="s">
        <v>1236</v>
      </c>
    </row>
    <row r="60" spans="1:7" ht="14.25" customHeight="1" x14ac:dyDescent="0.25">
      <c r="A60" s="584" t="str">
        <f>'Mapa da Corregedoria'!E$6</f>
        <v>4ª Vara</v>
      </c>
      <c r="B60" s="584" t="s">
        <v>120</v>
      </c>
      <c r="C60" s="584" t="s">
        <v>122</v>
      </c>
      <c r="D60" s="584" t="str">
        <f>'Mapa da Corregedoria'!$A$10</f>
        <v>Analista Judiciário (Esp.Oficial de Justiça Avaliador Federal)</v>
      </c>
      <c r="E60" s="584">
        <f>'Mapa da Corregedoria'!$E10</f>
        <v>0</v>
      </c>
      <c r="F60" s="584" t="s">
        <v>159</v>
      </c>
      <c r="G60" s="584" t="s">
        <v>1236</v>
      </c>
    </row>
    <row r="61" spans="1:7" ht="14.25" customHeight="1" x14ac:dyDescent="0.25">
      <c r="A61" s="584" t="str">
        <f>'Mapa da Corregedoria'!E$6</f>
        <v>4ª Vara</v>
      </c>
      <c r="B61" s="584" t="s">
        <v>120</v>
      </c>
      <c r="C61" s="584" t="s">
        <v>122</v>
      </c>
      <c r="D61" s="584" t="str">
        <f>'Mapa da Corregedoria'!$A$11</f>
        <v>Anal.Jud.(Á. Biblioteconomia)</v>
      </c>
      <c r="E61" s="584">
        <f>'Mapa da Corregedoria'!$E11</f>
        <v>0</v>
      </c>
      <c r="F61" s="584" t="s">
        <v>159</v>
      </c>
      <c r="G61" s="584" t="s">
        <v>1236</v>
      </c>
    </row>
    <row r="62" spans="1:7" ht="14.25" customHeight="1" x14ac:dyDescent="0.25">
      <c r="A62" s="584" t="str">
        <f>'Mapa da Corregedoria'!E$6</f>
        <v>4ª Vara</v>
      </c>
      <c r="B62" s="584" t="s">
        <v>120</v>
      </c>
      <c r="C62" s="584" t="s">
        <v>122</v>
      </c>
      <c r="D62" s="584" t="str">
        <f>'Mapa da Corregedoria'!$A$12</f>
        <v>Analista Judiciário(Á. Apoio Especializado-Informática)</v>
      </c>
      <c r="E62" s="584">
        <f>'Mapa da Corregedoria'!$E12</f>
        <v>0</v>
      </c>
      <c r="F62" s="584" t="s">
        <v>159</v>
      </c>
      <c r="G62" s="584" t="s">
        <v>1236</v>
      </c>
    </row>
    <row r="63" spans="1:7" ht="14.25" customHeight="1" x14ac:dyDescent="0.25">
      <c r="A63" s="584" t="str">
        <f>'Mapa da Corregedoria'!E$6</f>
        <v>4ª Vara</v>
      </c>
      <c r="B63" s="584" t="s">
        <v>120</v>
      </c>
      <c r="C63" s="584" t="s">
        <v>122</v>
      </c>
      <c r="D63" s="584" t="str">
        <f>'Mapa da Corregedoria'!$A$13</f>
        <v>Analista Judiciário(Á. Apoio Especializado-Informática-Desenvolvimento)</v>
      </c>
      <c r="E63" s="584">
        <f>'Mapa da Corregedoria'!$E13</f>
        <v>0</v>
      </c>
      <c r="F63" s="584" t="s">
        <v>159</v>
      </c>
      <c r="G63" s="584" t="s">
        <v>1236</v>
      </c>
    </row>
    <row r="64" spans="1:7" ht="14.25" customHeight="1" x14ac:dyDescent="0.25">
      <c r="A64" s="584" t="str">
        <f>'Mapa da Corregedoria'!E$6</f>
        <v>4ª Vara</v>
      </c>
      <c r="B64" s="584" t="s">
        <v>120</v>
      </c>
      <c r="C64" s="584" t="s">
        <v>122</v>
      </c>
      <c r="D64" s="584" t="str">
        <f>'Mapa da Corregedoria'!$A$14</f>
        <v>Analista Judiciário(Á. Apoio Especializado-Informática-Infraestrutura)</v>
      </c>
      <c r="E64" s="584">
        <f>'Mapa da Corregedoria'!$E14</f>
        <v>0</v>
      </c>
      <c r="F64" s="584" t="s">
        <v>159</v>
      </c>
      <c r="G64" s="584" t="s">
        <v>1236</v>
      </c>
    </row>
    <row r="65" spans="1:7" ht="14.25" customHeight="1" x14ac:dyDescent="0.25">
      <c r="A65" s="584" t="str">
        <f>'Mapa da Corregedoria'!E$6</f>
        <v>4ª Vara</v>
      </c>
      <c r="B65" s="584" t="s">
        <v>120</v>
      </c>
      <c r="C65" s="584" t="s">
        <v>122</v>
      </c>
      <c r="D65" s="584" t="str">
        <f>'Mapa da Corregedoria'!$A$15</f>
        <v>Analista Judiciário(Á. Apoio Especializado-Medicina-Cliníca Médica)</v>
      </c>
      <c r="E65" s="584">
        <f>'Mapa da Corregedoria'!$E15</f>
        <v>0</v>
      </c>
      <c r="F65" s="584" t="s">
        <v>159</v>
      </c>
      <c r="G65" s="584" t="s">
        <v>1236</v>
      </c>
    </row>
    <row r="66" spans="1:7" ht="14.25" customHeight="1" x14ac:dyDescent="0.25">
      <c r="A66" s="584" t="str">
        <f>'Mapa da Corregedoria'!E$6</f>
        <v>4ª Vara</v>
      </c>
      <c r="B66" s="584" t="s">
        <v>120</v>
      </c>
      <c r="C66" s="584" t="s">
        <v>122</v>
      </c>
      <c r="D66" s="584" t="str">
        <f>'Mapa da Corregedoria'!$A$16</f>
        <v>Analista Judiciário(Á. Apoio Especializado-Contadoria)</v>
      </c>
      <c r="E66" s="584">
        <f>'Mapa da Corregedoria'!$E16</f>
        <v>0</v>
      </c>
      <c r="F66" s="584" t="s">
        <v>159</v>
      </c>
      <c r="G66" s="584" t="s">
        <v>1236</v>
      </c>
    </row>
    <row r="67" spans="1:7" ht="14.25" customHeight="1" x14ac:dyDescent="0.25">
      <c r="A67" s="584" t="str">
        <f>'Mapa da Corregedoria'!E$6</f>
        <v>4ª Vara</v>
      </c>
      <c r="B67" s="584" t="s">
        <v>120</v>
      </c>
      <c r="C67" s="584" t="s">
        <v>122</v>
      </c>
      <c r="D67" s="584" t="str">
        <f>'Mapa da Corregedoria'!$A$17</f>
        <v>Analista Judiciário(Á. Apoio Especializado- Engenharia Civil)</v>
      </c>
      <c r="E67" s="584">
        <f>'Mapa da Corregedoria'!$E17</f>
        <v>0</v>
      </c>
      <c r="F67" s="584" t="s">
        <v>159</v>
      </c>
      <c r="G67" s="584" t="s">
        <v>1236</v>
      </c>
    </row>
    <row r="68" spans="1:7" ht="14.25" customHeight="1" x14ac:dyDescent="0.25">
      <c r="A68" s="584" t="str">
        <f>'Mapa da Corregedoria'!E$6</f>
        <v>4ª Vara</v>
      </c>
      <c r="B68" s="584" t="s">
        <v>120</v>
      </c>
      <c r="C68" s="584" t="s">
        <v>122</v>
      </c>
      <c r="D68" s="584" t="str">
        <f>'Mapa da Corregedoria'!$A$20</f>
        <v xml:space="preserve">Técnico Judiciário (Á. Administrativa)-inclusas as Especialidades Serviços de Portaria/Telefonia </v>
      </c>
      <c r="E68" s="584">
        <f>'Mapa da Corregedoria'!$E20</f>
        <v>10</v>
      </c>
      <c r="F68" s="584" t="s">
        <v>159</v>
      </c>
      <c r="G68" s="584" t="s">
        <v>1236</v>
      </c>
    </row>
    <row r="69" spans="1:7" ht="14.25" customHeight="1" x14ac:dyDescent="0.25">
      <c r="A69" s="584" t="str">
        <f>'Mapa da Corregedoria'!E$6</f>
        <v>4ª Vara</v>
      </c>
      <c r="B69" s="584" t="s">
        <v>120</v>
      </c>
      <c r="C69" s="584" t="s">
        <v>122</v>
      </c>
      <c r="D69" s="584" t="str">
        <f>'Mapa da Corregedoria'!$A$21</f>
        <v>Técnico Judiciário(Á. Apoio Especializado- Informática)</v>
      </c>
      <c r="E69" s="584">
        <f>'Mapa da Corregedoria'!$E21</f>
        <v>0</v>
      </c>
      <c r="F69" s="584" t="s">
        <v>159</v>
      </c>
      <c r="G69" s="584" t="s">
        <v>1236</v>
      </c>
    </row>
    <row r="70" spans="1:7" ht="14.25" customHeight="1" x14ac:dyDescent="0.25">
      <c r="A70" s="584" t="str">
        <f>'Mapa da Corregedoria'!E$6</f>
        <v>4ª Vara</v>
      </c>
      <c r="B70" s="584" t="s">
        <v>120</v>
      </c>
      <c r="C70" s="584" t="s">
        <v>122</v>
      </c>
      <c r="D70" s="584" t="str">
        <f>'Mapa da Corregedoria'!$A$24</f>
        <v>Técnico Judiciário (Á. Segurança e Transporte – Agente de Policia Judicial)</v>
      </c>
      <c r="E70" s="584">
        <f>'Mapa da Corregedoria'!$E24</f>
        <v>0</v>
      </c>
      <c r="F70" s="584" t="s">
        <v>159</v>
      </c>
      <c r="G70" s="584" t="s">
        <v>1236</v>
      </c>
    </row>
    <row r="71" spans="1:7" ht="14.25" customHeight="1" x14ac:dyDescent="0.25">
      <c r="A71" s="584" t="str">
        <f>'Mapa da Corregedoria'!E$6</f>
        <v>4ª Vara</v>
      </c>
      <c r="B71" s="584" t="s">
        <v>120</v>
      </c>
      <c r="C71" s="584" t="s">
        <v>122</v>
      </c>
      <c r="D71" s="584" t="str">
        <f>'Mapa da Corregedoria'!$A$25</f>
        <v>Auxiliar Judiciário</v>
      </c>
      <c r="E71" s="584">
        <f>'Mapa da Corregedoria'!$E25</f>
        <v>0</v>
      </c>
      <c r="F71" s="584" t="s">
        <v>159</v>
      </c>
      <c r="G71" s="584" t="s">
        <v>1236</v>
      </c>
    </row>
    <row r="72" spans="1:7" ht="14.25" customHeight="1" x14ac:dyDescent="0.25">
      <c r="A72" s="584" t="str">
        <f>'Mapa da Corregedoria'!E$6</f>
        <v>4ª Vara</v>
      </c>
      <c r="B72" s="584" t="s">
        <v>120</v>
      </c>
      <c r="C72" s="584" t="s">
        <v>122</v>
      </c>
      <c r="D72" s="584" t="str">
        <f>'Mapa da Corregedoria'!$A$27</f>
        <v>Requisitados</v>
      </c>
      <c r="E72" s="584">
        <f>'Mapa da Corregedoria'!$E27</f>
        <v>0</v>
      </c>
      <c r="F72" s="584" t="str">
        <f>D72</f>
        <v>Requisitados</v>
      </c>
      <c r="G72" s="584" t="s">
        <v>1236</v>
      </c>
    </row>
    <row r="73" spans="1:7" ht="14.25" customHeight="1" x14ac:dyDescent="0.25">
      <c r="A73" s="584" t="str">
        <f>'Mapa da Corregedoria'!E$6</f>
        <v>4ª Vara</v>
      </c>
      <c r="B73" s="584" t="s">
        <v>120</v>
      </c>
      <c r="C73" s="584" t="s">
        <v>122</v>
      </c>
      <c r="D73" s="584" t="str">
        <f>'Mapa da Corregedoria'!$A$28</f>
        <v>Exercício Provisório (de outros órgãos)</v>
      </c>
      <c r="E73" s="584">
        <f>'Mapa da Corregedoria'!$E28</f>
        <v>0</v>
      </c>
      <c r="F73" s="584" t="str">
        <f>D73</f>
        <v>Exercício Provisório (de outros órgãos)</v>
      </c>
      <c r="G73" s="584" t="s">
        <v>1236</v>
      </c>
    </row>
    <row r="74" spans="1:7" ht="14.25" customHeight="1" x14ac:dyDescent="0.25">
      <c r="A74" s="584" t="str">
        <f>'Mapa da Corregedoria'!E$6</f>
        <v>4ª Vara</v>
      </c>
      <c r="B74" s="584" t="s">
        <v>120</v>
      </c>
      <c r="C74" s="584" t="s">
        <v>122</v>
      </c>
      <c r="D74" s="584" t="str">
        <f>'Mapa da Corregedoria'!$A$29</f>
        <v>Removidos (de outros órgãos)</v>
      </c>
      <c r="E74" s="584">
        <f>'Mapa da Corregedoria'!$E29</f>
        <v>1</v>
      </c>
      <c r="F74" s="584" t="str">
        <f>D74</f>
        <v>Removidos (de outros órgãos)</v>
      </c>
      <c r="G74" s="584" t="s">
        <v>1236</v>
      </c>
    </row>
    <row r="75" spans="1:7" ht="14.25" customHeight="1" x14ac:dyDescent="0.25">
      <c r="A75" s="584" t="str">
        <f>'Mapa da Corregedoria'!E$6</f>
        <v>4ª Vara</v>
      </c>
      <c r="B75" s="584" t="s">
        <v>120</v>
      </c>
      <c r="C75" s="584" t="s">
        <v>122</v>
      </c>
      <c r="D75" s="584" t="str">
        <f>'Mapa da Corregedoria'!$A$30</f>
        <v>Sem Vínculo</v>
      </c>
      <c r="E75" s="584">
        <f>'Mapa da Corregedoria'!$E30</f>
        <v>0</v>
      </c>
      <c r="F75" s="584" t="str">
        <f>D75</f>
        <v>Sem Vínculo</v>
      </c>
      <c r="G75" s="584" t="s">
        <v>1236</v>
      </c>
    </row>
    <row r="76" spans="1:7" ht="14.25" customHeight="1" x14ac:dyDescent="0.25">
      <c r="A76" s="584" t="str">
        <f>'Mapa da Corregedoria'!F$6</f>
        <v>5ª Vara</v>
      </c>
      <c r="B76" s="584" t="s">
        <v>120</v>
      </c>
      <c r="C76" s="584" t="s">
        <v>122</v>
      </c>
      <c r="D76" s="584" t="str">
        <f>'Mapa da Corregedoria'!$A$8</f>
        <v>Analista Judiciário(Á. Judiciária)</v>
      </c>
      <c r="E76" s="584">
        <f>'Mapa da Corregedoria'!$F8</f>
        <v>5</v>
      </c>
      <c r="F76" s="584" t="s">
        <v>159</v>
      </c>
      <c r="G76" s="584" t="s">
        <v>1236</v>
      </c>
    </row>
    <row r="77" spans="1:7" ht="14.25" customHeight="1" x14ac:dyDescent="0.25">
      <c r="A77" s="584" t="str">
        <f>'Mapa da Corregedoria'!F$6</f>
        <v>5ª Vara</v>
      </c>
      <c r="B77" s="584" t="s">
        <v>120</v>
      </c>
      <c r="C77" s="584" t="s">
        <v>122</v>
      </c>
      <c r="D77" s="584" t="str">
        <f>'Mapa da Corregedoria'!$A$9</f>
        <v>Analista Judiciário(Á. Administrativa)</v>
      </c>
      <c r="E77" s="584">
        <f>'Mapa da Corregedoria'!$F9</f>
        <v>0</v>
      </c>
      <c r="F77" s="584" t="s">
        <v>159</v>
      </c>
      <c r="G77" s="584" t="s">
        <v>1236</v>
      </c>
    </row>
    <row r="78" spans="1:7" ht="14.25" customHeight="1" x14ac:dyDescent="0.25">
      <c r="A78" s="584" t="str">
        <f>'Mapa da Corregedoria'!F$6</f>
        <v>5ª Vara</v>
      </c>
      <c r="B78" s="584" t="s">
        <v>120</v>
      </c>
      <c r="C78" s="584" t="s">
        <v>122</v>
      </c>
      <c r="D78" s="584" t="str">
        <f>'Mapa da Corregedoria'!$A$10</f>
        <v>Analista Judiciário (Esp.Oficial de Justiça Avaliador Federal)</v>
      </c>
      <c r="E78" s="584">
        <f>'Mapa da Corregedoria'!$F10</f>
        <v>0</v>
      </c>
      <c r="F78" s="584" t="s">
        <v>159</v>
      </c>
      <c r="G78" s="584" t="s">
        <v>1236</v>
      </c>
    </row>
    <row r="79" spans="1:7" ht="14.25" customHeight="1" x14ac:dyDescent="0.25">
      <c r="A79" s="584" t="str">
        <f>'Mapa da Corregedoria'!F$6</f>
        <v>5ª Vara</v>
      </c>
      <c r="B79" s="584" t="s">
        <v>120</v>
      </c>
      <c r="C79" s="584" t="s">
        <v>122</v>
      </c>
      <c r="D79" s="584" t="str">
        <f>'Mapa da Corregedoria'!$A$11</f>
        <v>Anal.Jud.(Á. Biblioteconomia)</v>
      </c>
      <c r="E79" s="584">
        <f>'Mapa da Corregedoria'!$F11</f>
        <v>0</v>
      </c>
      <c r="F79" s="584" t="s">
        <v>159</v>
      </c>
      <c r="G79" s="584" t="s">
        <v>1236</v>
      </c>
    </row>
    <row r="80" spans="1:7" ht="14.25" customHeight="1" x14ac:dyDescent="0.25">
      <c r="A80" s="584" t="str">
        <f>'Mapa da Corregedoria'!F$6</f>
        <v>5ª Vara</v>
      </c>
      <c r="B80" s="584" t="s">
        <v>120</v>
      </c>
      <c r="C80" s="584" t="s">
        <v>122</v>
      </c>
      <c r="D80" s="584" t="str">
        <f>'Mapa da Corregedoria'!$A$12</f>
        <v>Analista Judiciário(Á. Apoio Especializado-Informática)</v>
      </c>
      <c r="E80" s="584">
        <f>'Mapa da Corregedoria'!$F12</f>
        <v>0</v>
      </c>
      <c r="F80" s="584" t="s">
        <v>159</v>
      </c>
      <c r="G80" s="584" t="s">
        <v>1236</v>
      </c>
    </row>
    <row r="81" spans="1:7" ht="14.25" customHeight="1" x14ac:dyDescent="0.25">
      <c r="A81" s="584" t="str">
        <f>'Mapa da Corregedoria'!F$6</f>
        <v>5ª Vara</v>
      </c>
      <c r="B81" s="584" t="s">
        <v>120</v>
      </c>
      <c r="C81" s="584" t="s">
        <v>122</v>
      </c>
      <c r="D81" s="584" t="str">
        <f>'Mapa da Corregedoria'!$A$13</f>
        <v>Analista Judiciário(Á. Apoio Especializado-Informática-Desenvolvimento)</v>
      </c>
      <c r="E81" s="584">
        <f>'Mapa da Corregedoria'!$F13</f>
        <v>0</v>
      </c>
      <c r="F81" s="584" t="s">
        <v>159</v>
      </c>
      <c r="G81" s="584" t="s">
        <v>1236</v>
      </c>
    </row>
    <row r="82" spans="1:7" ht="14.25" customHeight="1" x14ac:dyDescent="0.25">
      <c r="A82" s="584" t="str">
        <f>'Mapa da Corregedoria'!F$6</f>
        <v>5ª Vara</v>
      </c>
      <c r="B82" s="584" t="s">
        <v>120</v>
      </c>
      <c r="C82" s="584" t="s">
        <v>122</v>
      </c>
      <c r="D82" s="584" t="str">
        <f>'Mapa da Corregedoria'!$A$14</f>
        <v>Analista Judiciário(Á. Apoio Especializado-Informática-Infraestrutura)</v>
      </c>
      <c r="E82" s="584">
        <f>'Mapa da Corregedoria'!$F14</f>
        <v>0</v>
      </c>
      <c r="F82" s="584" t="s">
        <v>159</v>
      </c>
      <c r="G82" s="584" t="s">
        <v>1236</v>
      </c>
    </row>
    <row r="83" spans="1:7" ht="14.25" customHeight="1" x14ac:dyDescent="0.25">
      <c r="A83" s="584" t="str">
        <f>'Mapa da Corregedoria'!F$6</f>
        <v>5ª Vara</v>
      </c>
      <c r="B83" s="584" t="s">
        <v>120</v>
      </c>
      <c r="C83" s="584" t="s">
        <v>122</v>
      </c>
      <c r="D83" s="584" t="str">
        <f>'Mapa da Corregedoria'!$A$15</f>
        <v>Analista Judiciário(Á. Apoio Especializado-Medicina-Cliníca Médica)</v>
      </c>
      <c r="E83" s="584">
        <f>'Mapa da Corregedoria'!$F15</f>
        <v>0</v>
      </c>
      <c r="F83" s="584" t="s">
        <v>159</v>
      </c>
      <c r="G83" s="584" t="s">
        <v>1236</v>
      </c>
    </row>
    <row r="84" spans="1:7" ht="14.25" customHeight="1" x14ac:dyDescent="0.25">
      <c r="A84" s="584" t="str">
        <f>'Mapa da Corregedoria'!F$6</f>
        <v>5ª Vara</v>
      </c>
      <c r="B84" s="584" t="s">
        <v>120</v>
      </c>
      <c r="C84" s="584" t="s">
        <v>122</v>
      </c>
      <c r="D84" s="584" t="str">
        <f>'Mapa da Corregedoria'!$A$16</f>
        <v>Analista Judiciário(Á. Apoio Especializado-Contadoria)</v>
      </c>
      <c r="E84" s="584">
        <f>'Mapa da Corregedoria'!$F16</f>
        <v>0</v>
      </c>
      <c r="F84" s="584" t="s">
        <v>159</v>
      </c>
      <c r="G84" s="584" t="s">
        <v>1236</v>
      </c>
    </row>
    <row r="85" spans="1:7" ht="14.25" customHeight="1" x14ac:dyDescent="0.25">
      <c r="A85" s="584" t="str">
        <f>'Mapa da Corregedoria'!F$6</f>
        <v>5ª Vara</v>
      </c>
      <c r="B85" s="584" t="s">
        <v>120</v>
      </c>
      <c r="C85" s="584" t="s">
        <v>122</v>
      </c>
      <c r="D85" s="584" t="str">
        <f>'Mapa da Corregedoria'!$A$17</f>
        <v>Analista Judiciário(Á. Apoio Especializado- Engenharia Civil)</v>
      </c>
      <c r="E85" s="584">
        <f>'Mapa da Corregedoria'!$F17</f>
        <v>0</v>
      </c>
      <c r="F85" s="584" t="s">
        <v>159</v>
      </c>
      <c r="G85" s="584" t="s">
        <v>1236</v>
      </c>
    </row>
    <row r="86" spans="1:7" ht="14.25" customHeight="1" x14ac:dyDescent="0.25">
      <c r="A86" s="584" t="str">
        <f>'Mapa da Corregedoria'!F$6</f>
        <v>5ª Vara</v>
      </c>
      <c r="B86" s="584" t="s">
        <v>120</v>
      </c>
      <c r="C86" s="584" t="s">
        <v>122</v>
      </c>
      <c r="D86" s="584" t="str">
        <f>'Mapa da Corregedoria'!$A$20</f>
        <v xml:space="preserve">Técnico Judiciário (Á. Administrativa)-inclusas as Especialidades Serviços de Portaria/Telefonia </v>
      </c>
      <c r="E86" s="584">
        <f>'Mapa da Corregedoria'!$F20</f>
        <v>6</v>
      </c>
      <c r="F86" s="584" t="s">
        <v>159</v>
      </c>
      <c r="G86" s="584" t="s">
        <v>1236</v>
      </c>
    </row>
    <row r="87" spans="1:7" ht="14.25" customHeight="1" x14ac:dyDescent="0.25">
      <c r="A87" s="584" t="str">
        <f>'Mapa da Corregedoria'!F$6</f>
        <v>5ª Vara</v>
      </c>
      <c r="B87" s="584" t="s">
        <v>120</v>
      </c>
      <c r="C87" s="584" t="s">
        <v>122</v>
      </c>
      <c r="D87" s="584" t="str">
        <f>'Mapa da Corregedoria'!$A$21</f>
        <v>Técnico Judiciário(Á. Apoio Especializado- Informática)</v>
      </c>
      <c r="E87" s="584">
        <f>'Mapa da Corregedoria'!$F21</f>
        <v>0</v>
      </c>
      <c r="F87" s="584" t="s">
        <v>159</v>
      </c>
      <c r="G87" s="584" t="s">
        <v>1236</v>
      </c>
    </row>
    <row r="88" spans="1:7" ht="14.25" customHeight="1" x14ac:dyDescent="0.25">
      <c r="A88" s="584" t="str">
        <f>'Mapa da Corregedoria'!F$6</f>
        <v>5ª Vara</v>
      </c>
      <c r="B88" s="584" t="s">
        <v>120</v>
      </c>
      <c r="C88" s="584" t="s">
        <v>122</v>
      </c>
      <c r="D88" s="584" t="str">
        <f>'Mapa da Corregedoria'!$A$24</f>
        <v>Técnico Judiciário (Á. Segurança e Transporte – Agente de Policia Judicial)</v>
      </c>
      <c r="E88" s="584">
        <f>'Mapa da Corregedoria'!$F24</f>
        <v>0</v>
      </c>
      <c r="F88" s="584" t="s">
        <v>159</v>
      </c>
      <c r="G88" s="584" t="s">
        <v>1236</v>
      </c>
    </row>
    <row r="89" spans="1:7" ht="14.25" customHeight="1" x14ac:dyDescent="0.25">
      <c r="A89" s="584" t="str">
        <f>'Mapa da Corregedoria'!F$6</f>
        <v>5ª Vara</v>
      </c>
      <c r="B89" s="584" t="s">
        <v>120</v>
      </c>
      <c r="C89" s="584" t="s">
        <v>122</v>
      </c>
      <c r="D89" s="584" t="str">
        <f>'Mapa da Corregedoria'!$A$25</f>
        <v>Auxiliar Judiciário</v>
      </c>
      <c r="E89" s="584">
        <f>'Mapa da Corregedoria'!$F25</f>
        <v>0</v>
      </c>
      <c r="F89" s="584" t="s">
        <v>159</v>
      </c>
      <c r="G89" s="584" t="s">
        <v>1236</v>
      </c>
    </row>
    <row r="90" spans="1:7" ht="14.25" customHeight="1" x14ac:dyDescent="0.25">
      <c r="A90" s="584" t="str">
        <f>'Mapa da Corregedoria'!F$6</f>
        <v>5ª Vara</v>
      </c>
      <c r="B90" s="584" t="s">
        <v>120</v>
      </c>
      <c r="C90" s="584" t="s">
        <v>122</v>
      </c>
      <c r="D90" s="584" t="str">
        <f>'Mapa da Corregedoria'!$A$27</f>
        <v>Requisitados</v>
      </c>
      <c r="E90" s="584">
        <f>'Mapa da Corregedoria'!$F27</f>
        <v>1</v>
      </c>
      <c r="F90" s="584" t="str">
        <f>D90</f>
        <v>Requisitados</v>
      </c>
      <c r="G90" s="584" t="s">
        <v>1236</v>
      </c>
    </row>
    <row r="91" spans="1:7" ht="14.25" customHeight="1" x14ac:dyDescent="0.25">
      <c r="A91" s="584" t="str">
        <f>'Mapa da Corregedoria'!F$6</f>
        <v>5ª Vara</v>
      </c>
      <c r="B91" s="584" t="s">
        <v>120</v>
      </c>
      <c r="C91" s="584" t="s">
        <v>122</v>
      </c>
      <c r="D91" s="584" t="str">
        <f>'Mapa da Corregedoria'!$A$28</f>
        <v>Exercício Provisório (de outros órgãos)</v>
      </c>
      <c r="E91" s="584">
        <f>'Mapa da Corregedoria'!$F28</f>
        <v>1</v>
      </c>
      <c r="F91" s="584" t="str">
        <f>D91</f>
        <v>Exercício Provisório (de outros órgãos)</v>
      </c>
      <c r="G91" s="584" t="s">
        <v>1236</v>
      </c>
    </row>
    <row r="92" spans="1:7" ht="14.25" customHeight="1" x14ac:dyDescent="0.25">
      <c r="A92" s="584" t="str">
        <f>'Mapa da Corregedoria'!F$6</f>
        <v>5ª Vara</v>
      </c>
      <c r="B92" s="584" t="s">
        <v>120</v>
      </c>
      <c r="C92" s="584" t="s">
        <v>122</v>
      </c>
      <c r="D92" s="584" t="str">
        <f>'Mapa da Corregedoria'!$A$29</f>
        <v>Removidos (de outros órgãos)</v>
      </c>
      <c r="E92" s="584">
        <f>'Mapa da Corregedoria'!$F29</f>
        <v>2</v>
      </c>
      <c r="F92" s="584" t="str">
        <f>D92</f>
        <v>Removidos (de outros órgãos)</v>
      </c>
      <c r="G92" s="584" t="s">
        <v>1236</v>
      </c>
    </row>
    <row r="93" spans="1:7" ht="14.25" customHeight="1" x14ac:dyDescent="0.25">
      <c r="A93" s="584" t="str">
        <f>'Mapa da Corregedoria'!F$6</f>
        <v>5ª Vara</v>
      </c>
      <c r="B93" s="584" t="s">
        <v>120</v>
      </c>
      <c r="C93" s="584" t="s">
        <v>122</v>
      </c>
      <c r="D93" s="584" t="str">
        <f>'Mapa da Corregedoria'!$A$30</f>
        <v>Sem Vínculo</v>
      </c>
      <c r="E93" s="584">
        <f>'Mapa da Corregedoria'!$F30</f>
        <v>0</v>
      </c>
      <c r="F93" s="584" t="str">
        <f>D93</f>
        <v>Sem Vínculo</v>
      </c>
      <c r="G93" s="584" t="s">
        <v>1236</v>
      </c>
    </row>
    <row r="94" spans="1:7" ht="14.25" customHeight="1" x14ac:dyDescent="0.25">
      <c r="A94" s="584" t="str">
        <f>'Mapa da Corregedoria'!G$6</f>
        <v>6ª Vara</v>
      </c>
      <c r="B94" s="584" t="s">
        <v>120</v>
      </c>
      <c r="C94" s="584" t="s">
        <v>122</v>
      </c>
      <c r="D94" s="584" t="str">
        <f>'Mapa da Corregedoria'!$A$8</f>
        <v>Analista Judiciário(Á. Judiciária)</v>
      </c>
      <c r="E94" s="584">
        <f>'Mapa da Corregedoria'!$G8</f>
        <v>4</v>
      </c>
      <c r="F94" s="584" t="s">
        <v>159</v>
      </c>
      <c r="G94" s="584" t="s">
        <v>1236</v>
      </c>
    </row>
    <row r="95" spans="1:7" ht="14.25" customHeight="1" x14ac:dyDescent="0.25">
      <c r="A95" s="584" t="str">
        <f>'Mapa da Corregedoria'!G$6</f>
        <v>6ª Vara</v>
      </c>
      <c r="B95" s="584" t="s">
        <v>120</v>
      </c>
      <c r="C95" s="584" t="s">
        <v>122</v>
      </c>
      <c r="D95" s="584" t="str">
        <f>'Mapa da Corregedoria'!$A$9</f>
        <v>Analista Judiciário(Á. Administrativa)</v>
      </c>
      <c r="E95" s="584">
        <f>'Mapa da Corregedoria'!$G9</f>
        <v>1</v>
      </c>
      <c r="F95" s="584" t="s">
        <v>159</v>
      </c>
      <c r="G95" s="584" t="s">
        <v>1236</v>
      </c>
    </row>
    <row r="96" spans="1:7" ht="14.25" customHeight="1" x14ac:dyDescent="0.25">
      <c r="A96" s="584" t="str">
        <f>'Mapa da Corregedoria'!G$6</f>
        <v>6ª Vara</v>
      </c>
      <c r="B96" s="584" t="s">
        <v>120</v>
      </c>
      <c r="C96" s="584" t="s">
        <v>122</v>
      </c>
      <c r="D96" s="584" t="str">
        <f>'Mapa da Corregedoria'!$A$10</f>
        <v>Analista Judiciário (Esp.Oficial de Justiça Avaliador Federal)</v>
      </c>
      <c r="E96" s="584">
        <f>'Mapa da Corregedoria'!$G10</f>
        <v>0</v>
      </c>
      <c r="F96" s="584" t="s">
        <v>159</v>
      </c>
      <c r="G96" s="584" t="s">
        <v>1236</v>
      </c>
    </row>
    <row r="97" spans="1:7" ht="14.25" customHeight="1" x14ac:dyDescent="0.25">
      <c r="A97" s="584" t="str">
        <f>'Mapa da Corregedoria'!G$6</f>
        <v>6ª Vara</v>
      </c>
      <c r="B97" s="584" t="s">
        <v>120</v>
      </c>
      <c r="C97" s="584" t="s">
        <v>122</v>
      </c>
      <c r="D97" s="584" t="str">
        <f>'Mapa da Corregedoria'!$A$11</f>
        <v>Anal.Jud.(Á. Biblioteconomia)</v>
      </c>
      <c r="E97" s="584">
        <f>'Mapa da Corregedoria'!$G11</f>
        <v>0</v>
      </c>
      <c r="F97" s="584" t="s">
        <v>159</v>
      </c>
      <c r="G97" s="584" t="s">
        <v>1236</v>
      </c>
    </row>
    <row r="98" spans="1:7" ht="14.25" customHeight="1" x14ac:dyDescent="0.25">
      <c r="A98" s="584" t="str">
        <f>'Mapa da Corregedoria'!G$6</f>
        <v>6ª Vara</v>
      </c>
      <c r="B98" s="584" t="s">
        <v>120</v>
      </c>
      <c r="C98" s="584" t="s">
        <v>122</v>
      </c>
      <c r="D98" s="584" t="str">
        <f>'Mapa da Corregedoria'!$A$12</f>
        <v>Analista Judiciário(Á. Apoio Especializado-Informática)</v>
      </c>
      <c r="E98" s="584">
        <f>'Mapa da Corregedoria'!$G12</f>
        <v>0</v>
      </c>
      <c r="F98" s="584" t="s">
        <v>159</v>
      </c>
      <c r="G98" s="584" t="s">
        <v>1236</v>
      </c>
    </row>
    <row r="99" spans="1:7" ht="14.25" customHeight="1" x14ac:dyDescent="0.25">
      <c r="A99" s="584" t="str">
        <f>'Mapa da Corregedoria'!G$6</f>
        <v>6ª Vara</v>
      </c>
      <c r="B99" s="584" t="s">
        <v>120</v>
      </c>
      <c r="C99" s="584" t="s">
        <v>122</v>
      </c>
      <c r="D99" s="584" t="str">
        <f>'Mapa da Corregedoria'!$A$13</f>
        <v>Analista Judiciário(Á. Apoio Especializado-Informática-Desenvolvimento)</v>
      </c>
      <c r="E99" s="584">
        <f>'Mapa da Corregedoria'!$G13</f>
        <v>0</v>
      </c>
      <c r="F99" s="584" t="s">
        <v>159</v>
      </c>
      <c r="G99" s="584" t="s">
        <v>1236</v>
      </c>
    </row>
    <row r="100" spans="1:7" ht="14.25" customHeight="1" x14ac:dyDescent="0.25">
      <c r="A100" s="584" t="str">
        <f>'Mapa da Corregedoria'!G$6</f>
        <v>6ª Vara</v>
      </c>
      <c r="B100" s="584" t="s">
        <v>120</v>
      </c>
      <c r="C100" s="584" t="s">
        <v>122</v>
      </c>
      <c r="D100" s="584" t="str">
        <f>'Mapa da Corregedoria'!$A$14</f>
        <v>Analista Judiciário(Á. Apoio Especializado-Informática-Infraestrutura)</v>
      </c>
      <c r="E100" s="584">
        <f>'Mapa da Corregedoria'!$G14</f>
        <v>0</v>
      </c>
      <c r="F100" s="584" t="s">
        <v>159</v>
      </c>
      <c r="G100" s="584" t="s">
        <v>1236</v>
      </c>
    </row>
    <row r="101" spans="1:7" ht="14.25" customHeight="1" x14ac:dyDescent="0.25">
      <c r="A101" s="584" t="str">
        <f>'Mapa da Corregedoria'!G$6</f>
        <v>6ª Vara</v>
      </c>
      <c r="B101" s="584" t="s">
        <v>120</v>
      </c>
      <c r="C101" s="584" t="s">
        <v>122</v>
      </c>
      <c r="D101" s="584" t="str">
        <f>'Mapa da Corregedoria'!$A$15</f>
        <v>Analista Judiciário(Á. Apoio Especializado-Medicina-Cliníca Médica)</v>
      </c>
      <c r="E101" s="584">
        <f>'Mapa da Corregedoria'!$G15</f>
        <v>0</v>
      </c>
      <c r="F101" s="584" t="s">
        <v>159</v>
      </c>
      <c r="G101" s="584" t="s">
        <v>1236</v>
      </c>
    </row>
    <row r="102" spans="1:7" ht="14.25" customHeight="1" x14ac:dyDescent="0.25">
      <c r="A102" s="584" t="str">
        <f>'Mapa da Corregedoria'!G$6</f>
        <v>6ª Vara</v>
      </c>
      <c r="B102" s="584" t="s">
        <v>120</v>
      </c>
      <c r="C102" s="584" t="s">
        <v>122</v>
      </c>
      <c r="D102" s="584" t="str">
        <f>'Mapa da Corregedoria'!$A$16</f>
        <v>Analista Judiciário(Á. Apoio Especializado-Contadoria)</v>
      </c>
      <c r="E102" s="584">
        <f>'Mapa da Corregedoria'!$G16</f>
        <v>0</v>
      </c>
      <c r="F102" s="584" t="s">
        <v>159</v>
      </c>
      <c r="G102" s="584" t="s">
        <v>1236</v>
      </c>
    </row>
    <row r="103" spans="1:7" ht="14.25" customHeight="1" x14ac:dyDescent="0.25">
      <c r="A103" s="584" t="str">
        <f>'Mapa da Corregedoria'!G$6</f>
        <v>6ª Vara</v>
      </c>
      <c r="B103" s="584" t="s">
        <v>120</v>
      </c>
      <c r="C103" s="584" t="s">
        <v>122</v>
      </c>
      <c r="D103" s="584" t="str">
        <f>'Mapa da Corregedoria'!$A$17</f>
        <v>Analista Judiciário(Á. Apoio Especializado- Engenharia Civil)</v>
      </c>
      <c r="E103" s="584">
        <f>'Mapa da Corregedoria'!$G17</f>
        <v>0</v>
      </c>
      <c r="F103" s="584" t="s">
        <v>159</v>
      </c>
      <c r="G103" s="584" t="s">
        <v>1236</v>
      </c>
    </row>
    <row r="104" spans="1:7" ht="14.25" customHeight="1" x14ac:dyDescent="0.25">
      <c r="A104" s="584" t="str">
        <f>'Mapa da Corregedoria'!G$6</f>
        <v>6ª Vara</v>
      </c>
      <c r="B104" s="584" t="s">
        <v>120</v>
      </c>
      <c r="C104" s="584" t="s">
        <v>122</v>
      </c>
      <c r="D104" s="584" t="str">
        <f>'Mapa da Corregedoria'!$A$20</f>
        <v xml:space="preserve">Técnico Judiciário (Á. Administrativa)-inclusas as Especialidades Serviços de Portaria/Telefonia </v>
      </c>
      <c r="E104" s="584">
        <f>'Mapa da Corregedoria'!$G20</f>
        <v>6</v>
      </c>
      <c r="F104" s="584" t="s">
        <v>159</v>
      </c>
      <c r="G104" s="584" t="s">
        <v>1236</v>
      </c>
    </row>
    <row r="105" spans="1:7" ht="14.25" customHeight="1" x14ac:dyDescent="0.25">
      <c r="A105" s="584" t="str">
        <f>'Mapa da Corregedoria'!G$6</f>
        <v>6ª Vara</v>
      </c>
      <c r="B105" s="584" t="s">
        <v>120</v>
      </c>
      <c r="C105" s="584" t="s">
        <v>122</v>
      </c>
      <c r="D105" s="584" t="str">
        <f>'Mapa da Corregedoria'!$A$21</f>
        <v>Técnico Judiciário(Á. Apoio Especializado- Informática)</v>
      </c>
      <c r="E105" s="584">
        <f>'Mapa da Corregedoria'!$G21</f>
        <v>0</v>
      </c>
      <c r="F105" s="584" t="s">
        <v>159</v>
      </c>
      <c r="G105" s="584" t="s">
        <v>1236</v>
      </c>
    </row>
    <row r="106" spans="1:7" ht="14.25" customHeight="1" x14ac:dyDescent="0.25">
      <c r="A106" s="584" t="str">
        <f>'Mapa da Corregedoria'!G$6</f>
        <v>6ª Vara</v>
      </c>
      <c r="B106" s="584" t="s">
        <v>120</v>
      </c>
      <c r="C106" s="584" t="s">
        <v>122</v>
      </c>
      <c r="D106" s="584" t="str">
        <f>'Mapa da Corregedoria'!$A$24</f>
        <v>Técnico Judiciário (Á. Segurança e Transporte – Agente de Policia Judicial)</v>
      </c>
      <c r="E106" s="584">
        <f>'Mapa da Corregedoria'!$G24</f>
        <v>1</v>
      </c>
      <c r="F106" s="584" t="s">
        <v>159</v>
      </c>
      <c r="G106" s="584" t="s">
        <v>1236</v>
      </c>
    </row>
    <row r="107" spans="1:7" ht="14.25" customHeight="1" x14ac:dyDescent="0.25">
      <c r="A107" s="584" t="str">
        <f>'Mapa da Corregedoria'!G$6</f>
        <v>6ª Vara</v>
      </c>
      <c r="B107" s="584" t="s">
        <v>120</v>
      </c>
      <c r="C107" s="584" t="s">
        <v>122</v>
      </c>
      <c r="D107" s="584" t="str">
        <f>'Mapa da Corregedoria'!$A$25</f>
        <v>Auxiliar Judiciário</v>
      </c>
      <c r="E107" s="584">
        <f>'Mapa da Corregedoria'!$G25</f>
        <v>0</v>
      </c>
      <c r="F107" s="584" t="s">
        <v>159</v>
      </c>
      <c r="G107" s="584" t="s">
        <v>1236</v>
      </c>
    </row>
    <row r="108" spans="1:7" ht="14.25" customHeight="1" x14ac:dyDescent="0.25">
      <c r="A108" s="584" t="str">
        <f>'Mapa da Corregedoria'!G$6</f>
        <v>6ª Vara</v>
      </c>
      <c r="B108" s="584" t="s">
        <v>120</v>
      </c>
      <c r="C108" s="584" t="s">
        <v>122</v>
      </c>
      <c r="D108" s="584" t="str">
        <f>'Mapa da Corregedoria'!$A$27</f>
        <v>Requisitados</v>
      </c>
      <c r="E108" s="584">
        <f>'Mapa da Corregedoria'!$G27</f>
        <v>2</v>
      </c>
      <c r="F108" s="584" t="str">
        <f>D108</f>
        <v>Requisitados</v>
      </c>
      <c r="G108" s="584" t="s">
        <v>1236</v>
      </c>
    </row>
    <row r="109" spans="1:7" ht="14.25" customHeight="1" x14ac:dyDescent="0.25">
      <c r="A109" s="584" t="str">
        <f>'Mapa da Corregedoria'!G$6</f>
        <v>6ª Vara</v>
      </c>
      <c r="B109" s="584" t="s">
        <v>120</v>
      </c>
      <c r="C109" s="584" t="s">
        <v>122</v>
      </c>
      <c r="D109" s="584" t="str">
        <f>'Mapa da Corregedoria'!$A$28</f>
        <v>Exercício Provisório (de outros órgãos)</v>
      </c>
      <c r="E109" s="584">
        <f>'Mapa da Corregedoria'!$G28</f>
        <v>0</v>
      </c>
      <c r="F109" s="584" t="str">
        <f>D109</f>
        <v>Exercício Provisório (de outros órgãos)</v>
      </c>
      <c r="G109" s="584" t="s">
        <v>1236</v>
      </c>
    </row>
    <row r="110" spans="1:7" ht="14.25" customHeight="1" x14ac:dyDescent="0.25">
      <c r="A110" s="584" t="str">
        <f>'Mapa da Corregedoria'!G$6</f>
        <v>6ª Vara</v>
      </c>
      <c r="B110" s="584" t="s">
        <v>120</v>
      </c>
      <c r="C110" s="584" t="s">
        <v>122</v>
      </c>
      <c r="D110" s="584" t="str">
        <f>'Mapa da Corregedoria'!$A$29</f>
        <v>Removidos (de outros órgãos)</v>
      </c>
      <c r="E110" s="584">
        <f>'Mapa da Corregedoria'!$G29</f>
        <v>2</v>
      </c>
      <c r="F110" s="584" t="str">
        <f>D110</f>
        <v>Removidos (de outros órgãos)</v>
      </c>
      <c r="G110" s="584" t="s">
        <v>1236</v>
      </c>
    </row>
    <row r="111" spans="1:7" ht="14.25" customHeight="1" x14ac:dyDescent="0.25">
      <c r="A111" s="584" t="str">
        <f>'Mapa da Corregedoria'!G$6</f>
        <v>6ª Vara</v>
      </c>
      <c r="B111" s="584" t="s">
        <v>120</v>
      </c>
      <c r="C111" s="584" t="s">
        <v>122</v>
      </c>
      <c r="D111" s="584" t="str">
        <f>'Mapa da Corregedoria'!$A$30</f>
        <v>Sem Vínculo</v>
      </c>
      <c r="E111" s="584">
        <f>'Mapa da Corregedoria'!$G30</f>
        <v>0</v>
      </c>
      <c r="F111" s="584" t="str">
        <f>D111</f>
        <v>Sem Vínculo</v>
      </c>
      <c r="G111" s="584" t="s">
        <v>1236</v>
      </c>
    </row>
    <row r="112" spans="1:7" ht="14.25" customHeight="1" x14ac:dyDescent="0.25">
      <c r="A112" s="584" t="str">
        <f>'Mapa da Corregedoria'!H$6</f>
        <v>7ª Vara</v>
      </c>
      <c r="B112" s="584" t="s">
        <v>120</v>
      </c>
      <c r="C112" s="584" t="s">
        <v>122</v>
      </c>
      <c r="D112" s="584" t="str">
        <f>'Mapa da Corregedoria'!$A$8</f>
        <v>Analista Judiciário(Á. Judiciária)</v>
      </c>
      <c r="E112" s="584">
        <f>'Mapa da Corregedoria'!$H8</f>
        <v>2</v>
      </c>
      <c r="F112" s="584" t="s">
        <v>159</v>
      </c>
      <c r="G112" s="584" t="s">
        <v>1236</v>
      </c>
    </row>
    <row r="113" spans="1:7" ht="14.25" customHeight="1" x14ac:dyDescent="0.25">
      <c r="A113" s="584" t="str">
        <f>'Mapa da Corregedoria'!H$6</f>
        <v>7ª Vara</v>
      </c>
      <c r="B113" s="584" t="s">
        <v>120</v>
      </c>
      <c r="C113" s="584" t="s">
        <v>122</v>
      </c>
      <c r="D113" s="584" t="str">
        <f>'Mapa da Corregedoria'!$A$9</f>
        <v>Analista Judiciário(Á. Administrativa)</v>
      </c>
      <c r="E113" s="584">
        <f>'Mapa da Corregedoria'!$H9</f>
        <v>3</v>
      </c>
      <c r="F113" s="584" t="s">
        <v>159</v>
      </c>
      <c r="G113" s="584" t="s">
        <v>1236</v>
      </c>
    </row>
    <row r="114" spans="1:7" ht="14.25" customHeight="1" x14ac:dyDescent="0.25">
      <c r="A114" s="584" t="str">
        <f>'Mapa da Corregedoria'!H$6</f>
        <v>7ª Vara</v>
      </c>
      <c r="B114" s="584" t="s">
        <v>120</v>
      </c>
      <c r="C114" s="584" t="s">
        <v>122</v>
      </c>
      <c r="D114" s="584" t="str">
        <f>'Mapa da Corregedoria'!$A$10</f>
        <v>Analista Judiciário (Esp.Oficial de Justiça Avaliador Federal)</v>
      </c>
      <c r="E114" s="584">
        <f>'Mapa da Corregedoria'!$H10</f>
        <v>0</v>
      </c>
      <c r="F114" s="584" t="s">
        <v>159</v>
      </c>
      <c r="G114" s="584" t="s">
        <v>1236</v>
      </c>
    </row>
    <row r="115" spans="1:7" ht="14.25" customHeight="1" x14ac:dyDescent="0.25">
      <c r="A115" s="584" t="str">
        <f>'Mapa da Corregedoria'!H$6</f>
        <v>7ª Vara</v>
      </c>
      <c r="B115" s="584" t="s">
        <v>120</v>
      </c>
      <c r="C115" s="584" t="s">
        <v>122</v>
      </c>
      <c r="D115" s="584" t="str">
        <f>'Mapa da Corregedoria'!$A$11</f>
        <v>Anal.Jud.(Á. Biblioteconomia)</v>
      </c>
      <c r="E115" s="584">
        <f>'Mapa da Corregedoria'!$H11</f>
        <v>0</v>
      </c>
      <c r="F115" s="584" t="s">
        <v>159</v>
      </c>
      <c r="G115" s="584" t="s">
        <v>1236</v>
      </c>
    </row>
    <row r="116" spans="1:7" ht="14.25" customHeight="1" x14ac:dyDescent="0.25">
      <c r="A116" s="584" t="str">
        <f>'Mapa da Corregedoria'!H$6</f>
        <v>7ª Vara</v>
      </c>
      <c r="B116" s="584" t="s">
        <v>120</v>
      </c>
      <c r="C116" s="584" t="s">
        <v>122</v>
      </c>
      <c r="D116" s="584" t="str">
        <f>'Mapa da Corregedoria'!$A$12</f>
        <v>Analista Judiciário(Á. Apoio Especializado-Informática)</v>
      </c>
      <c r="E116" s="584">
        <f>'Mapa da Corregedoria'!$H12</f>
        <v>0</v>
      </c>
      <c r="F116" s="584" t="s">
        <v>159</v>
      </c>
      <c r="G116" s="584" t="s">
        <v>1236</v>
      </c>
    </row>
    <row r="117" spans="1:7" ht="14.25" customHeight="1" x14ac:dyDescent="0.25">
      <c r="A117" s="584" t="str">
        <f>'Mapa da Corregedoria'!H$6</f>
        <v>7ª Vara</v>
      </c>
      <c r="B117" s="584" t="s">
        <v>120</v>
      </c>
      <c r="C117" s="584" t="s">
        <v>122</v>
      </c>
      <c r="D117" s="584" t="str">
        <f>'Mapa da Corregedoria'!$A$13</f>
        <v>Analista Judiciário(Á. Apoio Especializado-Informática-Desenvolvimento)</v>
      </c>
      <c r="E117" s="584">
        <f>'Mapa da Corregedoria'!$H13</f>
        <v>0</v>
      </c>
      <c r="F117" s="584" t="s">
        <v>159</v>
      </c>
      <c r="G117" s="584" t="s">
        <v>1236</v>
      </c>
    </row>
    <row r="118" spans="1:7" ht="14.25" customHeight="1" x14ac:dyDescent="0.25">
      <c r="A118" s="584" t="str">
        <f>'Mapa da Corregedoria'!H$6</f>
        <v>7ª Vara</v>
      </c>
      <c r="B118" s="584" t="s">
        <v>120</v>
      </c>
      <c r="C118" s="584" t="s">
        <v>122</v>
      </c>
      <c r="D118" s="584" t="str">
        <f>'Mapa da Corregedoria'!$A$14</f>
        <v>Analista Judiciário(Á. Apoio Especializado-Informática-Infraestrutura)</v>
      </c>
      <c r="E118" s="584">
        <f>'Mapa da Corregedoria'!$H14</f>
        <v>0</v>
      </c>
      <c r="F118" s="584" t="s">
        <v>159</v>
      </c>
      <c r="G118" s="584" t="s">
        <v>1236</v>
      </c>
    </row>
    <row r="119" spans="1:7" ht="14.25" customHeight="1" x14ac:dyDescent="0.25">
      <c r="A119" s="584" t="str">
        <f>'Mapa da Corregedoria'!H$6</f>
        <v>7ª Vara</v>
      </c>
      <c r="B119" s="584" t="s">
        <v>120</v>
      </c>
      <c r="C119" s="584" t="s">
        <v>122</v>
      </c>
      <c r="D119" s="584" t="str">
        <f>'Mapa da Corregedoria'!$A$15</f>
        <v>Analista Judiciário(Á. Apoio Especializado-Medicina-Cliníca Médica)</v>
      </c>
      <c r="E119" s="584">
        <f>'Mapa da Corregedoria'!$H15</f>
        <v>0</v>
      </c>
      <c r="F119" s="584" t="s">
        <v>159</v>
      </c>
      <c r="G119" s="584" t="s">
        <v>1236</v>
      </c>
    </row>
    <row r="120" spans="1:7" ht="14.25" customHeight="1" x14ac:dyDescent="0.25">
      <c r="A120" s="584" t="str">
        <f>'Mapa da Corregedoria'!H$6</f>
        <v>7ª Vara</v>
      </c>
      <c r="B120" s="584" t="s">
        <v>120</v>
      </c>
      <c r="C120" s="584" t="s">
        <v>122</v>
      </c>
      <c r="D120" s="584" t="str">
        <f>'Mapa da Corregedoria'!$A$16</f>
        <v>Analista Judiciário(Á. Apoio Especializado-Contadoria)</v>
      </c>
      <c r="E120" s="584">
        <f>'Mapa da Corregedoria'!$H16</f>
        <v>0</v>
      </c>
      <c r="F120" s="584" t="s">
        <v>159</v>
      </c>
      <c r="G120" s="584" t="s">
        <v>1236</v>
      </c>
    </row>
    <row r="121" spans="1:7" ht="14.25" customHeight="1" x14ac:dyDescent="0.25">
      <c r="A121" s="584" t="str">
        <f>'Mapa da Corregedoria'!H$6</f>
        <v>7ª Vara</v>
      </c>
      <c r="B121" s="584" t="s">
        <v>120</v>
      </c>
      <c r="C121" s="584" t="s">
        <v>122</v>
      </c>
      <c r="D121" s="584" t="str">
        <f>'Mapa da Corregedoria'!$A$17</f>
        <v>Analista Judiciário(Á. Apoio Especializado- Engenharia Civil)</v>
      </c>
      <c r="E121" s="584">
        <f>'Mapa da Corregedoria'!$H17</f>
        <v>0</v>
      </c>
      <c r="F121" s="584" t="s">
        <v>159</v>
      </c>
      <c r="G121" s="584" t="s">
        <v>1236</v>
      </c>
    </row>
    <row r="122" spans="1:7" ht="14.25" customHeight="1" x14ac:dyDescent="0.25">
      <c r="A122" s="584" t="str">
        <f>'Mapa da Corregedoria'!H$6</f>
        <v>7ª Vara</v>
      </c>
      <c r="B122" s="584" t="s">
        <v>120</v>
      </c>
      <c r="C122" s="584" t="s">
        <v>122</v>
      </c>
      <c r="D122" s="584" t="str">
        <f>'Mapa da Corregedoria'!$A$20</f>
        <v xml:space="preserve">Técnico Judiciário (Á. Administrativa)-inclusas as Especialidades Serviços de Portaria/Telefonia </v>
      </c>
      <c r="E122" s="584">
        <f>'Mapa da Corregedoria'!$H20</f>
        <v>6</v>
      </c>
      <c r="F122" s="584" t="s">
        <v>159</v>
      </c>
      <c r="G122" s="584" t="s">
        <v>1236</v>
      </c>
    </row>
    <row r="123" spans="1:7" ht="14.25" customHeight="1" x14ac:dyDescent="0.25">
      <c r="A123" s="584" t="str">
        <f>'Mapa da Corregedoria'!H$6</f>
        <v>7ª Vara</v>
      </c>
      <c r="B123" s="584" t="s">
        <v>120</v>
      </c>
      <c r="C123" s="584" t="s">
        <v>122</v>
      </c>
      <c r="D123" s="584" t="str">
        <f>'Mapa da Corregedoria'!$A$21</f>
        <v>Técnico Judiciário(Á. Apoio Especializado- Informática)</v>
      </c>
      <c r="E123" s="584">
        <f>'Mapa da Corregedoria'!$H21</f>
        <v>0</v>
      </c>
      <c r="F123" s="584" t="s">
        <v>159</v>
      </c>
      <c r="G123" s="584" t="s">
        <v>1236</v>
      </c>
    </row>
    <row r="124" spans="1:7" ht="14.25" customHeight="1" x14ac:dyDescent="0.25">
      <c r="A124" s="584" t="str">
        <f>'Mapa da Corregedoria'!H$6</f>
        <v>7ª Vara</v>
      </c>
      <c r="B124" s="584" t="s">
        <v>120</v>
      </c>
      <c r="C124" s="584" t="s">
        <v>122</v>
      </c>
      <c r="D124" s="584" t="str">
        <f>'Mapa da Corregedoria'!$A$24</f>
        <v>Técnico Judiciário (Á. Segurança e Transporte – Agente de Policia Judicial)</v>
      </c>
      <c r="E124" s="584">
        <f>'Mapa da Corregedoria'!$H24</f>
        <v>1</v>
      </c>
      <c r="F124" s="584" t="s">
        <v>159</v>
      </c>
      <c r="G124" s="584" t="s">
        <v>1236</v>
      </c>
    </row>
    <row r="125" spans="1:7" ht="14.25" customHeight="1" x14ac:dyDescent="0.25">
      <c r="A125" s="584" t="str">
        <f>'Mapa da Corregedoria'!H$6</f>
        <v>7ª Vara</v>
      </c>
      <c r="B125" s="584" t="s">
        <v>120</v>
      </c>
      <c r="C125" s="584" t="s">
        <v>122</v>
      </c>
      <c r="D125" s="584" t="str">
        <f>'Mapa da Corregedoria'!$A$25</f>
        <v>Auxiliar Judiciário</v>
      </c>
      <c r="E125" s="584">
        <f>'Mapa da Corregedoria'!$H25</f>
        <v>0</v>
      </c>
      <c r="F125" s="584" t="s">
        <v>159</v>
      </c>
      <c r="G125" s="584" t="s">
        <v>1236</v>
      </c>
    </row>
    <row r="126" spans="1:7" ht="14.25" customHeight="1" x14ac:dyDescent="0.25">
      <c r="A126" s="584" t="str">
        <f>'Mapa da Corregedoria'!H$6</f>
        <v>7ª Vara</v>
      </c>
      <c r="B126" s="584" t="s">
        <v>120</v>
      </c>
      <c r="C126" s="584" t="s">
        <v>122</v>
      </c>
      <c r="D126" s="584" t="str">
        <f>'Mapa da Corregedoria'!$A$27</f>
        <v>Requisitados</v>
      </c>
      <c r="E126" s="584">
        <f>'Mapa da Corregedoria'!$H27</f>
        <v>1</v>
      </c>
      <c r="F126" s="584" t="str">
        <f>D126</f>
        <v>Requisitados</v>
      </c>
      <c r="G126" s="584" t="s">
        <v>1236</v>
      </c>
    </row>
    <row r="127" spans="1:7" ht="14.25" customHeight="1" x14ac:dyDescent="0.25">
      <c r="A127" s="584" t="str">
        <f>'Mapa da Corregedoria'!H$6</f>
        <v>7ª Vara</v>
      </c>
      <c r="B127" s="584" t="s">
        <v>120</v>
      </c>
      <c r="C127" s="584" t="s">
        <v>122</v>
      </c>
      <c r="D127" s="584" t="str">
        <f>'Mapa da Corregedoria'!$A$28</f>
        <v>Exercício Provisório (de outros órgãos)</v>
      </c>
      <c r="E127" s="584">
        <f>'Mapa da Corregedoria'!$H28</f>
        <v>0</v>
      </c>
      <c r="F127" s="584" t="str">
        <f>D127</f>
        <v>Exercício Provisório (de outros órgãos)</v>
      </c>
      <c r="G127" s="584" t="s">
        <v>1236</v>
      </c>
    </row>
    <row r="128" spans="1:7" ht="14.25" customHeight="1" x14ac:dyDescent="0.25">
      <c r="A128" s="584" t="str">
        <f>'Mapa da Corregedoria'!H$6</f>
        <v>7ª Vara</v>
      </c>
      <c r="B128" s="584" t="s">
        <v>120</v>
      </c>
      <c r="C128" s="584" t="s">
        <v>122</v>
      </c>
      <c r="D128" s="584" t="str">
        <f>'Mapa da Corregedoria'!$A$29</f>
        <v>Removidos (de outros órgãos)</v>
      </c>
      <c r="E128" s="584">
        <f>'Mapa da Corregedoria'!$H29</f>
        <v>1</v>
      </c>
      <c r="F128" s="584" t="str">
        <f>D128</f>
        <v>Removidos (de outros órgãos)</v>
      </c>
      <c r="G128" s="584" t="s">
        <v>1236</v>
      </c>
    </row>
    <row r="129" spans="1:7" ht="14.25" customHeight="1" x14ac:dyDescent="0.25">
      <c r="A129" s="584" t="str">
        <f>'Mapa da Corregedoria'!H$6</f>
        <v>7ª Vara</v>
      </c>
      <c r="B129" s="584" t="s">
        <v>120</v>
      </c>
      <c r="C129" s="584" t="s">
        <v>122</v>
      </c>
      <c r="D129" s="584" t="str">
        <f>'Mapa da Corregedoria'!$A$30</f>
        <v>Sem Vínculo</v>
      </c>
      <c r="E129" s="584">
        <f>'Mapa da Corregedoria'!$H30</f>
        <v>1</v>
      </c>
      <c r="F129" s="584" t="str">
        <f>D129</f>
        <v>Sem Vínculo</v>
      </c>
      <c r="G129" s="584" t="s">
        <v>1236</v>
      </c>
    </row>
    <row r="130" spans="1:7" ht="14.25" customHeight="1" x14ac:dyDescent="0.25">
      <c r="A130" s="584" t="str">
        <f>'Mapa da Corregedoria'!I$6</f>
        <v>8ª Vara</v>
      </c>
      <c r="B130" s="584" t="s">
        <v>120</v>
      </c>
      <c r="C130" s="584" t="s">
        <v>122</v>
      </c>
      <c r="D130" s="584" t="str">
        <f>'Mapa da Corregedoria'!$A$8</f>
        <v>Analista Judiciário(Á. Judiciária)</v>
      </c>
      <c r="E130" s="584">
        <f>'Mapa da Corregedoria'!$I8</f>
        <v>2</v>
      </c>
      <c r="F130" s="584" t="s">
        <v>159</v>
      </c>
      <c r="G130" s="584" t="s">
        <v>1236</v>
      </c>
    </row>
    <row r="131" spans="1:7" ht="14.25" customHeight="1" x14ac:dyDescent="0.25">
      <c r="A131" s="584" t="str">
        <f>'Mapa da Corregedoria'!I$6</f>
        <v>8ª Vara</v>
      </c>
      <c r="B131" s="584" t="s">
        <v>120</v>
      </c>
      <c r="C131" s="584" t="s">
        <v>122</v>
      </c>
      <c r="D131" s="584" t="str">
        <f>'Mapa da Corregedoria'!$A$9</f>
        <v>Analista Judiciário(Á. Administrativa)</v>
      </c>
      <c r="E131" s="584">
        <f>'Mapa da Corregedoria'!$I9</f>
        <v>2</v>
      </c>
      <c r="F131" s="584" t="s">
        <v>159</v>
      </c>
      <c r="G131" s="584" t="s">
        <v>1236</v>
      </c>
    </row>
    <row r="132" spans="1:7" ht="14.25" customHeight="1" x14ac:dyDescent="0.25">
      <c r="A132" s="584" t="str">
        <f>'Mapa da Corregedoria'!I$6</f>
        <v>8ª Vara</v>
      </c>
      <c r="B132" s="584" t="s">
        <v>120</v>
      </c>
      <c r="C132" s="584" t="s">
        <v>122</v>
      </c>
      <c r="D132" s="584" t="str">
        <f>'Mapa da Corregedoria'!$A$10</f>
        <v>Analista Judiciário (Esp.Oficial de Justiça Avaliador Federal)</v>
      </c>
      <c r="E132" s="584">
        <f>'Mapa da Corregedoria'!$I10</f>
        <v>0</v>
      </c>
      <c r="F132" s="584" t="s">
        <v>159</v>
      </c>
      <c r="G132" s="584" t="s">
        <v>1236</v>
      </c>
    </row>
    <row r="133" spans="1:7" ht="14.25" customHeight="1" x14ac:dyDescent="0.25">
      <c r="A133" s="584" t="str">
        <f>'Mapa da Corregedoria'!I$6</f>
        <v>8ª Vara</v>
      </c>
      <c r="B133" s="584" t="s">
        <v>120</v>
      </c>
      <c r="C133" s="584" t="s">
        <v>122</v>
      </c>
      <c r="D133" s="584" t="str">
        <f>'Mapa da Corregedoria'!$A$11</f>
        <v>Anal.Jud.(Á. Biblioteconomia)</v>
      </c>
      <c r="E133" s="584">
        <f>'Mapa da Corregedoria'!$I11</f>
        <v>0</v>
      </c>
      <c r="F133" s="584" t="s">
        <v>159</v>
      </c>
      <c r="G133" s="584" t="s">
        <v>1236</v>
      </c>
    </row>
    <row r="134" spans="1:7" ht="14.25" customHeight="1" x14ac:dyDescent="0.25">
      <c r="A134" s="584" t="str">
        <f>'Mapa da Corregedoria'!I$6</f>
        <v>8ª Vara</v>
      </c>
      <c r="B134" s="584" t="s">
        <v>120</v>
      </c>
      <c r="C134" s="584" t="s">
        <v>122</v>
      </c>
      <c r="D134" s="584" t="str">
        <f>'Mapa da Corregedoria'!$A$12</f>
        <v>Analista Judiciário(Á. Apoio Especializado-Informática)</v>
      </c>
      <c r="E134" s="584">
        <f>'Mapa da Corregedoria'!$I12</f>
        <v>0</v>
      </c>
      <c r="F134" s="584" t="s">
        <v>159</v>
      </c>
      <c r="G134" s="584" t="s">
        <v>1236</v>
      </c>
    </row>
    <row r="135" spans="1:7" ht="14.25" customHeight="1" x14ac:dyDescent="0.25">
      <c r="A135" s="584" t="str">
        <f>'Mapa da Corregedoria'!I$6</f>
        <v>8ª Vara</v>
      </c>
      <c r="B135" s="584" t="s">
        <v>120</v>
      </c>
      <c r="C135" s="584" t="s">
        <v>122</v>
      </c>
      <c r="D135" s="584" t="str">
        <f>'Mapa da Corregedoria'!$A$13</f>
        <v>Analista Judiciário(Á. Apoio Especializado-Informática-Desenvolvimento)</v>
      </c>
      <c r="E135" s="584">
        <f>'Mapa da Corregedoria'!$I13</f>
        <v>0</v>
      </c>
      <c r="F135" s="584" t="s">
        <v>159</v>
      </c>
      <c r="G135" s="584" t="s">
        <v>1236</v>
      </c>
    </row>
    <row r="136" spans="1:7" ht="14.25" customHeight="1" x14ac:dyDescent="0.25">
      <c r="A136" s="584" t="str">
        <f>'Mapa da Corregedoria'!I$6</f>
        <v>8ª Vara</v>
      </c>
      <c r="B136" s="584" t="s">
        <v>120</v>
      </c>
      <c r="C136" s="584" t="s">
        <v>122</v>
      </c>
      <c r="D136" s="584" t="str">
        <f>'Mapa da Corregedoria'!$A$14</f>
        <v>Analista Judiciário(Á. Apoio Especializado-Informática-Infraestrutura)</v>
      </c>
      <c r="E136" s="584">
        <f>'Mapa da Corregedoria'!$I14</f>
        <v>0</v>
      </c>
      <c r="F136" s="584" t="s">
        <v>159</v>
      </c>
      <c r="G136" s="584" t="s">
        <v>1236</v>
      </c>
    </row>
    <row r="137" spans="1:7" ht="14.25" customHeight="1" x14ac:dyDescent="0.25">
      <c r="A137" s="584" t="str">
        <f>'Mapa da Corregedoria'!I$6</f>
        <v>8ª Vara</v>
      </c>
      <c r="B137" s="584" t="s">
        <v>120</v>
      </c>
      <c r="C137" s="584" t="s">
        <v>122</v>
      </c>
      <c r="D137" s="584" t="str">
        <f>'Mapa da Corregedoria'!$A$15</f>
        <v>Analista Judiciário(Á. Apoio Especializado-Medicina-Cliníca Médica)</v>
      </c>
      <c r="E137" s="584">
        <f>'Mapa da Corregedoria'!$I15</f>
        <v>0</v>
      </c>
      <c r="F137" s="584" t="s">
        <v>159</v>
      </c>
      <c r="G137" s="584" t="s">
        <v>1236</v>
      </c>
    </row>
    <row r="138" spans="1:7" ht="14.25" customHeight="1" x14ac:dyDescent="0.25">
      <c r="A138" s="584" t="str">
        <f>'Mapa da Corregedoria'!I$6</f>
        <v>8ª Vara</v>
      </c>
      <c r="B138" s="584" t="s">
        <v>120</v>
      </c>
      <c r="C138" s="584" t="s">
        <v>122</v>
      </c>
      <c r="D138" s="584" t="str">
        <f>'Mapa da Corregedoria'!$A$16</f>
        <v>Analista Judiciário(Á. Apoio Especializado-Contadoria)</v>
      </c>
      <c r="E138" s="584">
        <f>'Mapa da Corregedoria'!$I16</f>
        <v>0</v>
      </c>
      <c r="F138" s="584" t="s">
        <v>159</v>
      </c>
      <c r="G138" s="584" t="s">
        <v>1236</v>
      </c>
    </row>
    <row r="139" spans="1:7" ht="14.25" customHeight="1" x14ac:dyDescent="0.25">
      <c r="A139" s="584" t="str">
        <f>'Mapa da Corregedoria'!I$6</f>
        <v>8ª Vara</v>
      </c>
      <c r="B139" s="584" t="s">
        <v>120</v>
      </c>
      <c r="C139" s="584" t="s">
        <v>122</v>
      </c>
      <c r="D139" s="584" t="str">
        <f>'Mapa da Corregedoria'!$A$17</f>
        <v>Analista Judiciário(Á. Apoio Especializado- Engenharia Civil)</v>
      </c>
      <c r="E139" s="584">
        <f>'Mapa da Corregedoria'!$I17</f>
        <v>0</v>
      </c>
      <c r="F139" s="584" t="s">
        <v>159</v>
      </c>
      <c r="G139" s="584" t="s">
        <v>1236</v>
      </c>
    </row>
    <row r="140" spans="1:7" ht="14.25" customHeight="1" x14ac:dyDescent="0.25">
      <c r="A140" s="584" t="str">
        <f>'Mapa da Corregedoria'!I$6</f>
        <v>8ª Vara</v>
      </c>
      <c r="B140" s="584" t="s">
        <v>120</v>
      </c>
      <c r="C140" s="584" t="s">
        <v>122</v>
      </c>
      <c r="D140" s="584" t="str">
        <f>'Mapa da Corregedoria'!$A$20</f>
        <v xml:space="preserve">Técnico Judiciário (Á. Administrativa)-inclusas as Especialidades Serviços de Portaria/Telefonia </v>
      </c>
      <c r="E140" s="584">
        <f>'Mapa da Corregedoria'!$I20</f>
        <v>10</v>
      </c>
      <c r="F140" s="584" t="s">
        <v>159</v>
      </c>
      <c r="G140" s="584" t="s">
        <v>1236</v>
      </c>
    </row>
    <row r="141" spans="1:7" ht="14.25" customHeight="1" x14ac:dyDescent="0.25">
      <c r="A141" s="584" t="str">
        <f>'Mapa da Corregedoria'!I$6</f>
        <v>8ª Vara</v>
      </c>
      <c r="B141" s="584" t="s">
        <v>120</v>
      </c>
      <c r="C141" s="584" t="s">
        <v>122</v>
      </c>
      <c r="D141" s="584" t="str">
        <f>'Mapa da Corregedoria'!$A$21</f>
        <v>Técnico Judiciário(Á. Apoio Especializado- Informática)</v>
      </c>
      <c r="E141" s="584">
        <f>'Mapa da Corregedoria'!$I21</f>
        <v>0</v>
      </c>
      <c r="F141" s="584" t="s">
        <v>159</v>
      </c>
      <c r="G141" s="584" t="s">
        <v>1236</v>
      </c>
    </row>
    <row r="142" spans="1:7" ht="14.25" customHeight="1" x14ac:dyDescent="0.25">
      <c r="A142" s="584" t="str">
        <f>'Mapa da Corregedoria'!I$6</f>
        <v>8ª Vara</v>
      </c>
      <c r="B142" s="584" t="s">
        <v>120</v>
      </c>
      <c r="C142" s="584" t="s">
        <v>122</v>
      </c>
      <c r="D142" s="584" t="str">
        <f>'Mapa da Corregedoria'!$A$24</f>
        <v>Técnico Judiciário (Á. Segurança e Transporte – Agente de Policia Judicial)</v>
      </c>
      <c r="E142" s="584">
        <f>'Mapa da Corregedoria'!$I24</f>
        <v>0</v>
      </c>
      <c r="F142" s="584" t="s">
        <v>159</v>
      </c>
      <c r="G142" s="584" t="s">
        <v>1236</v>
      </c>
    </row>
    <row r="143" spans="1:7" ht="14.25" customHeight="1" x14ac:dyDescent="0.25">
      <c r="A143" s="584" t="str">
        <f>'Mapa da Corregedoria'!I$6</f>
        <v>8ª Vara</v>
      </c>
      <c r="B143" s="584" t="s">
        <v>120</v>
      </c>
      <c r="C143" s="584" t="s">
        <v>122</v>
      </c>
      <c r="D143" s="584" t="str">
        <f>'Mapa da Corregedoria'!$A$25</f>
        <v>Auxiliar Judiciário</v>
      </c>
      <c r="E143" s="584">
        <f>'Mapa da Corregedoria'!$I25</f>
        <v>0</v>
      </c>
      <c r="F143" s="584" t="s">
        <v>159</v>
      </c>
      <c r="G143" s="584" t="s">
        <v>1236</v>
      </c>
    </row>
    <row r="144" spans="1:7" ht="14.25" customHeight="1" x14ac:dyDescent="0.25">
      <c r="A144" s="584" t="str">
        <f>'Mapa da Corregedoria'!I$6</f>
        <v>8ª Vara</v>
      </c>
      <c r="B144" s="584" t="s">
        <v>120</v>
      </c>
      <c r="C144" s="584" t="s">
        <v>122</v>
      </c>
      <c r="D144" s="584" t="str">
        <f>'Mapa da Corregedoria'!$A$27</f>
        <v>Requisitados</v>
      </c>
      <c r="E144" s="584">
        <f>'Mapa da Corregedoria'!$I27</f>
        <v>1</v>
      </c>
      <c r="F144" s="584" t="str">
        <f>D144</f>
        <v>Requisitados</v>
      </c>
      <c r="G144" s="584" t="s">
        <v>1236</v>
      </c>
    </row>
    <row r="145" spans="1:7" ht="14.25" customHeight="1" x14ac:dyDescent="0.25">
      <c r="A145" s="584" t="str">
        <f>'Mapa da Corregedoria'!I$6</f>
        <v>8ª Vara</v>
      </c>
      <c r="B145" s="584" t="s">
        <v>120</v>
      </c>
      <c r="C145" s="584" t="s">
        <v>122</v>
      </c>
      <c r="D145" s="584" t="str">
        <f>'Mapa da Corregedoria'!$A$28</f>
        <v>Exercício Provisório (de outros órgãos)</v>
      </c>
      <c r="E145" s="584">
        <f>'Mapa da Corregedoria'!$I28</f>
        <v>0</v>
      </c>
      <c r="F145" s="584" t="str">
        <f>D145</f>
        <v>Exercício Provisório (de outros órgãos)</v>
      </c>
      <c r="G145" s="584" t="s">
        <v>1236</v>
      </c>
    </row>
    <row r="146" spans="1:7" ht="14.25" customHeight="1" x14ac:dyDescent="0.25">
      <c r="A146" s="584" t="str">
        <f>'Mapa da Corregedoria'!I$6</f>
        <v>8ª Vara</v>
      </c>
      <c r="B146" s="584" t="s">
        <v>120</v>
      </c>
      <c r="C146" s="584" t="s">
        <v>122</v>
      </c>
      <c r="D146" s="584" t="str">
        <f>'Mapa da Corregedoria'!$A$29</f>
        <v>Removidos (de outros órgãos)</v>
      </c>
      <c r="E146" s="584">
        <f>'Mapa da Corregedoria'!$I29</f>
        <v>1</v>
      </c>
      <c r="F146" s="584" t="str">
        <f>D146</f>
        <v>Removidos (de outros órgãos)</v>
      </c>
      <c r="G146" s="584" t="s">
        <v>1236</v>
      </c>
    </row>
    <row r="147" spans="1:7" ht="14.25" customHeight="1" x14ac:dyDescent="0.25">
      <c r="A147" s="584" t="str">
        <f>'Mapa da Corregedoria'!I$6</f>
        <v>8ª Vara</v>
      </c>
      <c r="B147" s="584" t="s">
        <v>120</v>
      </c>
      <c r="C147" s="584" t="s">
        <v>122</v>
      </c>
      <c r="D147" s="584" t="str">
        <f>'Mapa da Corregedoria'!$A$30</f>
        <v>Sem Vínculo</v>
      </c>
      <c r="E147" s="584">
        <f>'Mapa da Corregedoria'!$I30</f>
        <v>0</v>
      </c>
      <c r="F147" s="584" t="str">
        <f>D147</f>
        <v>Sem Vínculo</v>
      </c>
      <c r="G147" s="584" t="s">
        <v>1236</v>
      </c>
    </row>
    <row r="148" spans="1:7" ht="14.25" customHeight="1" x14ac:dyDescent="0.25">
      <c r="A148" s="584" t="str">
        <f>'Mapa da Corregedoria'!J$6</f>
        <v>9ª Vara</v>
      </c>
      <c r="B148" s="584" t="s">
        <v>120</v>
      </c>
      <c r="C148" s="584" t="s">
        <v>126</v>
      </c>
      <c r="D148" s="584" t="str">
        <f>'Mapa da Corregedoria'!$A$8</f>
        <v>Analista Judiciário(Á. Judiciária)</v>
      </c>
      <c r="E148" s="584">
        <f>'Mapa da Corregedoria'!$J8</f>
        <v>3</v>
      </c>
      <c r="F148" s="584" t="s">
        <v>159</v>
      </c>
      <c r="G148" s="584" t="s">
        <v>1236</v>
      </c>
    </row>
    <row r="149" spans="1:7" ht="14.25" customHeight="1" x14ac:dyDescent="0.25">
      <c r="A149" s="584" t="str">
        <f>'Mapa da Corregedoria'!J$6</f>
        <v>9ª Vara</v>
      </c>
      <c r="B149" s="584" t="s">
        <v>120</v>
      </c>
      <c r="C149" s="584" t="s">
        <v>126</v>
      </c>
      <c r="D149" s="584" t="str">
        <f>'Mapa da Corregedoria'!$A$9</f>
        <v>Analista Judiciário(Á. Administrativa)</v>
      </c>
      <c r="E149" s="584">
        <f>'Mapa da Corregedoria'!$J9</f>
        <v>1</v>
      </c>
      <c r="F149" s="584" t="s">
        <v>159</v>
      </c>
      <c r="G149" s="584" t="s">
        <v>1236</v>
      </c>
    </row>
    <row r="150" spans="1:7" ht="14.25" customHeight="1" x14ac:dyDescent="0.25">
      <c r="A150" s="584" t="str">
        <f>'Mapa da Corregedoria'!J$6</f>
        <v>9ª Vara</v>
      </c>
      <c r="B150" s="584" t="s">
        <v>120</v>
      </c>
      <c r="C150" s="584" t="s">
        <v>126</v>
      </c>
      <c r="D150" s="584" t="str">
        <f>'Mapa da Corregedoria'!$A$10</f>
        <v>Analista Judiciário (Esp.Oficial de Justiça Avaliador Federal)</v>
      </c>
      <c r="E150" s="584">
        <f>'Mapa da Corregedoria'!$J10</f>
        <v>0</v>
      </c>
      <c r="F150" s="584" t="s">
        <v>159</v>
      </c>
      <c r="G150" s="584" t="s">
        <v>1236</v>
      </c>
    </row>
    <row r="151" spans="1:7" ht="14.25" customHeight="1" x14ac:dyDescent="0.25">
      <c r="A151" s="584" t="str">
        <f>'Mapa da Corregedoria'!J$6</f>
        <v>9ª Vara</v>
      </c>
      <c r="B151" s="584" t="s">
        <v>120</v>
      </c>
      <c r="C151" s="584" t="s">
        <v>126</v>
      </c>
      <c r="D151" s="584" t="str">
        <f>'Mapa da Corregedoria'!$A$11</f>
        <v>Anal.Jud.(Á. Biblioteconomia)</v>
      </c>
      <c r="E151" s="584">
        <f>'Mapa da Corregedoria'!$J11</f>
        <v>0</v>
      </c>
      <c r="F151" s="584" t="s">
        <v>159</v>
      </c>
      <c r="G151" s="584" t="s">
        <v>1236</v>
      </c>
    </row>
    <row r="152" spans="1:7" ht="14.25" customHeight="1" x14ac:dyDescent="0.25">
      <c r="A152" s="584" t="str">
        <f>'Mapa da Corregedoria'!J$6</f>
        <v>9ª Vara</v>
      </c>
      <c r="B152" s="584" t="s">
        <v>120</v>
      </c>
      <c r="C152" s="584" t="s">
        <v>126</v>
      </c>
      <c r="D152" s="584" t="str">
        <f>'Mapa da Corregedoria'!$A$12</f>
        <v>Analista Judiciário(Á. Apoio Especializado-Informática)</v>
      </c>
      <c r="E152" s="584">
        <f>'Mapa da Corregedoria'!$J12</f>
        <v>0</v>
      </c>
      <c r="F152" s="584" t="s">
        <v>159</v>
      </c>
      <c r="G152" s="584" t="s">
        <v>1236</v>
      </c>
    </row>
    <row r="153" spans="1:7" ht="14.25" customHeight="1" x14ac:dyDescent="0.25">
      <c r="A153" s="584" t="str">
        <f>'Mapa da Corregedoria'!J$6</f>
        <v>9ª Vara</v>
      </c>
      <c r="B153" s="584" t="s">
        <v>120</v>
      </c>
      <c r="C153" s="584" t="s">
        <v>126</v>
      </c>
      <c r="D153" s="584" t="str">
        <f>'Mapa da Corregedoria'!$A$13</f>
        <v>Analista Judiciário(Á. Apoio Especializado-Informática-Desenvolvimento)</v>
      </c>
      <c r="E153" s="584">
        <f>'Mapa da Corregedoria'!$J13</f>
        <v>0</v>
      </c>
      <c r="F153" s="584" t="s">
        <v>159</v>
      </c>
      <c r="G153" s="584" t="s">
        <v>1236</v>
      </c>
    </row>
    <row r="154" spans="1:7" ht="14.25" customHeight="1" x14ac:dyDescent="0.25">
      <c r="A154" s="584" t="str">
        <f>'Mapa da Corregedoria'!J$6</f>
        <v>9ª Vara</v>
      </c>
      <c r="B154" s="584" t="s">
        <v>120</v>
      </c>
      <c r="C154" s="584" t="s">
        <v>126</v>
      </c>
      <c r="D154" s="584" t="str">
        <f>'Mapa da Corregedoria'!$A$14</f>
        <v>Analista Judiciário(Á. Apoio Especializado-Informática-Infraestrutura)</v>
      </c>
      <c r="E154" s="584">
        <f>'Mapa da Corregedoria'!$J14</f>
        <v>0</v>
      </c>
      <c r="F154" s="584" t="s">
        <v>159</v>
      </c>
      <c r="G154" s="584" t="s">
        <v>1236</v>
      </c>
    </row>
    <row r="155" spans="1:7" ht="14.25" customHeight="1" x14ac:dyDescent="0.25">
      <c r="A155" s="584" t="str">
        <f>'Mapa da Corregedoria'!J$6</f>
        <v>9ª Vara</v>
      </c>
      <c r="B155" s="584" t="s">
        <v>120</v>
      </c>
      <c r="C155" s="584" t="s">
        <v>126</v>
      </c>
      <c r="D155" s="584" t="str">
        <f>'Mapa da Corregedoria'!$A$15</f>
        <v>Analista Judiciário(Á. Apoio Especializado-Medicina-Cliníca Médica)</v>
      </c>
      <c r="E155" s="584">
        <f>'Mapa da Corregedoria'!$J15</f>
        <v>0</v>
      </c>
      <c r="F155" s="584" t="s">
        <v>159</v>
      </c>
      <c r="G155" s="584" t="s">
        <v>1236</v>
      </c>
    </row>
    <row r="156" spans="1:7" ht="14.25" customHeight="1" x14ac:dyDescent="0.25">
      <c r="A156" s="584" t="str">
        <f>'Mapa da Corregedoria'!J$6</f>
        <v>9ª Vara</v>
      </c>
      <c r="B156" s="584" t="s">
        <v>120</v>
      </c>
      <c r="C156" s="584" t="s">
        <v>126</v>
      </c>
      <c r="D156" s="584" t="str">
        <f>'Mapa da Corregedoria'!$A$16</f>
        <v>Analista Judiciário(Á. Apoio Especializado-Contadoria)</v>
      </c>
      <c r="E156" s="584">
        <f>'Mapa da Corregedoria'!$J16</f>
        <v>0</v>
      </c>
      <c r="F156" s="584" t="s">
        <v>159</v>
      </c>
      <c r="G156" s="584" t="s">
        <v>1236</v>
      </c>
    </row>
    <row r="157" spans="1:7" ht="14.25" customHeight="1" x14ac:dyDescent="0.25">
      <c r="A157" s="584" t="str">
        <f>'Mapa da Corregedoria'!J$6</f>
        <v>9ª Vara</v>
      </c>
      <c r="B157" s="584" t="s">
        <v>120</v>
      </c>
      <c r="C157" s="584" t="s">
        <v>126</v>
      </c>
      <c r="D157" s="584" t="str">
        <f>'Mapa da Corregedoria'!$A$17</f>
        <v>Analista Judiciário(Á. Apoio Especializado- Engenharia Civil)</v>
      </c>
      <c r="E157" s="584">
        <f>'Mapa da Corregedoria'!$J17</f>
        <v>0</v>
      </c>
      <c r="F157" s="584" t="s">
        <v>159</v>
      </c>
      <c r="G157" s="584" t="s">
        <v>1236</v>
      </c>
    </row>
    <row r="158" spans="1:7" ht="14.25" customHeight="1" x14ac:dyDescent="0.25">
      <c r="A158" s="584" t="str">
        <f>'Mapa da Corregedoria'!J$6</f>
        <v>9ª Vara</v>
      </c>
      <c r="B158" s="584" t="s">
        <v>120</v>
      </c>
      <c r="C158" s="584" t="s">
        <v>126</v>
      </c>
      <c r="D158" s="584" t="str">
        <f>'Mapa da Corregedoria'!$A$20</f>
        <v xml:space="preserve">Técnico Judiciário (Á. Administrativa)-inclusas as Especialidades Serviços de Portaria/Telefonia </v>
      </c>
      <c r="E158" s="584">
        <f>'Mapa da Corregedoria'!$J20</f>
        <v>10</v>
      </c>
      <c r="F158" s="584" t="s">
        <v>159</v>
      </c>
      <c r="G158" s="584" t="s">
        <v>1236</v>
      </c>
    </row>
    <row r="159" spans="1:7" ht="14.25" customHeight="1" x14ac:dyDescent="0.25">
      <c r="A159" s="584" t="str">
        <f>'Mapa da Corregedoria'!J$6</f>
        <v>9ª Vara</v>
      </c>
      <c r="B159" s="584" t="s">
        <v>120</v>
      </c>
      <c r="C159" s="584" t="s">
        <v>126</v>
      </c>
      <c r="D159" s="584" t="str">
        <f>'Mapa da Corregedoria'!$A$21</f>
        <v>Técnico Judiciário(Á. Apoio Especializado- Informática)</v>
      </c>
      <c r="E159" s="584">
        <f>'Mapa da Corregedoria'!$J21</f>
        <v>0</v>
      </c>
      <c r="F159" s="584" t="s">
        <v>159</v>
      </c>
      <c r="G159" s="584" t="s">
        <v>1236</v>
      </c>
    </row>
    <row r="160" spans="1:7" ht="14.25" customHeight="1" x14ac:dyDescent="0.25">
      <c r="A160" s="584" t="str">
        <f>'Mapa da Corregedoria'!J$6</f>
        <v>9ª Vara</v>
      </c>
      <c r="B160" s="584" t="s">
        <v>120</v>
      </c>
      <c r="C160" s="584" t="s">
        <v>126</v>
      </c>
      <c r="D160" s="584" t="str">
        <f>'Mapa da Corregedoria'!$A$24</f>
        <v>Técnico Judiciário (Á. Segurança e Transporte – Agente de Policia Judicial)</v>
      </c>
      <c r="E160" s="584">
        <f>'Mapa da Corregedoria'!$J24</f>
        <v>0</v>
      </c>
      <c r="F160" s="584" t="s">
        <v>159</v>
      </c>
      <c r="G160" s="584" t="s">
        <v>1236</v>
      </c>
    </row>
    <row r="161" spans="1:7" ht="14.25" customHeight="1" x14ac:dyDescent="0.25">
      <c r="A161" s="584" t="str">
        <f>'Mapa da Corregedoria'!J$6</f>
        <v>9ª Vara</v>
      </c>
      <c r="B161" s="584" t="s">
        <v>120</v>
      </c>
      <c r="C161" s="584" t="s">
        <v>126</v>
      </c>
      <c r="D161" s="584" t="str">
        <f>'Mapa da Corregedoria'!$A$25</f>
        <v>Auxiliar Judiciário</v>
      </c>
      <c r="E161" s="584">
        <f>'Mapa da Corregedoria'!$J25</f>
        <v>0</v>
      </c>
      <c r="F161" s="584" t="s">
        <v>159</v>
      </c>
      <c r="G161" s="584" t="s">
        <v>1236</v>
      </c>
    </row>
    <row r="162" spans="1:7" ht="14.25" customHeight="1" x14ac:dyDescent="0.25">
      <c r="A162" s="584" t="str">
        <f>'Mapa da Corregedoria'!J$6</f>
        <v>9ª Vara</v>
      </c>
      <c r="B162" s="584" t="s">
        <v>120</v>
      </c>
      <c r="C162" s="584" t="s">
        <v>126</v>
      </c>
      <c r="D162" s="584" t="str">
        <f>'Mapa da Corregedoria'!$A$27</f>
        <v>Requisitados</v>
      </c>
      <c r="E162" s="584">
        <f>'Mapa da Corregedoria'!$J27</f>
        <v>1</v>
      </c>
      <c r="F162" s="584" t="str">
        <f>D162</f>
        <v>Requisitados</v>
      </c>
      <c r="G162" s="584" t="s">
        <v>1236</v>
      </c>
    </row>
    <row r="163" spans="1:7" ht="14.25" customHeight="1" x14ac:dyDescent="0.25">
      <c r="A163" s="584" t="str">
        <f>'Mapa da Corregedoria'!J$6</f>
        <v>9ª Vara</v>
      </c>
      <c r="B163" s="584" t="s">
        <v>120</v>
      </c>
      <c r="C163" s="584" t="s">
        <v>126</v>
      </c>
      <c r="D163" s="584" t="str">
        <f>'Mapa da Corregedoria'!$A$28</f>
        <v>Exercício Provisório (de outros órgãos)</v>
      </c>
      <c r="E163" s="584">
        <f>'Mapa da Corregedoria'!$J28</f>
        <v>1</v>
      </c>
      <c r="F163" s="584" t="str">
        <f>D163</f>
        <v>Exercício Provisório (de outros órgãos)</v>
      </c>
      <c r="G163" s="584" t="s">
        <v>1236</v>
      </c>
    </row>
    <row r="164" spans="1:7" ht="14.25" customHeight="1" x14ac:dyDescent="0.25">
      <c r="A164" s="584" t="str">
        <f>'Mapa da Corregedoria'!J$6</f>
        <v>9ª Vara</v>
      </c>
      <c r="B164" s="584" t="s">
        <v>120</v>
      </c>
      <c r="C164" s="584" t="s">
        <v>126</v>
      </c>
      <c r="D164" s="584" t="str">
        <f>'Mapa da Corregedoria'!$A$29</f>
        <v>Removidos (de outros órgãos)</v>
      </c>
      <c r="E164" s="584">
        <f>'Mapa da Corregedoria'!$J29</f>
        <v>0</v>
      </c>
      <c r="F164" s="584" t="str">
        <f>D164</f>
        <v>Removidos (de outros órgãos)</v>
      </c>
      <c r="G164" s="584" t="s">
        <v>1236</v>
      </c>
    </row>
    <row r="165" spans="1:7" ht="14.25" customHeight="1" x14ac:dyDescent="0.25">
      <c r="A165" s="584" t="str">
        <f>'Mapa da Corregedoria'!J$6</f>
        <v>9ª Vara</v>
      </c>
      <c r="B165" s="584" t="s">
        <v>120</v>
      </c>
      <c r="C165" s="584" t="s">
        <v>126</v>
      </c>
      <c r="D165" s="584" t="str">
        <f>'Mapa da Corregedoria'!$A$30</f>
        <v>Sem Vínculo</v>
      </c>
      <c r="E165" s="584">
        <f>'Mapa da Corregedoria'!$J30</f>
        <v>0</v>
      </c>
      <c r="F165" s="584" t="str">
        <f>D165</f>
        <v>Sem Vínculo</v>
      </c>
      <c r="G165" s="584" t="s">
        <v>1236</v>
      </c>
    </row>
    <row r="166" spans="1:7" ht="14.25" customHeight="1" x14ac:dyDescent="0.25">
      <c r="A166" s="584" t="str">
        <f>'Mapa da Corregedoria'!K$6</f>
        <v>10ª Vara</v>
      </c>
      <c r="B166" s="584" t="s">
        <v>120</v>
      </c>
      <c r="C166" s="584" t="s">
        <v>122</v>
      </c>
      <c r="D166" s="584" t="str">
        <f>'Mapa da Corregedoria'!$A$8</f>
        <v>Analista Judiciário(Á. Judiciária)</v>
      </c>
      <c r="E166" s="584">
        <f>'Mapa da Corregedoria'!$K8</f>
        <v>3</v>
      </c>
      <c r="F166" s="584" t="s">
        <v>159</v>
      </c>
      <c r="G166" s="584" t="s">
        <v>1236</v>
      </c>
    </row>
    <row r="167" spans="1:7" ht="14.25" customHeight="1" x14ac:dyDescent="0.25">
      <c r="A167" s="584" t="str">
        <f>'Mapa da Corregedoria'!K$6</f>
        <v>10ª Vara</v>
      </c>
      <c r="B167" s="584" t="s">
        <v>120</v>
      </c>
      <c r="C167" s="584" t="s">
        <v>122</v>
      </c>
      <c r="D167" s="584" t="str">
        <f>'Mapa da Corregedoria'!$A$9</f>
        <v>Analista Judiciário(Á. Administrativa)</v>
      </c>
      <c r="E167" s="584">
        <f>'Mapa da Corregedoria'!$K9</f>
        <v>2</v>
      </c>
      <c r="F167" s="584" t="s">
        <v>159</v>
      </c>
      <c r="G167" s="584" t="s">
        <v>1236</v>
      </c>
    </row>
    <row r="168" spans="1:7" ht="14.25" customHeight="1" x14ac:dyDescent="0.25">
      <c r="A168" s="584" t="str">
        <f>'Mapa da Corregedoria'!K$6</f>
        <v>10ª Vara</v>
      </c>
      <c r="B168" s="584" t="s">
        <v>120</v>
      </c>
      <c r="C168" s="584" t="s">
        <v>122</v>
      </c>
      <c r="D168" s="584" t="str">
        <f>'Mapa da Corregedoria'!$A$10</f>
        <v>Analista Judiciário (Esp.Oficial de Justiça Avaliador Federal)</v>
      </c>
      <c r="E168" s="584">
        <f>'Mapa da Corregedoria'!$K10</f>
        <v>0</v>
      </c>
      <c r="F168" s="584" t="s">
        <v>159</v>
      </c>
      <c r="G168" s="584" t="s">
        <v>1236</v>
      </c>
    </row>
    <row r="169" spans="1:7" ht="14.25" customHeight="1" x14ac:dyDescent="0.25">
      <c r="A169" s="584" t="str">
        <f>'Mapa da Corregedoria'!K$6</f>
        <v>10ª Vara</v>
      </c>
      <c r="B169" s="584" t="s">
        <v>120</v>
      </c>
      <c r="C169" s="584" t="s">
        <v>122</v>
      </c>
      <c r="D169" s="584" t="str">
        <f>'Mapa da Corregedoria'!$A$11</f>
        <v>Anal.Jud.(Á. Biblioteconomia)</v>
      </c>
      <c r="E169" s="584">
        <f>'Mapa da Corregedoria'!$K11</f>
        <v>0</v>
      </c>
      <c r="F169" s="584" t="s">
        <v>159</v>
      </c>
      <c r="G169" s="584" t="s">
        <v>1236</v>
      </c>
    </row>
    <row r="170" spans="1:7" ht="14.25" customHeight="1" x14ac:dyDescent="0.25">
      <c r="A170" s="584" t="str">
        <f>'Mapa da Corregedoria'!K$6</f>
        <v>10ª Vara</v>
      </c>
      <c r="B170" s="584" t="s">
        <v>120</v>
      </c>
      <c r="C170" s="584" t="s">
        <v>122</v>
      </c>
      <c r="D170" s="584" t="str">
        <f>'Mapa da Corregedoria'!$A$12</f>
        <v>Analista Judiciário(Á. Apoio Especializado-Informática)</v>
      </c>
      <c r="E170" s="584">
        <f>'Mapa da Corregedoria'!$K12</f>
        <v>0</v>
      </c>
      <c r="F170" s="584" t="s">
        <v>159</v>
      </c>
      <c r="G170" s="584" t="s">
        <v>1236</v>
      </c>
    </row>
    <row r="171" spans="1:7" ht="14.25" customHeight="1" x14ac:dyDescent="0.25">
      <c r="A171" s="584" t="str">
        <f>'Mapa da Corregedoria'!K$6</f>
        <v>10ª Vara</v>
      </c>
      <c r="B171" s="584" t="s">
        <v>120</v>
      </c>
      <c r="C171" s="584" t="s">
        <v>122</v>
      </c>
      <c r="D171" s="584" t="str">
        <f>'Mapa da Corregedoria'!$A$13</f>
        <v>Analista Judiciário(Á. Apoio Especializado-Informática-Desenvolvimento)</v>
      </c>
      <c r="E171" s="584">
        <f>'Mapa da Corregedoria'!$K13</f>
        <v>0</v>
      </c>
      <c r="F171" s="584" t="s">
        <v>159</v>
      </c>
      <c r="G171" s="584" t="s">
        <v>1236</v>
      </c>
    </row>
    <row r="172" spans="1:7" ht="14.25" customHeight="1" x14ac:dyDescent="0.25">
      <c r="A172" s="584" t="str">
        <f>'Mapa da Corregedoria'!K$6</f>
        <v>10ª Vara</v>
      </c>
      <c r="B172" s="584" t="s">
        <v>120</v>
      </c>
      <c r="C172" s="584" t="s">
        <v>122</v>
      </c>
      <c r="D172" s="584" t="str">
        <f>'Mapa da Corregedoria'!$A$14</f>
        <v>Analista Judiciário(Á. Apoio Especializado-Informática-Infraestrutura)</v>
      </c>
      <c r="E172" s="584">
        <f>'Mapa da Corregedoria'!$K14</f>
        <v>0</v>
      </c>
      <c r="F172" s="584" t="s">
        <v>159</v>
      </c>
      <c r="G172" s="584" t="s">
        <v>1236</v>
      </c>
    </row>
    <row r="173" spans="1:7" ht="14.25" customHeight="1" x14ac:dyDescent="0.25">
      <c r="A173" s="584" t="str">
        <f>'Mapa da Corregedoria'!K$6</f>
        <v>10ª Vara</v>
      </c>
      <c r="B173" s="584" t="s">
        <v>120</v>
      </c>
      <c r="C173" s="584" t="s">
        <v>122</v>
      </c>
      <c r="D173" s="584" t="str">
        <f>'Mapa da Corregedoria'!$A$15</f>
        <v>Analista Judiciário(Á. Apoio Especializado-Medicina-Cliníca Médica)</v>
      </c>
      <c r="E173" s="584">
        <f>'Mapa da Corregedoria'!$K15</f>
        <v>0</v>
      </c>
      <c r="F173" s="584" t="s">
        <v>159</v>
      </c>
      <c r="G173" s="584" t="s">
        <v>1236</v>
      </c>
    </row>
    <row r="174" spans="1:7" ht="14.25" customHeight="1" x14ac:dyDescent="0.25">
      <c r="A174" s="584" t="str">
        <f>'Mapa da Corregedoria'!K$6</f>
        <v>10ª Vara</v>
      </c>
      <c r="B174" s="584" t="s">
        <v>120</v>
      </c>
      <c r="C174" s="584" t="s">
        <v>122</v>
      </c>
      <c r="D174" s="584" t="str">
        <f>'Mapa da Corregedoria'!$A$16</f>
        <v>Analista Judiciário(Á. Apoio Especializado-Contadoria)</v>
      </c>
      <c r="E174" s="584">
        <f>'Mapa da Corregedoria'!$K16</f>
        <v>0</v>
      </c>
      <c r="F174" s="584" t="s">
        <v>159</v>
      </c>
      <c r="G174" s="584" t="s">
        <v>1236</v>
      </c>
    </row>
    <row r="175" spans="1:7" ht="14.25" customHeight="1" x14ac:dyDescent="0.25">
      <c r="A175" s="584" t="str">
        <f>'Mapa da Corregedoria'!K$6</f>
        <v>10ª Vara</v>
      </c>
      <c r="B175" s="584" t="s">
        <v>120</v>
      </c>
      <c r="C175" s="584" t="s">
        <v>122</v>
      </c>
      <c r="D175" s="584" t="str">
        <f>'Mapa da Corregedoria'!$A$17</f>
        <v>Analista Judiciário(Á. Apoio Especializado- Engenharia Civil)</v>
      </c>
      <c r="E175" s="584">
        <f>'Mapa da Corregedoria'!$K17</f>
        <v>0</v>
      </c>
      <c r="F175" s="584" t="s">
        <v>159</v>
      </c>
      <c r="G175" s="584" t="s">
        <v>1236</v>
      </c>
    </row>
    <row r="176" spans="1:7" ht="14.25" customHeight="1" x14ac:dyDescent="0.25">
      <c r="A176" s="584" t="str">
        <f>'Mapa da Corregedoria'!K$6</f>
        <v>10ª Vara</v>
      </c>
      <c r="B176" s="584" t="s">
        <v>120</v>
      </c>
      <c r="C176" s="584" t="s">
        <v>122</v>
      </c>
      <c r="D176" s="584" t="str">
        <f>'Mapa da Corregedoria'!$A$20</f>
        <v xml:space="preserve">Técnico Judiciário (Á. Administrativa)-inclusas as Especialidades Serviços de Portaria/Telefonia </v>
      </c>
      <c r="E176" s="584">
        <f>'Mapa da Corregedoria'!$K20</f>
        <v>7</v>
      </c>
      <c r="F176" s="584" t="s">
        <v>159</v>
      </c>
      <c r="G176" s="584" t="s">
        <v>1236</v>
      </c>
    </row>
    <row r="177" spans="1:7" ht="14.25" customHeight="1" x14ac:dyDescent="0.25">
      <c r="A177" s="584" t="str">
        <f>'Mapa da Corregedoria'!K$6</f>
        <v>10ª Vara</v>
      </c>
      <c r="B177" s="584" t="s">
        <v>120</v>
      </c>
      <c r="C177" s="584" t="s">
        <v>122</v>
      </c>
      <c r="D177" s="584" t="str">
        <f>'Mapa da Corregedoria'!$A$21</f>
        <v>Técnico Judiciário(Á. Apoio Especializado- Informática)</v>
      </c>
      <c r="E177" s="584">
        <f>'Mapa da Corregedoria'!$K21</f>
        <v>0</v>
      </c>
      <c r="F177" s="584" t="s">
        <v>159</v>
      </c>
      <c r="G177" s="584" t="s">
        <v>1236</v>
      </c>
    </row>
    <row r="178" spans="1:7" ht="14.25" customHeight="1" x14ac:dyDescent="0.25">
      <c r="A178" s="584" t="str">
        <f>'Mapa da Corregedoria'!K$6</f>
        <v>10ª Vara</v>
      </c>
      <c r="B178" s="584" t="s">
        <v>120</v>
      </c>
      <c r="C178" s="584" t="s">
        <v>122</v>
      </c>
      <c r="D178" s="584" t="str">
        <f>'Mapa da Corregedoria'!$A$24</f>
        <v>Técnico Judiciário (Á. Segurança e Transporte – Agente de Policia Judicial)</v>
      </c>
      <c r="E178" s="584">
        <f>'Mapa da Corregedoria'!$K24</f>
        <v>0</v>
      </c>
      <c r="F178" s="584" t="s">
        <v>159</v>
      </c>
      <c r="G178" s="584" t="s">
        <v>1236</v>
      </c>
    </row>
    <row r="179" spans="1:7" ht="14.25" customHeight="1" x14ac:dyDescent="0.25">
      <c r="A179" s="584" t="str">
        <f>'Mapa da Corregedoria'!K$6</f>
        <v>10ª Vara</v>
      </c>
      <c r="B179" s="584" t="s">
        <v>120</v>
      </c>
      <c r="C179" s="584" t="s">
        <v>122</v>
      </c>
      <c r="D179" s="584" t="str">
        <f>'Mapa da Corregedoria'!$A$25</f>
        <v>Auxiliar Judiciário</v>
      </c>
      <c r="E179" s="584">
        <f>'Mapa da Corregedoria'!$K25</f>
        <v>0</v>
      </c>
      <c r="F179" s="584" t="s">
        <v>159</v>
      </c>
      <c r="G179" s="584" t="s">
        <v>1236</v>
      </c>
    </row>
    <row r="180" spans="1:7" ht="14.25" customHeight="1" x14ac:dyDescent="0.25">
      <c r="A180" s="584" t="str">
        <f>'Mapa da Corregedoria'!K$6</f>
        <v>10ª Vara</v>
      </c>
      <c r="B180" s="584" t="s">
        <v>120</v>
      </c>
      <c r="C180" s="584" t="s">
        <v>122</v>
      </c>
      <c r="D180" s="584" t="str">
        <f>'Mapa da Corregedoria'!$A$27</f>
        <v>Requisitados</v>
      </c>
      <c r="E180" s="584">
        <f>'Mapa da Corregedoria'!$K27</f>
        <v>0</v>
      </c>
      <c r="F180" s="584" t="str">
        <f>D180</f>
        <v>Requisitados</v>
      </c>
      <c r="G180" s="584" t="s">
        <v>1236</v>
      </c>
    </row>
    <row r="181" spans="1:7" ht="14.25" customHeight="1" x14ac:dyDescent="0.25">
      <c r="A181" s="584" t="str">
        <f>'Mapa da Corregedoria'!K$6</f>
        <v>10ª Vara</v>
      </c>
      <c r="B181" s="584" t="s">
        <v>120</v>
      </c>
      <c r="C181" s="584" t="s">
        <v>122</v>
      </c>
      <c r="D181" s="584" t="str">
        <f>'Mapa da Corregedoria'!$A$28</f>
        <v>Exercício Provisório (de outros órgãos)</v>
      </c>
      <c r="E181" s="584">
        <f>'Mapa da Corregedoria'!$K28</f>
        <v>0</v>
      </c>
      <c r="F181" s="584" t="str">
        <f>D181</f>
        <v>Exercício Provisório (de outros órgãos)</v>
      </c>
      <c r="G181" s="584" t="s">
        <v>1236</v>
      </c>
    </row>
    <row r="182" spans="1:7" ht="14.25" customHeight="1" x14ac:dyDescent="0.25">
      <c r="A182" s="584" t="str">
        <f>'Mapa da Corregedoria'!K$6</f>
        <v>10ª Vara</v>
      </c>
      <c r="B182" s="584" t="s">
        <v>120</v>
      </c>
      <c r="C182" s="584" t="s">
        <v>122</v>
      </c>
      <c r="D182" s="584" t="str">
        <f>'Mapa da Corregedoria'!$A$29</f>
        <v>Removidos (de outros órgãos)</v>
      </c>
      <c r="E182" s="584">
        <f>'Mapa da Corregedoria'!$K29</f>
        <v>1</v>
      </c>
      <c r="F182" s="584" t="str">
        <f>D182</f>
        <v>Removidos (de outros órgãos)</v>
      </c>
      <c r="G182" s="584" t="s">
        <v>1236</v>
      </c>
    </row>
    <row r="183" spans="1:7" ht="14.25" customHeight="1" x14ac:dyDescent="0.25">
      <c r="A183" s="584" t="str">
        <f>'Mapa da Corregedoria'!K$6</f>
        <v>10ª Vara</v>
      </c>
      <c r="B183" s="584" t="s">
        <v>120</v>
      </c>
      <c r="C183" s="584" t="s">
        <v>122</v>
      </c>
      <c r="D183" s="584" t="str">
        <f>'Mapa da Corregedoria'!$A$30</f>
        <v>Sem Vínculo</v>
      </c>
      <c r="E183" s="584">
        <f>'Mapa da Corregedoria'!$K30</f>
        <v>1</v>
      </c>
      <c r="F183" s="584" t="str">
        <f>D183</f>
        <v>Sem Vínculo</v>
      </c>
      <c r="G183" s="584" t="s">
        <v>1236</v>
      </c>
    </row>
    <row r="184" spans="1:7" ht="14.25" customHeight="1" x14ac:dyDescent="0.25">
      <c r="A184" s="584" t="str">
        <f>'Mapa da Corregedoria'!L$6</f>
        <v>11ª Vara</v>
      </c>
      <c r="B184" s="584" t="s">
        <v>120</v>
      </c>
      <c r="C184" s="584" t="s">
        <v>125</v>
      </c>
      <c r="D184" s="584" t="str">
        <f>'Mapa da Corregedoria'!$A$8</f>
        <v>Analista Judiciário(Á. Judiciária)</v>
      </c>
      <c r="E184" s="584">
        <f>'Mapa da Corregedoria'!$L8</f>
        <v>4</v>
      </c>
      <c r="F184" s="584" t="s">
        <v>159</v>
      </c>
      <c r="G184" s="584" t="s">
        <v>1236</v>
      </c>
    </row>
    <row r="185" spans="1:7" ht="14.25" customHeight="1" x14ac:dyDescent="0.25">
      <c r="A185" s="584" t="str">
        <f>'Mapa da Corregedoria'!L$6</f>
        <v>11ª Vara</v>
      </c>
      <c r="B185" s="584" t="s">
        <v>120</v>
      </c>
      <c r="C185" s="584" t="s">
        <v>125</v>
      </c>
      <c r="D185" s="584" t="str">
        <f>'Mapa da Corregedoria'!$A$9</f>
        <v>Analista Judiciário(Á. Administrativa)</v>
      </c>
      <c r="E185" s="584">
        <f>'Mapa da Corregedoria'!$L9</f>
        <v>0</v>
      </c>
      <c r="F185" s="584" t="s">
        <v>159</v>
      </c>
      <c r="G185" s="584" t="s">
        <v>1236</v>
      </c>
    </row>
    <row r="186" spans="1:7" ht="14.25" customHeight="1" x14ac:dyDescent="0.25">
      <c r="A186" s="584" t="str">
        <f>'Mapa da Corregedoria'!L$6</f>
        <v>11ª Vara</v>
      </c>
      <c r="B186" s="584" t="s">
        <v>120</v>
      </c>
      <c r="C186" s="584" t="s">
        <v>125</v>
      </c>
      <c r="D186" s="584" t="str">
        <f>'Mapa da Corregedoria'!$A$10</f>
        <v>Analista Judiciário (Esp.Oficial de Justiça Avaliador Federal)</v>
      </c>
      <c r="E186" s="584">
        <f>'Mapa da Corregedoria'!$L10</f>
        <v>0</v>
      </c>
      <c r="F186" s="584" t="s">
        <v>159</v>
      </c>
      <c r="G186" s="584" t="s">
        <v>1236</v>
      </c>
    </row>
    <row r="187" spans="1:7" ht="14.25" customHeight="1" x14ac:dyDescent="0.25">
      <c r="A187" s="584" t="str">
        <f>'Mapa da Corregedoria'!L$6</f>
        <v>11ª Vara</v>
      </c>
      <c r="B187" s="584" t="s">
        <v>120</v>
      </c>
      <c r="C187" s="584" t="s">
        <v>125</v>
      </c>
      <c r="D187" s="584" t="str">
        <f>'Mapa da Corregedoria'!$A$11</f>
        <v>Anal.Jud.(Á. Biblioteconomia)</v>
      </c>
      <c r="E187" s="584">
        <f>'Mapa da Corregedoria'!$L11</f>
        <v>0</v>
      </c>
      <c r="F187" s="584" t="s">
        <v>159</v>
      </c>
      <c r="G187" s="584" t="s">
        <v>1236</v>
      </c>
    </row>
    <row r="188" spans="1:7" ht="14.25" customHeight="1" x14ac:dyDescent="0.25">
      <c r="A188" s="584" t="str">
        <f>'Mapa da Corregedoria'!L$6</f>
        <v>11ª Vara</v>
      </c>
      <c r="B188" s="584" t="s">
        <v>120</v>
      </c>
      <c r="C188" s="584" t="s">
        <v>125</v>
      </c>
      <c r="D188" s="584" t="str">
        <f>'Mapa da Corregedoria'!$A$12</f>
        <v>Analista Judiciário(Á. Apoio Especializado-Informática)</v>
      </c>
      <c r="E188" s="584">
        <f>'Mapa da Corregedoria'!$L12</f>
        <v>0</v>
      </c>
      <c r="F188" s="584" t="s">
        <v>159</v>
      </c>
      <c r="G188" s="584" t="s">
        <v>1236</v>
      </c>
    </row>
    <row r="189" spans="1:7" ht="14.25" customHeight="1" x14ac:dyDescent="0.25">
      <c r="A189" s="584" t="str">
        <f>'Mapa da Corregedoria'!L$6</f>
        <v>11ª Vara</v>
      </c>
      <c r="B189" s="584" t="s">
        <v>120</v>
      </c>
      <c r="C189" s="584" t="s">
        <v>125</v>
      </c>
      <c r="D189" s="584" t="str">
        <f>'Mapa da Corregedoria'!$A$13</f>
        <v>Analista Judiciário(Á. Apoio Especializado-Informática-Desenvolvimento)</v>
      </c>
      <c r="E189" s="584">
        <f>'Mapa da Corregedoria'!$L13</f>
        <v>0</v>
      </c>
      <c r="F189" s="584" t="s">
        <v>159</v>
      </c>
      <c r="G189" s="584" t="s">
        <v>1236</v>
      </c>
    </row>
    <row r="190" spans="1:7" ht="14.25" customHeight="1" x14ac:dyDescent="0.25">
      <c r="A190" s="584" t="str">
        <f>'Mapa da Corregedoria'!L$6</f>
        <v>11ª Vara</v>
      </c>
      <c r="B190" s="584" t="s">
        <v>120</v>
      </c>
      <c r="C190" s="584" t="s">
        <v>125</v>
      </c>
      <c r="D190" s="584" t="str">
        <f>'Mapa da Corregedoria'!$A$14</f>
        <v>Analista Judiciário(Á. Apoio Especializado-Informática-Infraestrutura)</v>
      </c>
      <c r="E190" s="584">
        <f>'Mapa da Corregedoria'!$L14</f>
        <v>0</v>
      </c>
      <c r="F190" s="584" t="s">
        <v>159</v>
      </c>
      <c r="G190" s="584" t="s">
        <v>1236</v>
      </c>
    </row>
    <row r="191" spans="1:7" ht="14.25" customHeight="1" x14ac:dyDescent="0.25">
      <c r="A191" s="584" t="str">
        <f>'Mapa da Corregedoria'!L$6</f>
        <v>11ª Vara</v>
      </c>
      <c r="B191" s="584" t="s">
        <v>120</v>
      </c>
      <c r="C191" s="584" t="s">
        <v>125</v>
      </c>
      <c r="D191" s="584" t="str">
        <f>'Mapa da Corregedoria'!$A$15</f>
        <v>Analista Judiciário(Á. Apoio Especializado-Medicina-Cliníca Médica)</v>
      </c>
      <c r="E191" s="584">
        <f>'Mapa da Corregedoria'!$L15</f>
        <v>0</v>
      </c>
      <c r="F191" s="584" t="s">
        <v>159</v>
      </c>
      <c r="G191" s="584" t="s">
        <v>1236</v>
      </c>
    </row>
    <row r="192" spans="1:7" ht="14.25" customHeight="1" x14ac:dyDescent="0.25">
      <c r="A192" s="584" t="str">
        <f>'Mapa da Corregedoria'!L$6</f>
        <v>11ª Vara</v>
      </c>
      <c r="B192" s="584" t="s">
        <v>120</v>
      </c>
      <c r="C192" s="584" t="s">
        <v>125</v>
      </c>
      <c r="D192" s="584" t="str">
        <f>'Mapa da Corregedoria'!$A$16</f>
        <v>Analista Judiciário(Á. Apoio Especializado-Contadoria)</v>
      </c>
      <c r="E192" s="584">
        <f>'Mapa da Corregedoria'!$L16</f>
        <v>0</v>
      </c>
      <c r="F192" s="584" t="s">
        <v>159</v>
      </c>
      <c r="G192" s="584" t="s">
        <v>1236</v>
      </c>
    </row>
    <row r="193" spans="1:7" ht="14.25" customHeight="1" x14ac:dyDescent="0.25">
      <c r="A193" s="584" t="str">
        <f>'Mapa da Corregedoria'!L$6</f>
        <v>11ª Vara</v>
      </c>
      <c r="B193" s="584" t="s">
        <v>120</v>
      </c>
      <c r="C193" s="584" t="s">
        <v>125</v>
      </c>
      <c r="D193" s="584" t="str">
        <f>'Mapa da Corregedoria'!$A$17</f>
        <v>Analista Judiciário(Á. Apoio Especializado- Engenharia Civil)</v>
      </c>
      <c r="E193" s="584">
        <f>'Mapa da Corregedoria'!$L17</f>
        <v>0</v>
      </c>
      <c r="F193" s="584" t="s">
        <v>159</v>
      </c>
      <c r="G193" s="584" t="s">
        <v>1236</v>
      </c>
    </row>
    <row r="194" spans="1:7" ht="14.25" customHeight="1" x14ac:dyDescent="0.25">
      <c r="A194" s="584" t="str">
        <f>'Mapa da Corregedoria'!L$6</f>
        <v>11ª Vara</v>
      </c>
      <c r="B194" s="584" t="s">
        <v>120</v>
      </c>
      <c r="C194" s="584" t="s">
        <v>125</v>
      </c>
      <c r="D194" s="584" t="str">
        <f>'Mapa da Corregedoria'!$A$20</f>
        <v xml:space="preserve">Técnico Judiciário (Á. Administrativa)-inclusas as Especialidades Serviços de Portaria/Telefonia </v>
      </c>
      <c r="E194" s="584">
        <f>'Mapa da Corregedoria'!$L20</f>
        <v>9</v>
      </c>
      <c r="F194" s="584" t="s">
        <v>159</v>
      </c>
      <c r="G194" s="584" t="s">
        <v>1236</v>
      </c>
    </row>
    <row r="195" spans="1:7" ht="14.25" customHeight="1" x14ac:dyDescent="0.25">
      <c r="A195" s="584" t="str">
        <f>'Mapa da Corregedoria'!L$6</f>
        <v>11ª Vara</v>
      </c>
      <c r="B195" s="584" t="s">
        <v>120</v>
      </c>
      <c r="C195" s="584" t="s">
        <v>125</v>
      </c>
      <c r="D195" s="584" t="str">
        <f>'Mapa da Corregedoria'!$A$21</f>
        <v>Técnico Judiciário(Á. Apoio Especializado- Informática)</v>
      </c>
      <c r="E195" s="584">
        <f>'Mapa da Corregedoria'!$L21</f>
        <v>0</v>
      </c>
      <c r="F195" s="584" t="s">
        <v>159</v>
      </c>
      <c r="G195" s="584" t="s">
        <v>1236</v>
      </c>
    </row>
    <row r="196" spans="1:7" ht="14.25" customHeight="1" x14ac:dyDescent="0.25">
      <c r="A196" s="584" t="str">
        <f>'Mapa da Corregedoria'!L$6</f>
        <v>11ª Vara</v>
      </c>
      <c r="B196" s="584" t="s">
        <v>120</v>
      </c>
      <c r="C196" s="584" t="s">
        <v>125</v>
      </c>
      <c r="D196" s="584" t="str">
        <f>'Mapa da Corregedoria'!$A$24</f>
        <v>Técnico Judiciário (Á. Segurança e Transporte – Agente de Policia Judicial)</v>
      </c>
      <c r="E196" s="584">
        <f>'Mapa da Corregedoria'!$L24</f>
        <v>0</v>
      </c>
      <c r="F196" s="584" t="s">
        <v>159</v>
      </c>
      <c r="G196" s="584" t="s">
        <v>1236</v>
      </c>
    </row>
    <row r="197" spans="1:7" ht="14.25" customHeight="1" x14ac:dyDescent="0.25">
      <c r="A197" s="584" t="str">
        <f>'Mapa da Corregedoria'!L$6</f>
        <v>11ª Vara</v>
      </c>
      <c r="B197" s="584" t="s">
        <v>120</v>
      </c>
      <c r="C197" s="584" t="s">
        <v>125</v>
      </c>
      <c r="D197" s="584" t="str">
        <f>'Mapa da Corregedoria'!$A$25</f>
        <v>Auxiliar Judiciário</v>
      </c>
      <c r="E197" s="584">
        <f>'Mapa da Corregedoria'!$L25</f>
        <v>0</v>
      </c>
      <c r="F197" s="584" t="s">
        <v>159</v>
      </c>
      <c r="G197" s="584" t="s">
        <v>1236</v>
      </c>
    </row>
    <row r="198" spans="1:7" ht="14.25" customHeight="1" x14ac:dyDescent="0.25">
      <c r="A198" s="584" t="str">
        <f>'Mapa da Corregedoria'!L$6</f>
        <v>11ª Vara</v>
      </c>
      <c r="B198" s="584" t="s">
        <v>120</v>
      </c>
      <c r="C198" s="584" t="s">
        <v>125</v>
      </c>
      <c r="D198" s="584" t="str">
        <f>'Mapa da Corregedoria'!$A$27</f>
        <v>Requisitados</v>
      </c>
      <c r="E198" s="584">
        <f>'Mapa da Corregedoria'!$L27</f>
        <v>1</v>
      </c>
      <c r="F198" s="584" t="str">
        <f>D198</f>
        <v>Requisitados</v>
      </c>
      <c r="G198" s="584" t="s">
        <v>1236</v>
      </c>
    </row>
    <row r="199" spans="1:7" ht="14.25" customHeight="1" x14ac:dyDescent="0.25">
      <c r="A199" s="584" t="str">
        <f>'Mapa da Corregedoria'!L$6</f>
        <v>11ª Vara</v>
      </c>
      <c r="B199" s="584" t="s">
        <v>120</v>
      </c>
      <c r="C199" s="584" t="s">
        <v>125</v>
      </c>
      <c r="D199" s="584" t="str">
        <f>'Mapa da Corregedoria'!$A$28</f>
        <v>Exercício Provisório (de outros órgãos)</v>
      </c>
      <c r="E199" s="584">
        <f>'Mapa da Corregedoria'!$L28</f>
        <v>1</v>
      </c>
      <c r="F199" s="584" t="str">
        <f>D199</f>
        <v>Exercício Provisório (de outros órgãos)</v>
      </c>
      <c r="G199" s="584" t="s">
        <v>1236</v>
      </c>
    </row>
    <row r="200" spans="1:7" ht="14.25" customHeight="1" x14ac:dyDescent="0.25">
      <c r="A200" s="584" t="str">
        <f>'Mapa da Corregedoria'!L$6</f>
        <v>11ª Vara</v>
      </c>
      <c r="B200" s="584" t="s">
        <v>120</v>
      </c>
      <c r="C200" s="584" t="s">
        <v>125</v>
      </c>
      <c r="D200" s="584" t="str">
        <f>'Mapa da Corregedoria'!$A$29</f>
        <v>Removidos (de outros órgãos)</v>
      </c>
      <c r="E200" s="584">
        <f>'Mapa da Corregedoria'!$L29</f>
        <v>0</v>
      </c>
      <c r="F200" s="584" t="str">
        <f>D200</f>
        <v>Removidos (de outros órgãos)</v>
      </c>
      <c r="G200" s="584" t="s">
        <v>1236</v>
      </c>
    </row>
    <row r="201" spans="1:7" ht="14.25" customHeight="1" x14ac:dyDescent="0.25">
      <c r="A201" s="584" t="str">
        <f>'Mapa da Corregedoria'!L$6</f>
        <v>11ª Vara</v>
      </c>
      <c r="B201" s="584" t="s">
        <v>120</v>
      </c>
      <c r="C201" s="584" t="s">
        <v>125</v>
      </c>
      <c r="D201" s="584" t="str">
        <f>'Mapa da Corregedoria'!$A$30</f>
        <v>Sem Vínculo</v>
      </c>
      <c r="E201" s="584">
        <f>'Mapa da Corregedoria'!$L30</f>
        <v>0</v>
      </c>
      <c r="F201" s="584" t="str">
        <f>D201</f>
        <v>Sem Vínculo</v>
      </c>
      <c r="G201" s="584" t="s">
        <v>1236</v>
      </c>
    </row>
    <row r="202" spans="1:7" ht="14.25" customHeight="1" x14ac:dyDescent="0.25">
      <c r="A202" s="584" t="str">
        <f>'Mapa da Corregedoria'!M$6</f>
        <v>12ª Vara</v>
      </c>
      <c r="B202" s="584" t="s">
        <v>120</v>
      </c>
      <c r="C202" s="584" t="s">
        <v>125</v>
      </c>
      <c r="D202" s="584" t="str">
        <f>'Mapa da Corregedoria'!$A$8</f>
        <v>Analista Judiciário(Á. Judiciária)</v>
      </c>
      <c r="E202" s="584">
        <f>'Mapa da Corregedoria'!$M8</f>
        <v>4</v>
      </c>
      <c r="F202" s="584" t="s">
        <v>159</v>
      </c>
      <c r="G202" s="584" t="s">
        <v>1236</v>
      </c>
    </row>
    <row r="203" spans="1:7" ht="14.25" customHeight="1" x14ac:dyDescent="0.25">
      <c r="A203" s="584" t="str">
        <f>'Mapa da Corregedoria'!M$6</f>
        <v>12ª Vara</v>
      </c>
      <c r="B203" s="584" t="s">
        <v>120</v>
      </c>
      <c r="C203" s="584" t="s">
        <v>125</v>
      </c>
      <c r="D203" s="584" t="str">
        <f>'Mapa da Corregedoria'!$A$9</f>
        <v>Analista Judiciário(Á. Administrativa)</v>
      </c>
      <c r="E203" s="584">
        <f>'Mapa da Corregedoria'!$M9</f>
        <v>0</v>
      </c>
      <c r="F203" s="584" t="s">
        <v>159</v>
      </c>
      <c r="G203" s="584" t="s">
        <v>1236</v>
      </c>
    </row>
    <row r="204" spans="1:7" ht="14.25" customHeight="1" x14ac:dyDescent="0.25">
      <c r="A204" s="584" t="str">
        <f>'Mapa da Corregedoria'!M$6</f>
        <v>12ª Vara</v>
      </c>
      <c r="B204" s="584" t="s">
        <v>120</v>
      </c>
      <c r="C204" s="584" t="s">
        <v>125</v>
      </c>
      <c r="D204" s="584" t="str">
        <f>'Mapa da Corregedoria'!$A$10</f>
        <v>Analista Judiciário (Esp.Oficial de Justiça Avaliador Federal)</v>
      </c>
      <c r="E204" s="584">
        <f>'Mapa da Corregedoria'!$M10</f>
        <v>0</v>
      </c>
      <c r="F204" s="584" t="s">
        <v>159</v>
      </c>
      <c r="G204" s="584" t="s">
        <v>1236</v>
      </c>
    </row>
    <row r="205" spans="1:7" ht="14.25" customHeight="1" x14ac:dyDescent="0.25">
      <c r="A205" s="584" t="str">
        <f>'Mapa da Corregedoria'!M$6</f>
        <v>12ª Vara</v>
      </c>
      <c r="B205" s="584" t="s">
        <v>120</v>
      </c>
      <c r="C205" s="584" t="s">
        <v>125</v>
      </c>
      <c r="D205" s="584" t="str">
        <f>'Mapa da Corregedoria'!$A$11</f>
        <v>Anal.Jud.(Á. Biblioteconomia)</v>
      </c>
      <c r="E205" s="584">
        <f>'Mapa da Corregedoria'!$M11</f>
        <v>0</v>
      </c>
      <c r="F205" s="584" t="s">
        <v>159</v>
      </c>
      <c r="G205" s="584" t="s">
        <v>1236</v>
      </c>
    </row>
    <row r="206" spans="1:7" ht="14.25" customHeight="1" x14ac:dyDescent="0.25">
      <c r="A206" s="584" t="str">
        <f>'Mapa da Corregedoria'!M$6</f>
        <v>12ª Vara</v>
      </c>
      <c r="B206" s="584" t="s">
        <v>120</v>
      </c>
      <c r="C206" s="584" t="s">
        <v>125</v>
      </c>
      <c r="D206" s="584" t="str">
        <f>'Mapa da Corregedoria'!$A$12</f>
        <v>Analista Judiciário(Á. Apoio Especializado-Informática)</v>
      </c>
      <c r="E206" s="584">
        <f>'Mapa da Corregedoria'!$M12</f>
        <v>0</v>
      </c>
      <c r="F206" s="584" t="s">
        <v>159</v>
      </c>
      <c r="G206" s="584" t="s">
        <v>1236</v>
      </c>
    </row>
    <row r="207" spans="1:7" ht="14.25" customHeight="1" x14ac:dyDescent="0.25">
      <c r="A207" s="584" t="str">
        <f>'Mapa da Corregedoria'!M$6</f>
        <v>12ª Vara</v>
      </c>
      <c r="B207" s="584" t="s">
        <v>120</v>
      </c>
      <c r="C207" s="584" t="s">
        <v>125</v>
      </c>
      <c r="D207" s="584" t="str">
        <f>'Mapa da Corregedoria'!$A$13</f>
        <v>Analista Judiciário(Á. Apoio Especializado-Informática-Desenvolvimento)</v>
      </c>
      <c r="E207" s="584">
        <f>'Mapa da Corregedoria'!$M13</f>
        <v>0</v>
      </c>
      <c r="F207" s="584" t="s">
        <v>159</v>
      </c>
      <c r="G207" s="584" t="s">
        <v>1236</v>
      </c>
    </row>
    <row r="208" spans="1:7" ht="14.25" customHeight="1" x14ac:dyDescent="0.25">
      <c r="A208" s="584" t="str">
        <f>'Mapa da Corregedoria'!M$6</f>
        <v>12ª Vara</v>
      </c>
      <c r="B208" s="584" t="s">
        <v>120</v>
      </c>
      <c r="C208" s="584" t="s">
        <v>125</v>
      </c>
      <c r="D208" s="584" t="str">
        <f>'Mapa da Corregedoria'!$A$14</f>
        <v>Analista Judiciário(Á. Apoio Especializado-Informática-Infraestrutura)</v>
      </c>
      <c r="E208" s="584">
        <f>'Mapa da Corregedoria'!$M14</f>
        <v>0</v>
      </c>
      <c r="F208" s="584" t="s">
        <v>159</v>
      </c>
      <c r="G208" s="584" t="s">
        <v>1236</v>
      </c>
    </row>
    <row r="209" spans="1:7" ht="14.25" customHeight="1" x14ac:dyDescent="0.25">
      <c r="A209" s="584" t="str">
        <f>'Mapa da Corregedoria'!M$6</f>
        <v>12ª Vara</v>
      </c>
      <c r="B209" s="584" t="s">
        <v>120</v>
      </c>
      <c r="C209" s="584" t="s">
        <v>125</v>
      </c>
      <c r="D209" s="584" t="str">
        <f>'Mapa da Corregedoria'!$A$15</f>
        <v>Analista Judiciário(Á. Apoio Especializado-Medicina-Cliníca Médica)</v>
      </c>
      <c r="E209" s="584">
        <f>'Mapa da Corregedoria'!$M15</f>
        <v>0</v>
      </c>
      <c r="F209" s="584" t="s">
        <v>159</v>
      </c>
      <c r="G209" s="584" t="s">
        <v>1236</v>
      </c>
    </row>
    <row r="210" spans="1:7" ht="14.25" customHeight="1" x14ac:dyDescent="0.25">
      <c r="A210" s="584" t="str">
        <f>'Mapa da Corregedoria'!M$6</f>
        <v>12ª Vara</v>
      </c>
      <c r="B210" s="584" t="s">
        <v>120</v>
      </c>
      <c r="C210" s="584" t="s">
        <v>125</v>
      </c>
      <c r="D210" s="584" t="str">
        <f>'Mapa da Corregedoria'!$A$16</f>
        <v>Analista Judiciário(Á. Apoio Especializado-Contadoria)</v>
      </c>
      <c r="E210" s="584">
        <f>'Mapa da Corregedoria'!$M16</f>
        <v>0</v>
      </c>
      <c r="F210" s="584" t="s">
        <v>159</v>
      </c>
      <c r="G210" s="584" t="s">
        <v>1236</v>
      </c>
    </row>
    <row r="211" spans="1:7" ht="14.25" customHeight="1" x14ac:dyDescent="0.25">
      <c r="A211" s="584" t="str">
        <f>'Mapa da Corregedoria'!M$6</f>
        <v>12ª Vara</v>
      </c>
      <c r="B211" s="584" t="s">
        <v>120</v>
      </c>
      <c r="C211" s="584" t="s">
        <v>125</v>
      </c>
      <c r="D211" s="584" t="str">
        <f>'Mapa da Corregedoria'!$A$17</f>
        <v>Analista Judiciário(Á. Apoio Especializado- Engenharia Civil)</v>
      </c>
      <c r="E211" s="584">
        <f>'Mapa da Corregedoria'!$M17</f>
        <v>0</v>
      </c>
      <c r="F211" s="584" t="s">
        <v>159</v>
      </c>
      <c r="G211" s="584" t="s">
        <v>1236</v>
      </c>
    </row>
    <row r="212" spans="1:7" ht="14.25" customHeight="1" x14ac:dyDescent="0.25">
      <c r="A212" s="584" t="str">
        <f>'Mapa da Corregedoria'!M$6</f>
        <v>12ª Vara</v>
      </c>
      <c r="B212" s="584" t="s">
        <v>120</v>
      </c>
      <c r="C212" s="584" t="s">
        <v>125</v>
      </c>
      <c r="D212" s="584" t="str">
        <f>'Mapa da Corregedoria'!$A$20</f>
        <v xml:space="preserve">Técnico Judiciário (Á. Administrativa)-inclusas as Especialidades Serviços de Portaria/Telefonia </v>
      </c>
      <c r="E212" s="584">
        <f>'Mapa da Corregedoria'!$M20</f>
        <v>7</v>
      </c>
      <c r="F212" s="584" t="s">
        <v>159</v>
      </c>
      <c r="G212" s="584" t="s">
        <v>1236</v>
      </c>
    </row>
    <row r="213" spans="1:7" ht="14.25" customHeight="1" x14ac:dyDescent="0.25">
      <c r="A213" s="584" t="str">
        <f>'Mapa da Corregedoria'!M$6</f>
        <v>12ª Vara</v>
      </c>
      <c r="B213" s="584" t="s">
        <v>120</v>
      </c>
      <c r="C213" s="584" t="s">
        <v>125</v>
      </c>
      <c r="D213" s="584" t="str">
        <f>'Mapa da Corregedoria'!$A$21</f>
        <v>Técnico Judiciário(Á. Apoio Especializado- Informática)</v>
      </c>
      <c r="E213" s="584">
        <f>'Mapa da Corregedoria'!$M21</f>
        <v>0</v>
      </c>
      <c r="F213" s="584" t="s">
        <v>159</v>
      </c>
      <c r="G213" s="584" t="s">
        <v>1236</v>
      </c>
    </row>
    <row r="214" spans="1:7" ht="14.25" customHeight="1" x14ac:dyDescent="0.25">
      <c r="A214" s="584" t="str">
        <f>'Mapa da Corregedoria'!M$6</f>
        <v>12ª Vara</v>
      </c>
      <c r="B214" s="584" t="s">
        <v>120</v>
      </c>
      <c r="C214" s="584" t="s">
        <v>125</v>
      </c>
      <c r="D214" s="584" t="str">
        <f>'Mapa da Corregedoria'!$A$24</f>
        <v>Técnico Judiciário (Á. Segurança e Transporte – Agente de Policia Judicial)</v>
      </c>
      <c r="E214" s="584">
        <f>'Mapa da Corregedoria'!$M24</f>
        <v>0</v>
      </c>
      <c r="F214" s="584" t="s">
        <v>159</v>
      </c>
      <c r="G214" s="584" t="s">
        <v>1236</v>
      </c>
    </row>
    <row r="215" spans="1:7" ht="14.25" customHeight="1" x14ac:dyDescent="0.25">
      <c r="A215" s="584" t="str">
        <f>'Mapa da Corregedoria'!M$6</f>
        <v>12ª Vara</v>
      </c>
      <c r="B215" s="584" t="s">
        <v>120</v>
      </c>
      <c r="C215" s="584" t="s">
        <v>125</v>
      </c>
      <c r="D215" s="584" t="str">
        <f>'Mapa da Corregedoria'!$A$25</f>
        <v>Auxiliar Judiciário</v>
      </c>
      <c r="E215" s="584">
        <f>'Mapa da Corregedoria'!$M25</f>
        <v>0</v>
      </c>
      <c r="F215" s="584" t="s">
        <v>159</v>
      </c>
      <c r="G215" s="584" t="s">
        <v>1236</v>
      </c>
    </row>
    <row r="216" spans="1:7" ht="14.25" customHeight="1" x14ac:dyDescent="0.25">
      <c r="A216" s="584" t="str">
        <f>'Mapa da Corregedoria'!M$6</f>
        <v>12ª Vara</v>
      </c>
      <c r="B216" s="584" t="s">
        <v>120</v>
      </c>
      <c r="C216" s="584" t="s">
        <v>125</v>
      </c>
      <c r="D216" s="584" t="str">
        <f>'Mapa da Corregedoria'!$A$27</f>
        <v>Requisitados</v>
      </c>
      <c r="E216" s="584">
        <f>'Mapa da Corregedoria'!$M27</f>
        <v>3</v>
      </c>
      <c r="F216" s="584" t="str">
        <f>D216</f>
        <v>Requisitados</v>
      </c>
      <c r="G216" s="584" t="s">
        <v>1236</v>
      </c>
    </row>
    <row r="217" spans="1:7" ht="14.25" customHeight="1" x14ac:dyDescent="0.25">
      <c r="A217" s="584" t="str">
        <f>'Mapa da Corregedoria'!M$6</f>
        <v>12ª Vara</v>
      </c>
      <c r="B217" s="584" t="s">
        <v>120</v>
      </c>
      <c r="C217" s="584" t="s">
        <v>125</v>
      </c>
      <c r="D217" s="584" t="str">
        <f>'Mapa da Corregedoria'!$A$28</f>
        <v>Exercício Provisório (de outros órgãos)</v>
      </c>
      <c r="E217" s="584">
        <f>'Mapa da Corregedoria'!$M28</f>
        <v>2</v>
      </c>
      <c r="F217" s="584" t="str">
        <f>D217</f>
        <v>Exercício Provisório (de outros órgãos)</v>
      </c>
      <c r="G217" s="584" t="s">
        <v>1236</v>
      </c>
    </row>
    <row r="218" spans="1:7" ht="14.25" customHeight="1" x14ac:dyDescent="0.25">
      <c r="A218" s="584" t="str">
        <f>'Mapa da Corregedoria'!M$6</f>
        <v>12ª Vara</v>
      </c>
      <c r="B218" s="584" t="s">
        <v>120</v>
      </c>
      <c r="C218" s="584" t="s">
        <v>125</v>
      </c>
      <c r="D218" s="584" t="str">
        <f>'Mapa da Corregedoria'!$A$29</f>
        <v>Removidos (de outros órgãos)</v>
      </c>
      <c r="E218" s="584">
        <f>'Mapa da Corregedoria'!$M29</f>
        <v>0</v>
      </c>
      <c r="F218" s="584" t="str">
        <f>D218</f>
        <v>Removidos (de outros órgãos)</v>
      </c>
      <c r="G218" s="584" t="s">
        <v>1236</v>
      </c>
    </row>
    <row r="219" spans="1:7" ht="14.25" customHeight="1" x14ac:dyDescent="0.25">
      <c r="A219" s="584" t="str">
        <f>'Mapa da Corregedoria'!M$6</f>
        <v>12ª Vara</v>
      </c>
      <c r="B219" s="584" t="s">
        <v>120</v>
      </c>
      <c r="C219" s="584" t="s">
        <v>125</v>
      </c>
      <c r="D219" s="584" t="str">
        <f>'Mapa da Corregedoria'!$A$30</f>
        <v>Sem Vínculo</v>
      </c>
      <c r="E219" s="584">
        <f>'Mapa da Corregedoria'!$M30</f>
        <v>0</v>
      </c>
      <c r="F219" s="584" t="str">
        <f>D219</f>
        <v>Sem Vínculo</v>
      </c>
      <c r="G219" s="584" t="s">
        <v>1236</v>
      </c>
    </row>
    <row r="220" spans="1:7" ht="14.25" customHeight="1" x14ac:dyDescent="0.25">
      <c r="A220" s="584" t="str">
        <f>'Mapa da Corregedoria'!N$6</f>
        <v>13ª Vara</v>
      </c>
      <c r="B220" s="584" t="s">
        <v>120</v>
      </c>
      <c r="C220" s="584" t="s">
        <v>127</v>
      </c>
      <c r="D220" s="584" t="str">
        <f>'Mapa da Corregedoria'!$A$8</f>
        <v>Analista Judiciário(Á. Judiciária)</v>
      </c>
      <c r="E220" s="584">
        <f>'Mapa da Corregedoria'!$N8</f>
        <v>0</v>
      </c>
      <c r="F220" s="584" t="s">
        <v>159</v>
      </c>
      <c r="G220" s="584" t="s">
        <v>1236</v>
      </c>
    </row>
    <row r="221" spans="1:7" ht="14.25" customHeight="1" x14ac:dyDescent="0.25">
      <c r="A221" s="584" t="str">
        <f>'Mapa da Corregedoria'!N$6</f>
        <v>13ª Vara</v>
      </c>
      <c r="B221" s="584" t="s">
        <v>120</v>
      </c>
      <c r="C221" s="584" t="s">
        <v>127</v>
      </c>
      <c r="D221" s="584" t="str">
        <f>'Mapa da Corregedoria'!$A$9</f>
        <v>Analista Judiciário(Á. Administrativa)</v>
      </c>
      <c r="E221" s="584">
        <f>'Mapa da Corregedoria'!$N9</f>
        <v>2</v>
      </c>
      <c r="F221" s="584" t="s">
        <v>159</v>
      </c>
      <c r="G221" s="584" t="s">
        <v>1236</v>
      </c>
    </row>
    <row r="222" spans="1:7" ht="14.25" customHeight="1" x14ac:dyDescent="0.25">
      <c r="A222" s="584" t="str">
        <f>'Mapa da Corregedoria'!N$6</f>
        <v>13ª Vara</v>
      </c>
      <c r="B222" s="584" t="s">
        <v>120</v>
      </c>
      <c r="C222" s="584" t="s">
        <v>127</v>
      </c>
      <c r="D222" s="584" t="str">
        <f>'Mapa da Corregedoria'!$A$10</f>
        <v>Analista Judiciário (Esp.Oficial de Justiça Avaliador Federal)</v>
      </c>
      <c r="E222" s="584">
        <f>'Mapa da Corregedoria'!$N10</f>
        <v>0</v>
      </c>
      <c r="F222" s="584" t="s">
        <v>159</v>
      </c>
      <c r="G222" s="584" t="s">
        <v>1236</v>
      </c>
    </row>
    <row r="223" spans="1:7" ht="14.25" customHeight="1" x14ac:dyDescent="0.25">
      <c r="A223" s="584" t="str">
        <f>'Mapa da Corregedoria'!N$6</f>
        <v>13ª Vara</v>
      </c>
      <c r="B223" s="584" t="s">
        <v>120</v>
      </c>
      <c r="C223" s="584" t="s">
        <v>127</v>
      </c>
      <c r="D223" s="584" t="str">
        <f>'Mapa da Corregedoria'!$A$11</f>
        <v>Anal.Jud.(Á. Biblioteconomia)</v>
      </c>
      <c r="E223" s="584">
        <f>'Mapa da Corregedoria'!$N11</f>
        <v>0</v>
      </c>
      <c r="F223" s="584" t="s">
        <v>159</v>
      </c>
      <c r="G223" s="584" t="s">
        <v>1236</v>
      </c>
    </row>
    <row r="224" spans="1:7" ht="14.25" customHeight="1" x14ac:dyDescent="0.25">
      <c r="A224" s="584" t="str">
        <f>'Mapa da Corregedoria'!N$6</f>
        <v>13ª Vara</v>
      </c>
      <c r="B224" s="584" t="s">
        <v>120</v>
      </c>
      <c r="C224" s="584" t="s">
        <v>127</v>
      </c>
      <c r="D224" s="584" t="str">
        <f>'Mapa da Corregedoria'!$A$12</f>
        <v>Analista Judiciário(Á. Apoio Especializado-Informática)</v>
      </c>
      <c r="E224" s="584">
        <f>'Mapa da Corregedoria'!$N12</f>
        <v>0</v>
      </c>
      <c r="F224" s="584" t="s">
        <v>159</v>
      </c>
      <c r="G224" s="584" t="s">
        <v>1236</v>
      </c>
    </row>
    <row r="225" spans="1:7" ht="14.25" customHeight="1" x14ac:dyDescent="0.25">
      <c r="A225" s="584" t="str">
        <f>'Mapa da Corregedoria'!N$6</f>
        <v>13ª Vara</v>
      </c>
      <c r="B225" s="584" t="s">
        <v>120</v>
      </c>
      <c r="C225" s="584" t="s">
        <v>127</v>
      </c>
      <c r="D225" s="584" t="str">
        <f>'Mapa da Corregedoria'!$A$13</f>
        <v>Analista Judiciário(Á. Apoio Especializado-Informática-Desenvolvimento)</v>
      </c>
      <c r="E225" s="584">
        <f>'Mapa da Corregedoria'!$N13</f>
        <v>0</v>
      </c>
      <c r="F225" s="584" t="s">
        <v>159</v>
      </c>
      <c r="G225" s="584" t="s">
        <v>1236</v>
      </c>
    </row>
    <row r="226" spans="1:7" ht="14.25" customHeight="1" x14ac:dyDescent="0.25">
      <c r="A226" s="584" t="str">
        <f>'Mapa da Corregedoria'!N$6</f>
        <v>13ª Vara</v>
      </c>
      <c r="B226" s="584" t="s">
        <v>120</v>
      </c>
      <c r="C226" s="584" t="s">
        <v>127</v>
      </c>
      <c r="D226" s="584" t="str">
        <f>'Mapa da Corregedoria'!$A$14</f>
        <v>Analista Judiciário(Á. Apoio Especializado-Informática-Infraestrutura)</v>
      </c>
      <c r="E226" s="584">
        <f>'Mapa da Corregedoria'!$N14</f>
        <v>0</v>
      </c>
      <c r="F226" s="584" t="s">
        <v>159</v>
      </c>
      <c r="G226" s="584" t="s">
        <v>1236</v>
      </c>
    </row>
    <row r="227" spans="1:7" ht="14.25" customHeight="1" x14ac:dyDescent="0.25">
      <c r="A227" s="584" t="str">
        <f>'Mapa da Corregedoria'!N$6</f>
        <v>13ª Vara</v>
      </c>
      <c r="B227" s="584" t="s">
        <v>120</v>
      </c>
      <c r="C227" s="584" t="s">
        <v>127</v>
      </c>
      <c r="D227" s="584" t="str">
        <f>'Mapa da Corregedoria'!$A$15</f>
        <v>Analista Judiciário(Á. Apoio Especializado-Medicina-Cliníca Médica)</v>
      </c>
      <c r="E227" s="584">
        <f>'Mapa da Corregedoria'!$N15</f>
        <v>0</v>
      </c>
      <c r="F227" s="584" t="s">
        <v>159</v>
      </c>
      <c r="G227" s="584" t="s">
        <v>1236</v>
      </c>
    </row>
    <row r="228" spans="1:7" ht="14.25" customHeight="1" x14ac:dyDescent="0.25">
      <c r="A228" s="584" t="str">
        <f>'Mapa da Corregedoria'!N$6</f>
        <v>13ª Vara</v>
      </c>
      <c r="B228" s="584" t="s">
        <v>120</v>
      </c>
      <c r="C228" s="584" t="s">
        <v>127</v>
      </c>
      <c r="D228" s="584" t="str">
        <f>'Mapa da Corregedoria'!$A$16</f>
        <v>Analista Judiciário(Á. Apoio Especializado-Contadoria)</v>
      </c>
      <c r="E228" s="584">
        <f>'Mapa da Corregedoria'!$N16</f>
        <v>0</v>
      </c>
      <c r="F228" s="584" t="s">
        <v>159</v>
      </c>
      <c r="G228" s="584" t="s">
        <v>1236</v>
      </c>
    </row>
    <row r="229" spans="1:7" ht="14.25" customHeight="1" x14ac:dyDescent="0.25">
      <c r="A229" s="584" t="str">
        <f>'Mapa da Corregedoria'!N$6</f>
        <v>13ª Vara</v>
      </c>
      <c r="B229" s="584" t="s">
        <v>120</v>
      </c>
      <c r="C229" s="584" t="s">
        <v>127</v>
      </c>
      <c r="D229" s="584" t="str">
        <f>'Mapa da Corregedoria'!$A$17</f>
        <v>Analista Judiciário(Á. Apoio Especializado- Engenharia Civil)</v>
      </c>
      <c r="E229" s="584">
        <f>'Mapa da Corregedoria'!$N17</f>
        <v>0</v>
      </c>
      <c r="F229" s="584" t="s">
        <v>159</v>
      </c>
      <c r="G229" s="584" t="s">
        <v>1236</v>
      </c>
    </row>
    <row r="230" spans="1:7" ht="14.25" customHeight="1" x14ac:dyDescent="0.25">
      <c r="A230" s="584" t="str">
        <f>'Mapa da Corregedoria'!N$6</f>
        <v>13ª Vara</v>
      </c>
      <c r="B230" s="584" t="s">
        <v>120</v>
      </c>
      <c r="C230" s="584" t="s">
        <v>127</v>
      </c>
      <c r="D230" s="584" t="str">
        <f>'Mapa da Corregedoria'!$A$20</f>
        <v xml:space="preserve">Técnico Judiciário (Á. Administrativa)-inclusas as Especialidades Serviços de Portaria/Telefonia </v>
      </c>
      <c r="E230" s="584">
        <f>'Mapa da Corregedoria'!$N20</f>
        <v>8</v>
      </c>
      <c r="F230" s="584" t="s">
        <v>159</v>
      </c>
      <c r="G230" s="584" t="s">
        <v>1236</v>
      </c>
    </row>
    <row r="231" spans="1:7" ht="14.25" customHeight="1" x14ac:dyDescent="0.25">
      <c r="A231" s="584" t="str">
        <f>'Mapa da Corregedoria'!N$6</f>
        <v>13ª Vara</v>
      </c>
      <c r="B231" s="584" t="s">
        <v>120</v>
      </c>
      <c r="C231" s="584" t="s">
        <v>127</v>
      </c>
      <c r="D231" s="584" t="str">
        <f>'Mapa da Corregedoria'!$A$21</f>
        <v>Técnico Judiciário(Á. Apoio Especializado- Informática)</v>
      </c>
      <c r="E231" s="584">
        <f>'Mapa da Corregedoria'!$N21</f>
        <v>0</v>
      </c>
      <c r="F231" s="584" t="s">
        <v>159</v>
      </c>
      <c r="G231" s="584" t="s">
        <v>1236</v>
      </c>
    </row>
    <row r="232" spans="1:7" ht="14.25" customHeight="1" x14ac:dyDescent="0.25">
      <c r="A232" s="584" t="str">
        <f>'Mapa da Corregedoria'!N$6</f>
        <v>13ª Vara</v>
      </c>
      <c r="B232" s="584" t="s">
        <v>120</v>
      </c>
      <c r="C232" s="584" t="s">
        <v>127</v>
      </c>
      <c r="D232" s="584" t="str">
        <f>'Mapa da Corregedoria'!$A$24</f>
        <v>Técnico Judiciário (Á. Segurança e Transporte – Agente de Policia Judicial)</v>
      </c>
      <c r="E232" s="584">
        <f>'Mapa da Corregedoria'!$N24</f>
        <v>0</v>
      </c>
      <c r="F232" s="584" t="s">
        <v>159</v>
      </c>
      <c r="G232" s="584" t="s">
        <v>1236</v>
      </c>
    </row>
    <row r="233" spans="1:7" ht="14.25" customHeight="1" x14ac:dyDescent="0.25">
      <c r="A233" s="584" t="str">
        <f>'Mapa da Corregedoria'!N$6</f>
        <v>13ª Vara</v>
      </c>
      <c r="B233" s="584" t="s">
        <v>120</v>
      </c>
      <c r="C233" s="584" t="s">
        <v>127</v>
      </c>
      <c r="D233" s="584" t="str">
        <f>'Mapa da Corregedoria'!$A$25</f>
        <v>Auxiliar Judiciário</v>
      </c>
      <c r="E233" s="584">
        <f>'Mapa da Corregedoria'!$N25</f>
        <v>0</v>
      </c>
      <c r="F233" s="584" t="s">
        <v>159</v>
      </c>
      <c r="G233" s="584" t="s">
        <v>1236</v>
      </c>
    </row>
    <row r="234" spans="1:7" ht="14.25" customHeight="1" x14ac:dyDescent="0.25">
      <c r="A234" s="584" t="str">
        <f>'Mapa da Corregedoria'!N$6</f>
        <v>13ª Vara</v>
      </c>
      <c r="B234" s="584" t="s">
        <v>120</v>
      </c>
      <c r="C234" s="584" t="s">
        <v>127</v>
      </c>
      <c r="D234" s="584" t="str">
        <f>'Mapa da Corregedoria'!$A$27</f>
        <v>Requisitados</v>
      </c>
      <c r="E234" s="584">
        <f>'Mapa da Corregedoria'!$N27</f>
        <v>2</v>
      </c>
      <c r="F234" s="584" t="str">
        <f>D234</f>
        <v>Requisitados</v>
      </c>
      <c r="G234" s="584" t="s">
        <v>1236</v>
      </c>
    </row>
    <row r="235" spans="1:7" ht="14.25" customHeight="1" x14ac:dyDescent="0.25">
      <c r="A235" s="584" t="str">
        <f>'Mapa da Corregedoria'!N$6</f>
        <v>13ª Vara</v>
      </c>
      <c r="B235" s="584" t="s">
        <v>120</v>
      </c>
      <c r="C235" s="584" t="s">
        <v>127</v>
      </c>
      <c r="D235" s="584" t="str">
        <f>'Mapa da Corregedoria'!$A$28</f>
        <v>Exercício Provisório (de outros órgãos)</v>
      </c>
      <c r="E235" s="584">
        <f>'Mapa da Corregedoria'!$N28</f>
        <v>1</v>
      </c>
      <c r="F235" s="584" t="str">
        <f>D235</f>
        <v>Exercício Provisório (de outros órgãos)</v>
      </c>
      <c r="G235" s="584" t="s">
        <v>1236</v>
      </c>
    </row>
    <row r="236" spans="1:7" ht="14.25" customHeight="1" x14ac:dyDescent="0.25">
      <c r="A236" s="584" t="str">
        <f>'Mapa da Corregedoria'!N$6</f>
        <v>13ª Vara</v>
      </c>
      <c r="B236" s="584" t="s">
        <v>120</v>
      </c>
      <c r="C236" s="584" t="s">
        <v>127</v>
      </c>
      <c r="D236" s="584" t="str">
        <f>'Mapa da Corregedoria'!$A$29</f>
        <v>Removidos (de outros órgãos)</v>
      </c>
      <c r="E236" s="584">
        <f>'Mapa da Corregedoria'!$N29</f>
        <v>2</v>
      </c>
      <c r="F236" s="584" t="str">
        <f>D236</f>
        <v>Removidos (de outros órgãos)</v>
      </c>
      <c r="G236" s="584" t="s">
        <v>1236</v>
      </c>
    </row>
    <row r="237" spans="1:7" ht="14.25" customHeight="1" x14ac:dyDescent="0.25">
      <c r="A237" s="584" t="str">
        <f>'Mapa da Corregedoria'!N$6</f>
        <v>13ª Vara</v>
      </c>
      <c r="B237" s="584" t="s">
        <v>120</v>
      </c>
      <c r="C237" s="584" t="s">
        <v>127</v>
      </c>
      <c r="D237" s="584" t="str">
        <f>'Mapa da Corregedoria'!$A$30</f>
        <v>Sem Vínculo</v>
      </c>
      <c r="E237" s="584">
        <f>'Mapa da Corregedoria'!$N30</f>
        <v>0</v>
      </c>
      <c r="F237" s="584" t="str">
        <f>D237</f>
        <v>Sem Vínculo</v>
      </c>
      <c r="G237" s="584" t="s">
        <v>1236</v>
      </c>
    </row>
    <row r="238" spans="1:7" ht="14.25" customHeight="1" x14ac:dyDescent="0.25">
      <c r="A238" s="584" t="str">
        <f>'Mapa da Corregedoria'!O$6</f>
        <v>14ª Vara</v>
      </c>
      <c r="B238" s="584" t="s">
        <v>120</v>
      </c>
      <c r="C238" s="584" t="s">
        <v>127</v>
      </c>
      <c r="D238" s="584" t="str">
        <f>'Mapa da Corregedoria'!$A$8</f>
        <v>Analista Judiciário(Á. Judiciária)</v>
      </c>
      <c r="E238" s="584">
        <f>'Mapa da Corregedoria'!$O8</f>
        <v>1</v>
      </c>
      <c r="F238" s="584" t="s">
        <v>159</v>
      </c>
      <c r="G238" s="584" t="s">
        <v>1236</v>
      </c>
    </row>
    <row r="239" spans="1:7" ht="14.25" customHeight="1" x14ac:dyDescent="0.25">
      <c r="A239" s="584" t="str">
        <f>'Mapa da Corregedoria'!O$6</f>
        <v>14ª Vara</v>
      </c>
      <c r="B239" s="584" t="s">
        <v>120</v>
      </c>
      <c r="C239" s="584" t="s">
        <v>127</v>
      </c>
      <c r="D239" s="584" t="str">
        <f>'Mapa da Corregedoria'!$A$9</f>
        <v>Analista Judiciário(Á. Administrativa)</v>
      </c>
      <c r="E239" s="584">
        <f>'Mapa da Corregedoria'!$O9</f>
        <v>0</v>
      </c>
      <c r="F239" s="584" t="s">
        <v>159</v>
      </c>
      <c r="G239" s="584" t="s">
        <v>1236</v>
      </c>
    </row>
    <row r="240" spans="1:7" ht="14.25" customHeight="1" x14ac:dyDescent="0.25">
      <c r="A240" s="584" t="str">
        <f>'Mapa da Corregedoria'!O$6</f>
        <v>14ª Vara</v>
      </c>
      <c r="B240" s="584" t="s">
        <v>120</v>
      </c>
      <c r="C240" s="584" t="s">
        <v>127</v>
      </c>
      <c r="D240" s="584" t="str">
        <f>'Mapa da Corregedoria'!$A$10</f>
        <v>Analista Judiciário (Esp.Oficial de Justiça Avaliador Federal)</v>
      </c>
      <c r="E240" s="584">
        <f>'Mapa da Corregedoria'!$O10</f>
        <v>2</v>
      </c>
      <c r="F240" s="584" t="s">
        <v>159</v>
      </c>
      <c r="G240" s="584" t="s">
        <v>1236</v>
      </c>
    </row>
    <row r="241" spans="1:7" ht="14.25" customHeight="1" x14ac:dyDescent="0.25">
      <c r="A241" s="584" t="str">
        <f>'Mapa da Corregedoria'!O$6</f>
        <v>14ª Vara</v>
      </c>
      <c r="B241" s="584" t="s">
        <v>120</v>
      </c>
      <c r="C241" s="584" t="s">
        <v>127</v>
      </c>
      <c r="D241" s="584" t="str">
        <f>'Mapa da Corregedoria'!$A$11</f>
        <v>Anal.Jud.(Á. Biblioteconomia)</v>
      </c>
      <c r="E241" s="584">
        <f>'Mapa da Corregedoria'!$O11</f>
        <v>0</v>
      </c>
      <c r="F241" s="584" t="s">
        <v>159</v>
      </c>
      <c r="G241" s="584" t="s">
        <v>1236</v>
      </c>
    </row>
    <row r="242" spans="1:7" ht="14.25" customHeight="1" x14ac:dyDescent="0.25">
      <c r="A242" s="584" t="str">
        <f>'Mapa da Corregedoria'!O$6</f>
        <v>14ª Vara</v>
      </c>
      <c r="B242" s="584" t="s">
        <v>120</v>
      </c>
      <c r="C242" s="584" t="s">
        <v>127</v>
      </c>
      <c r="D242" s="584" t="str">
        <f>'Mapa da Corregedoria'!$A$12</f>
        <v>Analista Judiciário(Á. Apoio Especializado-Informática)</v>
      </c>
      <c r="E242" s="584">
        <f>'Mapa da Corregedoria'!$O12</f>
        <v>0</v>
      </c>
      <c r="F242" s="584" t="s">
        <v>159</v>
      </c>
      <c r="G242" s="584" t="s">
        <v>1236</v>
      </c>
    </row>
    <row r="243" spans="1:7" ht="14.25" customHeight="1" x14ac:dyDescent="0.25">
      <c r="A243" s="584" t="str">
        <f>'Mapa da Corregedoria'!O$6</f>
        <v>14ª Vara</v>
      </c>
      <c r="B243" s="584" t="s">
        <v>120</v>
      </c>
      <c r="C243" s="584" t="s">
        <v>127</v>
      </c>
      <c r="D243" s="584" t="str">
        <f>'Mapa da Corregedoria'!$A$13</f>
        <v>Analista Judiciário(Á. Apoio Especializado-Informática-Desenvolvimento)</v>
      </c>
      <c r="E243" s="584">
        <f>'Mapa da Corregedoria'!$O13</f>
        <v>0</v>
      </c>
      <c r="F243" s="584" t="s">
        <v>159</v>
      </c>
      <c r="G243" s="584" t="s">
        <v>1236</v>
      </c>
    </row>
    <row r="244" spans="1:7" ht="14.25" customHeight="1" x14ac:dyDescent="0.25">
      <c r="A244" s="584" t="str">
        <f>'Mapa da Corregedoria'!O$6</f>
        <v>14ª Vara</v>
      </c>
      <c r="B244" s="584" t="s">
        <v>120</v>
      </c>
      <c r="C244" s="584" t="s">
        <v>127</v>
      </c>
      <c r="D244" s="584" t="str">
        <f>'Mapa da Corregedoria'!$A$14</f>
        <v>Analista Judiciário(Á. Apoio Especializado-Informática-Infraestrutura)</v>
      </c>
      <c r="E244" s="584">
        <f>'Mapa da Corregedoria'!$O14</f>
        <v>0</v>
      </c>
      <c r="F244" s="584" t="s">
        <v>159</v>
      </c>
      <c r="G244" s="584" t="s">
        <v>1236</v>
      </c>
    </row>
    <row r="245" spans="1:7" ht="14.25" customHeight="1" x14ac:dyDescent="0.25">
      <c r="A245" s="584" t="str">
        <f>'Mapa da Corregedoria'!O$6</f>
        <v>14ª Vara</v>
      </c>
      <c r="B245" s="584" t="s">
        <v>120</v>
      </c>
      <c r="C245" s="584" t="s">
        <v>127</v>
      </c>
      <c r="D245" s="584" t="str">
        <f>'Mapa da Corregedoria'!$A$15</f>
        <v>Analista Judiciário(Á. Apoio Especializado-Medicina-Cliníca Médica)</v>
      </c>
      <c r="E245" s="584">
        <f>'Mapa da Corregedoria'!$O15</f>
        <v>0</v>
      </c>
      <c r="F245" s="584" t="s">
        <v>159</v>
      </c>
      <c r="G245" s="584" t="s">
        <v>1236</v>
      </c>
    </row>
    <row r="246" spans="1:7" ht="14.25" customHeight="1" x14ac:dyDescent="0.25">
      <c r="A246" s="584" t="str">
        <f>'Mapa da Corregedoria'!O$6</f>
        <v>14ª Vara</v>
      </c>
      <c r="B246" s="584" t="s">
        <v>120</v>
      </c>
      <c r="C246" s="584" t="s">
        <v>127</v>
      </c>
      <c r="D246" s="584" t="str">
        <f>'Mapa da Corregedoria'!$A$16</f>
        <v>Analista Judiciário(Á. Apoio Especializado-Contadoria)</v>
      </c>
      <c r="E246" s="584">
        <f>'Mapa da Corregedoria'!$O16</f>
        <v>0</v>
      </c>
      <c r="F246" s="584" t="s">
        <v>159</v>
      </c>
      <c r="G246" s="584" t="s">
        <v>1236</v>
      </c>
    </row>
    <row r="247" spans="1:7" ht="14.25" customHeight="1" x14ac:dyDescent="0.25">
      <c r="A247" s="584" t="str">
        <f>'Mapa da Corregedoria'!O$6</f>
        <v>14ª Vara</v>
      </c>
      <c r="B247" s="584" t="s">
        <v>120</v>
      </c>
      <c r="C247" s="584" t="s">
        <v>127</v>
      </c>
      <c r="D247" s="584" t="str">
        <f>'Mapa da Corregedoria'!$A$17</f>
        <v>Analista Judiciário(Á. Apoio Especializado- Engenharia Civil)</v>
      </c>
      <c r="E247" s="584">
        <f>'Mapa da Corregedoria'!$O17</f>
        <v>0</v>
      </c>
      <c r="F247" s="584" t="s">
        <v>159</v>
      </c>
      <c r="G247" s="584" t="s">
        <v>1236</v>
      </c>
    </row>
    <row r="248" spans="1:7" ht="14.25" customHeight="1" x14ac:dyDescent="0.25">
      <c r="A248" s="584" t="str">
        <f>'Mapa da Corregedoria'!O$6</f>
        <v>14ª Vara</v>
      </c>
      <c r="B248" s="584" t="s">
        <v>120</v>
      </c>
      <c r="C248" s="584" t="s">
        <v>127</v>
      </c>
      <c r="D248" s="584" t="str">
        <f>'Mapa da Corregedoria'!$A$20</f>
        <v xml:space="preserve">Técnico Judiciário (Á. Administrativa)-inclusas as Especialidades Serviços de Portaria/Telefonia </v>
      </c>
      <c r="E248" s="584">
        <f>'Mapa da Corregedoria'!$O20</f>
        <v>10</v>
      </c>
      <c r="F248" s="584" t="s">
        <v>159</v>
      </c>
      <c r="G248" s="584" t="s">
        <v>1236</v>
      </c>
    </row>
    <row r="249" spans="1:7" ht="14.25" customHeight="1" x14ac:dyDescent="0.25">
      <c r="A249" s="584" t="str">
        <f>'Mapa da Corregedoria'!O$6</f>
        <v>14ª Vara</v>
      </c>
      <c r="B249" s="584" t="s">
        <v>120</v>
      </c>
      <c r="C249" s="584" t="s">
        <v>127</v>
      </c>
      <c r="D249" s="584" t="str">
        <f>'Mapa da Corregedoria'!$A$21</f>
        <v>Técnico Judiciário(Á. Apoio Especializado- Informática)</v>
      </c>
      <c r="E249" s="584">
        <f>'Mapa da Corregedoria'!$O21</f>
        <v>0</v>
      </c>
      <c r="F249" s="584" t="s">
        <v>159</v>
      </c>
      <c r="G249" s="584" t="s">
        <v>1236</v>
      </c>
    </row>
    <row r="250" spans="1:7" ht="14.25" customHeight="1" x14ac:dyDescent="0.25">
      <c r="A250" s="584" t="str">
        <f>'Mapa da Corregedoria'!O$6</f>
        <v>14ª Vara</v>
      </c>
      <c r="B250" s="584" t="s">
        <v>120</v>
      </c>
      <c r="C250" s="584" t="s">
        <v>127</v>
      </c>
      <c r="D250" s="584" t="str">
        <f>'Mapa da Corregedoria'!$A$24</f>
        <v>Técnico Judiciário (Á. Segurança e Transporte – Agente de Policia Judicial)</v>
      </c>
      <c r="E250" s="584">
        <f>'Mapa da Corregedoria'!$O24</f>
        <v>0</v>
      </c>
      <c r="F250" s="584" t="s">
        <v>159</v>
      </c>
      <c r="G250" s="584" t="s">
        <v>1236</v>
      </c>
    </row>
    <row r="251" spans="1:7" ht="14.25" customHeight="1" x14ac:dyDescent="0.25">
      <c r="A251" s="584" t="str">
        <f>'Mapa da Corregedoria'!O$6</f>
        <v>14ª Vara</v>
      </c>
      <c r="B251" s="584" t="s">
        <v>120</v>
      </c>
      <c r="C251" s="584" t="s">
        <v>127</v>
      </c>
      <c r="D251" s="584" t="str">
        <f>'Mapa da Corregedoria'!$A$25</f>
        <v>Auxiliar Judiciário</v>
      </c>
      <c r="E251" s="584">
        <f>'Mapa da Corregedoria'!$O25</f>
        <v>0</v>
      </c>
      <c r="F251" s="584" t="s">
        <v>159</v>
      </c>
      <c r="G251" s="584" t="s">
        <v>1236</v>
      </c>
    </row>
    <row r="252" spans="1:7" ht="14.25" customHeight="1" x14ac:dyDescent="0.25">
      <c r="A252" s="584" t="str">
        <f>'Mapa da Corregedoria'!O$6</f>
        <v>14ª Vara</v>
      </c>
      <c r="B252" s="584" t="s">
        <v>120</v>
      </c>
      <c r="C252" s="584" t="s">
        <v>127</v>
      </c>
      <c r="D252" s="584" t="str">
        <f>'Mapa da Corregedoria'!$A$27</f>
        <v>Requisitados</v>
      </c>
      <c r="E252" s="584">
        <f>'Mapa da Corregedoria'!$O27</f>
        <v>2</v>
      </c>
      <c r="F252" s="584" t="str">
        <f>D252</f>
        <v>Requisitados</v>
      </c>
      <c r="G252" s="584" t="s">
        <v>1236</v>
      </c>
    </row>
    <row r="253" spans="1:7" ht="14.25" customHeight="1" x14ac:dyDescent="0.25">
      <c r="A253" s="584" t="str">
        <f>'Mapa da Corregedoria'!O$6</f>
        <v>14ª Vara</v>
      </c>
      <c r="B253" s="584" t="s">
        <v>120</v>
      </c>
      <c r="C253" s="584" t="s">
        <v>127</v>
      </c>
      <c r="D253" s="584" t="str">
        <f>'Mapa da Corregedoria'!$A$28</f>
        <v>Exercício Provisório (de outros órgãos)</v>
      </c>
      <c r="E253" s="584">
        <f>'Mapa da Corregedoria'!$O28</f>
        <v>1</v>
      </c>
      <c r="F253" s="584" t="str">
        <f>D253</f>
        <v>Exercício Provisório (de outros órgãos)</v>
      </c>
      <c r="G253" s="584" t="s">
        <v>1236</v>
      </c>
    </row>
    <row r="254" spans="1:7" ht="14.25" customHeight="1" x14ac:dyDescent="0.25">
      <c r="A254" s="584" t="str">
        <f>'Mapa da Corregedoria'!O$6</f>
        <v>14ª Vara</v>
      </c>
      <c r="B254" s="584" t="s">
        <v>120</v>
      </c>
      <c r="C254" s="584" t="s">
        <v>127</v>
      </c>
      <c r="D254" s="584" t="str">
        <f>'Mapa da Corregedoria'!$A$29</f>
        <v>Removidos (de outros órgãos)</v>
      </c>
      <c r="E254" s="584">
        <f>'Mapa da Corregedoria'!$O29</f>
        <v>1</v>
      </c>
      <c r="F254" s="584" t="str">
        <f>D254</f>
        <v>Removidos (de outros órgãos)</v>
      </c>
      <c r="G254" s="584" t="s">
        <v>1236</v>
      </c>
    </row>
    <row r="255" spans="1:7" ht="14.25" customHeight="1" x14ac:dyDescent="0.25">
      <c r="A255" s="584" t="str">
        <f>'Mapa da Corregedoria'!O$6</f>
        <v>14ª Vara</v>
      </c>
      <c r="B255" s="584" t="s">
        <v>120</v>
      </c>
      <c r="C255" s="584" t="s">
        <v>127</v>
      </c>
      <c r="D255" s="584" t="str">
        <f>'Mapa da Corregedoria'!$A$30</f>
        <v>Sem Vínculo</v>
      </c>
      <c r="E255" s="584">
        <f>'Mapa da Corregedoria'!$O30</f>
        <v>0</v>
      </c>
      <c r="F255" s="584" t="str">
        <f>D255</f>
        <v>Sem Vínculo</v>
      </c>
      <c r="G255" s="584" t="s">
        <v>1236</v>
      </c>
    </row>
    <row r="256" spans="1:7" ht="14.25" customHeight="1" x14ac:dyDescent="0.25">
      <c r="A256" s="584" t="str">
        <f>'Mapa da Corregedoria'!P$6</f>
        <v>20ª Vara</v>
      </c>
      <c r="B256" s="584" t="s">
        <v>120</v>
      </c>
      <c r="C256" s="584" t="s">
        <v>126</v>
      </c>
      <c r="D256" s="584" t="str">
        <f>'Mapa da Corregedoria'!$A$8</f>
        <v>Analista Judiciário(Á. Judiciária)</v>
      </c>
      <c r="E256" s="584">
        <f>'Mapa da Corregedoria'!$P8</f>
        <v>3</v>
      </c>
      <c r="F256" s="584" t="s">
        <v>159</v>
      </c>
      <c r="G256" s="584" t="s">
        <v>1236</v>
      </c>
    </row>
    <row r="257" spans="1:7" ht="14.25" customHeight="1" x14ac:dyDescent="0.25">
      <c r="A257" s="584" t="str">
        <f>'Mapa da Corregedoria'!P$6</f>
        <v>20ª Vara</v>
      </c>
      <c r="B257" s="584" t="s">
        <v>120</v>
      </c>
      <c r="C257" s="584" t="s">
        <v>126</v>
      </c>
      <c r="D257" s="584" t="str">
        <f>'Mapa da Corregedoria'!$A$9</f>
        <v>Analista Judiciário(Á. Administrativa)</v>
      </c>
      <c r="E257" s="584">
        <f>'Mapa da Corregedoria'!$P9</f>
        <v>4</v>
      </c>
      <c r="F257" s="584" t="s">
        <v>159</v>
      </c>
      <c r="G257" s="584" t="s">
        <v>1236</v>
      </c>
    </row>
    <row r="258" spans="1:7" ht="14.25" customHeight="1" x14ac:dyDescent="0.25">
      <c r="A258" s="584" t="str">
        <f>'Mapa da Corregedoria'!P$6</f>
        <v>20ª Vara</v>
      </c>
      <c r="B258" s="584" t="s">
        <v>120</v>
      </c>
      <c r="C258" s="584" t="s">
        <v>126</v>
      </c>
      <c r="D258" s="584" t="str">
        <f>'Mapa da Corregedoria'!$A$10</f>
        <v>Analista Judiciário (Esp.Oficial de Justiça Avaliador Federal)</v>
      </c>
      <c r="E258" s="584">
        <f>'Mapa da Corregedoria'!$P10</f>
        <v>0</v>
      </c>
      <c r="F258" s="584" t="s">
        <v>159</v>
      </c>
      <c r="G258" s="584" t="s">
        <v>1236</v>
      </c>
    </row>
    <row r="259" spans="1:7" ht="14.25" customHeight="1" x14ac:dyDescent="0.25">
      <c r="A259" s="584" t="str">
        <f>'Mapa da Corregedoria'!P$6</f>
        <v>20ª Vara</v>
      </c>
      <c r="B259" s="584" t="s">
        <v>120</v>
      </c>
      <c r="C259" s="584" t="s">
        <v>126</v>
      </c>
      <c r="D259" s="584" t="str">
        <f>'Mapa da Corregedoria'!$A$11</f>
        <v>Anal.Jud.(Á. Biblioteconomia)</v>
      </c>
      <c r="E259" s="584">
        <f>'Mapa da Corregedoria'!$P11</f>
        <v>0</v>
      </c>
      <c r="F259" s="584" t="s">
        <v>159</v>
      </c>
      <c r="G259" s="584" t="s">
        <v>1236</v>
      </c>
    </row>
    <row r="260" spans="1:7" ht="14.25" customHeight="1" x14ac:dyDescent="0.25">
      <c r="A260" s="584" t="str">
        <f>'Mapa da Corregedoria'!P$6</f>
        <v>20ª Vara</v>
      </c>
      <c r="B260" s="584" t="s">
        <v>120</v>
      </c>
      <c r="C260" s="584" t="s">
        <v>126</v>
      </c>
      <c r="D260" s="584" t="str">
        <f>'Mapa da Corregedoria'!$A$12</f>
        <v>Analista Judiciário(Á. Apoio Especializado-Informática)</v>
      </c>
      <c r="E260" s="584">
        <f>'Mapa da Corregedoria'!$P12</f>
        <v>0</v>
      </c>
      <c r="F260" s="584" t="s">
        <v>159</v>
      </c>
      <c r="G260" s="584" t="s">
        <v>1236</v>
      </c>
    </row>
    <row r="261" spans="1:7" ht="14.25" customHeight="1" x14ac:dyDescent="0.25">
      <c r="A261" s="584" t="str">
        <f>'Mapa da Corregedoria'!P$6</f>
        <v>20ª Vara</v>
      </c>
      <c r="B261" s="584" t="s">
        <v>120</v>
      </c>
      <c r="C261" s="584" t="s">
        <v>126</v>
      </c>
      <c r="D261" s="584" t="str">
        <f>'Mapa da Corregedoria'!$A$13</f>
        <v>Analista Judiciário(Á. Apoio Especializado-Informática-Desenvolvimento)</v>
      </c>
      <c r="E261" s="584">
        <f>'Mapa da Corregedoria'!$P13</f>
        <v>0</v>
      </c>
      <c r="F261" s="584" t="s">
        <v>159</v>
      </c>
      <c r="G261" s="584" t="s">
        <v>1236</v>
      </c>
    </row>
    <row r="262" spans="1:7" ht="14.25" customHeight="1" x14ac:dyDescent="0.25">
      <c r="A262" s="584" t="str">
        <f>'Mapa da Corregedoria'!P$6</f>
        <v>20ª Vara</v>
      </c>
      <c r="B262" s="584" t="s">
        <v>120</v>
      </c>
      <c r="C262" s="584" t="s">
        <v>126</v>
      </c>
      <c r="D262" s="584" t="str">
        <f>'Mapa da Corregedoria'!$A$14</f>
        <v>Analista Judiciário(Á. Apoio Especializado-Informática-Infraestrutura)</v>
      </c>
      <c r="E262" s="584">
        <f>'Mapa da Corregedoria'!$P14</f>
        <v>0</v>
      </c>
      <c r="F262" s="584" t="s">
        <v>159</v>
      </c>
      <c r="G262" s="584" t="s">
        <v>1236</v>
      </c>
    </row>
    <row r="263" spans="1:7" ht="14.25" customHeight="1" x14ac:dyDescent="0.25">
      <c r="A263" s="584" t="str">
        <f>'Mapa da Corregedoria'!P$6</f>
        <v>20ª Vara</v>
      </c>
      <c r="B263" s="584" t="s">
        <v>120</v>
      </c>
      <c r="C263" s="584" t="s">
        <v>126</v>
      </c>
      <c r="D263" s="584" t="str">
        <f>'Mapa da Corregedoria'!$A$15</f>
        <v>Analista Judiciário(Á. Apoio Especializado-Medicina-Cliníca Médica)</v>
      </c>
      <c r="E263" s="584">
        <f>'Mapa da Corregedoria'!$P15</f>
        <v>0</v>
      </c>
      <c r="F263" s="584" t="s">
        <v>159</v>
      </c>
      <c r="G263" s="584" t="s">
        <v>1236</v>
      </c>
    </row>
    <row r="264" spans="1:7" ht="14.25" customHeight="1" x14ac:dyDescent="0.25">
      <c r="A264" s="584" t="str">
        <f>'Mapa da Corregedoria'!P$6</f>
        <v>20ª Vara</v>
      </c>
      <c r="B264" s="584" t="s">
        <v>120</v>
      </c>
      <c r="C264" s="584" t="s">
        <v>126</v>
      </c>
      <c r="D264" s="584" t="str">
        <f>'Mapa da Corregedoria'!$A$16</f>
        <v>Analista Judiciário(Á. Apoio Especializado-Contadoria)</v>
      </c>
      <c r="E264" s="584">
        <f>'Mapa da Corregedoria'!$P16</f>
        <v>0</v>
      </c>
      <c r="F264" s="584" t="s">
        <v>159</v>
      </c>
      <c r="G264" s="584" t="s">
        <v>1236</v>
      </c>
    </row>
    <row r="265" spans="1:7" ht="14.25" customHeight="1" x14ac:dyDescent="0.25">
      <c r="A265" s="584" t="str">
        <f>'Mapa da Corregedoria'!P$6</f>
        <v>20ª Vara</v>
      </c>
      <c r="B265" s="584" t="s">
        <v>120</v>
      </c>
      <c r="C265" s="584" t="s">
        <v>126</v>
      </c>
      <c r="D265" s="584" t="str">
        <f>'Mapa da Corregedoria'!$A$17</f>
        <v>Analista Judiciário(Á. Apoio Especializado- Engenharia Civil)</v>
      </c>
      <c r="E265" s="584">
        <f>'Mapa da Corregedoria'!$P17</f>
        <v>0</v>
      </c>
      <c r="F265" s="584" t="s">
        <v>159</v>
      </c>
      <c r="G265" s="584" t="s">
        <v>1236</v>
      </c>
    </row>
    <row r="266" spans="1:7" ht="14.25" customHeight="1" x14ac:dyDescent="0.25">
      <c r="A266" s="584" t="str">
        <f>'Mapa da Corregedoria'!P$6</f>
        <v>20ª Vara</v>
      </c>
      <c r="B266" s="584" t="s">
        <v>120</v>
      </c>
      <c r="C266" s="584" t="s">
        <v>126</v>
      </c>
      <c r="D266" s="584" t="str">
        <f>'Mapa da Corregedoria'!$A$20</f>
        <v xml:space="preserve">Técnico Judiciário (Á. Administrativa)-inclusas as Especialidades Serviços de Portaria/Telefonia </v>
      </c>
      <c r="E266" s="584">
        <f>'Mapa da Corregedoria'!$P20</f>
        <v>5</v>
      </c>
      <c r="F266" s="584" t="s">
        <v>159</v>
      </c>
      <c r="G266" s="584" t="s">
        <v>1236</v>
      </c>
    </row>
    <row r="267" spans="1:7" ht="14.25" customHeight="1" x14ac:dyDescent="0.25">
      <c r="A267" s="584" t="str">
        <f>'Mapa da Corregedoria'!P$6</f>
        <v>20ª Vara</v>
      </c>
      <c r="B267" s="584" t="s">
        <v>120</v>
      </c>
      <c r="C267" s="584" t="s">
        <v>126</v>
      </c>
      <c r="D267" s="584" t="str">
        <f>'Mapa da Corregedoria'!$A$21</f>
        <v>Técnico Judiciário(Á. Apoio Especializado- Informática)</v>
      </c>
      <c r="E267" s="584">
        <f>'Mapa da Corregedoria'!$P21</f>
        <v>0</v>
      </c>
      <c r="F267" s="584" t="s">
        <v>159</v>
      </c>
      <c r="G267" s="584" t="s">
        <v>1236</v>
      </c>
    </row>
    <row r="268" spans="1:7" ht="14.25" customHeight="1" x14ac:dyDescent="0.25">
      <c r="A268" s="584" t="str">
        <f>'Mapa da Corregedoria'!P$6</f>
        <v>20ª Vara</v>
      </c>
      <c r="B268" s="584" t="s">
        <v>120</v>
      </c>
      <c r="C268" s="584" t="s">
        <v>126</v>
      </c>
      <c r="D268" s="584" t="str">
        <f>'Mapa da Corregedoria'!$A$24</f>
        <v>Técnico Judiciário (Á. Segurança e Transporte – Agente de Policia Judicial)</v>
      </c>
      <c r="E268" s="584">
        <f>'Mapa da Corregedoria'!$P24</f>
        <v>1</v>
      </c>
      <c r="F268" s="584" t="s">
        <v>159</v>
      </c>
      <c r="G268" s="584" t="s">
        <v>1236</v>
      </c>
    </row>
    <row r="269" spans="1:7" ht="14.25" customHeight="1" x14ac:dyDescent="0.25">
      <c r="A269" s="584" t="str">
        <f>'Mapa da Corregedoria'!P$6</f>
        <v>20ª Vara</v>
      </c>
      <c r="B269" s="584" t="s">
        <v>120</v>
      </c>
      <c r="C269" s="584" t="s">
        <v>126</v>
      </c>
      <c r="D269" s="584" t="str">
        <f>'Mapa da Corregedoria'!$A$25</f>
        <v>Auxiliar Judiciário</v>
      </c>
      <c r="E269" s="584">
        <f>'Mapa da Corregedoria'!$P25</f>
        <v>0</v>
      </c>
      <c r="F269" s="584" t="s">
        <v>159</v>
      </c>
      <c r="G269" s="584" t="s">
        <v>1236</v>
      </c>
    </row>
    <row r="270" spans="1:7" ht="14.25" customHeight="1" x14ac:dyDescent="0.25">
      <c r="A270" s="584" t="str">
        <f>'Mapa da Corregedoria'!P$6</f>
        <v>20ª Vara</v>
      </c>
      <c r="B270" s="584" t="s">
        <v>120</v>
      </c>
      <c r="C270" s="584" t="s">
        <v>126</v>
      </c>
      <c r="D270" s="584" t="str">
        <f>'Mapa da Corregedoria'!$A$27</f>
        <v>Requisitados</v>
      </c>
      <c r="E270" s="584">
        <f>'Mapa da Corregedoria'!$P27</f>
        <v>1</v>
      </c>
      <c r="F270" s="584" t="str">
        <f>D270</f>
        <v>Requisitados</v>
      </c>
      <c r="G270" s="584" t="s">
        <v>1236</v>
      </c>
    </row>
    <row r="271" spans="1:7" ht="14.25" customHeight="1" x14ac:dyDescent="0.25">
      <c r="A271" s="584" t="str">
        <f>'Mapa da Corregedoria'!P$6</f>
        <v>20ª Vara</v>
      </c>
      <c r="B271" s="584" t="s">
        <v>120</v>
      </c>
      <c r="C271" s="584" t="s">
        <v>126</v>
      </c>
      <c r="D271" s="584" t="str">
        <f>'Mapa da Corregedoria'!$A$28</f>
        <v>Exercício Provisório (de outros órgãos)</v>
      </c>
      <c r="E271" s="584">
        <f>'Mapa da Corregedoria'!$P28</f>
        <v>0</v>
      </c>
      <c r="F271" s="584" t="str">
        <f>D271</f>
        <v>Exercício Provisório (de outros órgãos)</v>
      </c>
      <c r="G271" s="584" t="s">
        <v>1236</v>
      </c>
    </row>
    <row r="272" spans="1:7" ht="14.25" customHeight="1" x14ac:dyDescent="0.25">
      <c r="A272" s="584" t="str">
        <f>'Mapa da Corregedoria'!P$6</f>
        <v>20ª Vara</v>
      </c>
      <c r="B272" s="584" t="s">
        <v>120</v>
      </c>
      <c r="C272" s="584" t="s">
        <v>126</v>
      </c>
      <c r="D272" s="584" t="str">
        <f>'Mapa da Corregedoria'!$A$29</f>
        <v>Removidos (de outros órgãos)</v>
      </c>
      <c r="E272" s="584">
        <f>'Mapa da Corregedoria'!$P29</f>
        <v>2</v>
      </c>
      <c r="F272" s="584" t="str">
        <f>D272</f>
        <v>Removidos (de outros órgãos)</v>
      </c>
      <c r="G272" s="584" t="s">
        <v>1236</v>
      </c>
    </row>
    <row r="273" spans="1:7" ht="14.25" customHeight="1" x14ac:dyDescent="0.25">
      <c r="A273" s="584" t="str">
        <f>'Mapa da Corregedoria'!P$6</f>
        <v>20ª Vara</v>
      </c>
      <c r="B273" s="584" t="s">
        <v>120</v>
      </c>
      <c r="C273" s="584" t="s">
        <v>126</v>
      </c>
      <c r="D273" s="584" t="str">
        <f>'Mapa da Corregedoria'!$A$30</f>
        <v>Sem Vínculo</v>
      </c>
      <c r="E273" s="584">
        <f>'Mapa da Corregedoria'!$P30</f>
        <v>0</v>
      </c>
      <c r="F273" s="584" t="str">
        <f>D273</f>
        <v>Sem Vínculo</v>
      </c>
      <c r="G273" s="584" t="s">
        <v>1236</v>
      </c>
    </row>
    <row r="274" spans="1:7" ht="14.25" customHeight="1" x14ac:dyDescent="0.25">
      <c r="A274" s="584" t="str">
        <f>'Mapa da Corregedoria'!Q$6</f>
        <v>21ª Vara</v>
      </c>
      <c r="B274" s="584" t="s">
        <v>120</v>
      </c>
      <c r="C274" s="584" t="s">
        <v>127</v>
      </c>
      <c r="D274" s="584" t="str">
        <f>'Mapa da Corregedoria'!$A$8</f>
        <v>Analista Judiciário(Á. Judiciária)</v>
      </c>
      <c r="E274" s="584">
        <f>'Mapa da Corregedoria'!$Q8</f>
        <v>5</v>
      </c>
      <c r="F274" s="584" t="s">
        <v>159</v>
      </c>
      <c r="G274" s="584" t="s">
        <v>1236</v>
      </c>
    </row>
    <row r="275" spans="1:7" ht="14.25" customHeight="1" x14ac:dyDescent="0.25">
      <c r="A275" s="584" t="str">
        <f>'Mapa da Corregedoria'!Q$6</f>
        <v>21ª Vara</v>
      </c>
      <c r="B275" s="584" t="s">
        <v>120</v>
      </c>
      <c r="C275" s="584" t="s">
        <v>127</v>
      </c>
      <c r="D275" s="584" t="str">
        <f>'Mapa da Corregedoria'!$A$9</f>
        <v>Analista Judiciário(Á. Administrativa)</v>
      </c>
      <c r="E275" s="584">
        <f>'Mapa da Corregedoria'!$Q9</f>
        <v>1</v>
      </c>
      <c r="F275" s="584" t="s">
        <v>159</v>
      </c>
      <c r="G275" s="584" t="s">
        <v>1236</v>
      </c>
    </row>
    <row r="276" spans="1:7" ht="14.25" customHeight="1" x14ac:dyDescent="0.25">
      <c r="A276" s="584" t="str">
        <f>'Mapa da Corregedoria'!Q$6</f>
        <v>21ª Vara</v>
      </c>
      <c r="B276" s="584" t="s">
        <v>120</v>
      </c>
      <c r="C276" s="584" t="s">
        <v>127</v>
      </c>
      <c r="D276" s="584" t="str">
        <f>'Mapa da Corregedoria'!$A$10</f>
        <v>Analista Judiciário (Esp.Oficial de Justiça Avaliador Federal)</v>
      </c>
      <c r="E276" s="584">
        <f>'Mapa da Corregedoria'!$Q10</f>
        <v>2</v>
      </c>
      <c r="F276" s="584" t="s">
        <v>159</v>
      </c>
      <c r="G276" s="584" t="s">
        <v>1236</v>
      </c>
    </row>
    <row r="277" spans="1:7" ht="14.25" customHeight="1" x14ac:dyDescent="0.25">
      <c r="A277" s="584" t="str">
        <f>'Mapa da Corregedoria'!Q$6</f>
        <v>21ª Vara</v>
      </c>
      <c r="B277" s="584" t="s">
        <v>120</v>
      </c>
      <c r="C277" s="584" t="s">
        <v>127</v>
      </c>
      <c r="D277" s="584" t="str">
        <f>'Mapa da Corregedoria'!$A$11</f>
        <v>Anal.Jud.(Á. Biblioteconomia)</v>
      </c>
      <c r="E277" s="584">
        <f>'Mapa da Corregedoria'!$Q11</f>
        <v>0</v>
      </c>
      <c r="F277" s="584" t="s">
        <v>159</v>
      </c>
      <c r="G277" s="584" t="s">
        <v>1236</v>
      </c>
    </row>
    <row r="278" spans="1:7" ht="14.25" customHeight="1" x14ac:dyDescent="0.25">
      <c r="A278" s="584" t="str">
        <f>'Mapa da Corregedoria'!Q$6</f>
        <v>21ª Vara</v>
      </c>
      <c r="B278" s="584" t="s">
        <v>120</v>
      </c>
      <c r="C278" s="584" t="s">
        <v>127</v>
      </c>
      <c r="D278" s="584" t="str">
        <f>'Mapa da Corregedoria'!$A$12</f>
        <v>Analista Judiciário(Á. Apoio Especializado-Informática)</v>
      </c>
      <c r="E278" s="584">
        <f>'Mapa da Corregedoria'!$Q12</f>
        <v>0</v>
      </c>
      <c r="F278" s="584" t="s">
        <v>159</v>
      </c>
      <c r="G278" s="584" t="s">
        <v>1236</v>
      </c>
    </row>
    <row r="279" spans="1:7" ht="14.25" customHeight="1" x14ac:dyDescent="0.25">
      <c r="A279" s="584" t="str">
        <f>'Mapa da Corregedoria'!Q$6</f>
        <v>21ª Vara</v>
      </c>
      <c r="B279" s="584" t="s">
        <v>120</v>
      </c>
      <c r="C279" s="584" t="s">
        <v>127</v>
      </c>
      <c r="D279" s="584" t="str">
        <f>'Mapa da Corregedoria'!$A$13</f>
        <v>Analista Judiciário(Á. Apoio Especializado-Informática-Desenvolvimento)</v>
      </c>
      <c r="E279" s="584">
        <f>'Mapa da Corregedoria'!$Q13</f>
        <v>0</v>
      </c>
      <c r="F279" s="584" t="s">
        <v>159</v>
      </c>
      <c r="G279" s="584" t="s">
        <v>1236</v>
      </c>
    </row>
    <row r="280" spans="1:7" ht="14.25" customHeight="1" x14ac:dyDescent="0.25">
      <c r="A280" s="584" t="str">
        <f>'Mapa da Corregedoria'!Q$6</f>
        <v>21ª Vara</v>
      </c>
      <c r="B280" s="584" t="s">
        <v>120</v>
      </c>
      <c r="C280" s="584" t="s">
        <v>127</v>
      </c>
      <c r="D280" s="584" t="str">
        <f>'Mapa da Corregedoria'!$A$14</f>
        <v>Analista Judiciário(Á. Apoio Especializado-Informática-Infraestrutura)</v>
      </c>
      <c r="E280" s="584">
        <f>'Mapa da Corregedoria'!$Q14</f>
        <v>0</v>
      </c>
      <c r="F280" s="584" t="s">
        <v>159</v>
      </c>
      <c r="G280" s="584" t="s">
        <v>1236</v>
      </c>
    </row>
    <row r="281" spans="1:7" ht="14.25" customHeight="1" x14ac:dyDescent="0.25">
      <c r="A281" s="584" t="str">
        <f>'Mapa da Corregedoria'!Q$6</f>
        <v>21ª Vara</v>
      </c>
      <c r="B281" s="584" t="s">
        <v>120</v>
      </c>
      <c r="C281" s="584" t="s">
        <v>127</v>
      </c>
      <c r="D281" s="584" t="str">
        <f>'Mapa da Corregedoria'!$A$15</f>
        <v>Analista Judiciário(Á. Apoio Especializado-Medicina-Cliníca Médica)</v>
      </c>
      <c r="E281" s="584">
        <f>'Mapa da Corregedoria'!$Q15</f>
        <v>0</v>
      </c>
      <c r="F281" s="584" t="s">
        <v>159</v>
      </c>
      <c r="G281" s="584" t="s">
        <v>1236</v>
      </c>
    </row>
    <row r="282" spans="1:7" ht="14.25" customHeight="1" x14ac:dyDescent="0.25">
      <c r="A282" s="584" t="str">
        <f>'Mapa da Corregedoria'!Q$6</f>
        <v>21ª Vara</v>
      </c>
      <c r="B282" s="584" t="s">
        <v>120</v>
      </c>
      <c r="C282" s="584" t="s">
        <v>127</v>
      </c>
      <c r="D282" s="584" t="str">
        <f>'Mapa da Corregedoria'!$A$16</f>
        <v>Analista Judiciário(Á. Apoio Especializado-Contadoria)</v>
      </c>
      <c r="E282" s="584">
        <f>'Mapa da Corregedoria'!$Q16</f>
        <v>0</v>
      </c>
      <c r="F282" s="584" t="s">
        <v>159</v>
      </c>
      <c r="G282" s="584" t="s">
        <v>1236</v>
      </c>
    </row>
    <row r="283" spans="1:7" ht="14.25" customHeight="1" x14ac:dyDescent="0.25">
      <c r="A283" s="584" t="str">
        <f>'Mapa da Corregedoria'!Q$6</f>
        <v>21ª Vara</v>
      </c>
      <c r="B283" s="584" t="s">
        <v>120</v>
      </c>
      <c r="C283" s="584" t="s">
        <v>127</v>
      </c>
      <c r="D283" s="584" t="str">
        <f>'Mapa da Corregedoria'!$A$17</f>
        <v>Analista Judiciário(Á. Apoio Especializado- Engenharia Civil)</v>
      </c>
      <c r="E283" s="584">
        <f>'Mapa da Corregedoria'!$Q17</f>
        <v>0</v>
      </c>
      <c r="F283" s="584" t="s">
        <v>159</v>
      </c>
      <c r="G283" s="584" t="s">
        <v>1236</v>
      </c>
    </row>
    <row r="284" spans="1:7" ht="14.25" customHeight="1" x14ac:dyDescent="0.25">
      <c r="A284" s="584" t="str">
        <f>'Mapa da Corregedoria'!Q$6</f>
        <v>21ª Vara</v>
      </c>
      <c r="B284" s="584" t="s">
        <v>120</v>
      </c>
      <c r="C284" s="584" t="s">
        <v>127</v>
      </c>
      <c r="D284" s="584" t="str">
        <f>'Mapa da Corregedoria'!$A$20</f>
        <v xml:space="preserve">Técnico Judiciário (Á. Administrativa)-inclusas as Especialidades Serviços de Portaria/Telefonia </v>
      </c>
      <c r="E284" s="584">
        <f>'Mapa da Corregedoria'!$Q20</f>
        <v>4</v>
      </c>
      <c r="F284" s="584" t="s">
        <v>159</v>
      </c>
      <c r="G284" s="584" t="s">
        <v>1236</v>
      </c>
    </row>
    <row r="285" spans="1:7" ht="14.25" customHeight="1" x14ac:dyDescent="0.25">
      <c r="A285" s="584" t="str">
        <f>'Mapa da Corregedoria'!Q$6</f>
        <v>21ª Vara</v>
      </c>
      <c r="B285" s="584" t="s">
        <v>120</v>
      </c>
      <c r="C285" s="584" t="s">
        <v>127</v>
      </c>
      <c r="D285" s="584" t="str">
        <f>'Mapa da Corregedoria'!$A$21</f>
        <v>Técnico Judiciário(Á. Apoio Especializado- Informática)</v>
      </c>
      <c r="E285" s="584">
        <f>'Mapa da Corregedoria'!$Q21</f>
        <v>0</v>
      </c>
      <c r="F285" s="584" t="s">
        <v>159</v>
      </c>
      <c r="G285" s="584" t="s">
        <v>1236</v>
      </c>
    </row>
    <row r="286" spans="1:7" ht="14.25" customHeight="1" x14ac:dyDescent="0.25">
      <c r="A286" s="584" t="str">
        <f>'Mapa da Corregedoria'!Q$6</f>
        <v>21ª Vara</v>
      </c>
      <c r="B286" s="584" t="s">
        <v>120</v>
      </c>
      <c r="C286" s="584" t="s">
        <v>127</v>
      </c>
      <c r="D286" s="584" t="str">
        <f>'Mapa da Corregedoria'!$A$24</f>
        <v>Técnico Judiciário (Á. Segurança e Transporte – Agente de Policia Judicial)</v>
      </c>
      <c r="E286" s="584">
        <f>'Mapa da Corregedoria'!$Q24</f>
        <v>1</v>
      </c>
      <c r="F286" s="584" t="s">
        <v>159</v>
      </c>
      <c r="G286" s="584" t="s">
        <v>1236</v>
      </c>
    </row>
    <row r="287" spans="1:7" ht="14.25" customHeight="1" x14ac:dyDescent="0.25">
      <c r="A287" s="584" t="str">
        <f>'Mapa da Corregedoria'!Q$6</f>
        <v>21ª Vara</v>
      </c>
      <c r="B287" s="584" t="s">
        <v>120</v>
      </c>
      <c r="C287" s="584" t="s">
        <v>127</v>
      </c>
      <c r="D287" s="584" t="str">
        <f>'Mapa da Corregedoria'!$A$25</f>
        <v>Auxiliar Judiciário</v>
      </c>
      <c r="E287" s="584">
        <f>'Mapa da Corregedoria'!$Q25</f>
        <v>0</v>
      </c>
      <c r="F287" s="584" t="s">
        <v>159</v>
      </c>
      <c r="G287" s="584" t="s">
        <v>1236</v>
      </c>
    </row>
    <row r="288" spans="1:7" ht="14.25" customHeight="1" x14ac:dyDescent="0.25">
      <c r="A288" s="584" t="str">
        <f>'Mapa da Corregedoria'!Q$6</f>
        <v>21ª Vara</v>
      </c>
      <c r="B288" s="584" t="s">
        <v>120</v>
      </c>
      <c r="C288" s="584" t="s">
        <v>127</v>
      </c>
      <c r="D288" s="584" t="str">
        <f>'Mapa da Corregedoria'!$A$27</f>
        <v>Requisitados</v>
      </c>
      <c r="E288" s="584">
        <f>'Mapa da Corregedoria'!$Q27</f>
        <v>2</v>
      </c>
      <c r="F288" s="584" t="str">
        <f>D288</f>
        <v>Requisitados</v>
      </c>
      <c r="G288" s="584" t="s">
        <v>1236</v>
      </c>
    </row>
    <row r="289" spans="1:7" ht="14.25" customHeight="1" x14ac:dyDescent="0.25">
      <c r="A289" s="584" t="str">
        <f>'Mapa da Corregedoria'!Q$6</f>
        <v>21ª Vara</v>
      </c>
      <c r="B289" s="584" t="s">
        <v>120</v>
      </c>
      <c r="C289" s="584" t="s">
        <v>127</v>
      </c>
      <c r="D289" s="584" t="str">
        <f>'Mapa da Corregedoria'!$A$28</f>
        <v>Exercício Provisório (de outros órgãos)</v>
      </c>
      <c r="E289" s="584">
        <f>'Mapa da Corregedoria'!$Q28</f>
        <v>0</v>
      </c>
      <c r="F289" s="584" t="str">
        <f>D289</f>
        <v>Exercício Provisório (de outros órgãos)</v>
      </c>
      <c r="G289" s="584" t="s">
        <v>1236</v>
      </c>
    </row>
    <row r="290" spans="1:7" ht="14.25" customHeight="1" x14ac:dyDescent="0.25">
      <c r="A290" s="584" t="str">
        <f>'Mapa da Corregedoria'!Q$6</f>
        <v>21ª Vara</v>
      </c>
      <c r="B290" s="584" t="s">
        <v>120</v>
      </c>
      <c r="C290" s="584" t="s">
        <v>127</v>
      </c>
      <c r="D290" s="584" t="str">
        <f>'Mapa da Corregedoria'!$A$29</f>
        <v>Removidos (de outros órgãos)</v>
      </c>
      <c r="E290" s="584">
        <f>'Mapa da Corregedoria'!$Q29</f>
        <v>2</v>
      </c>
      <c r="F290" s="584" t="str">
        <f>D290</f>
        <v>Removidos (de outros órgãos)</v>
      </c>
      <c r="G290" s="584" t="s">
        <v>1236</v>
      </c>
    </row>
    <row r="291" spans="1:7" ht="14.25" customHeight="1" x14ac:dyDescent="0.25">
      <c r="A291" s="584" t="str">
        <f>'Mapa da Corregedoria'!Q$6</f>
        <v>21ª Vara</v>
      </c>
      <c r="B291" s="584" t="s">
        <v>120</v>
      </c>
      <c r="C291" s="584" t="s">
        <v>127</v>
      </c>
      <c r="D291" s="584" t="str">
        <f>'Mapa da Corregedoria'!$A$30</f>
        <v>Sem Vínculo</v>
      </c>
      <c r="E291" s="584">
        <f>'Mapa da Corregedoria'!$Q30</f>
        <v>0</v>
      </c>
      <c r="F291" s="584" t="str">
        <f>D291</f>
        <v>Sem Vínculo</v>
      </c>
      <c r="G291" s="584" t="s">
        <v>1236</v>
      </c>
    </row>
    <row r="292" spans="1:7" ht="14.25" customHeight="1" x14ac:dyDescent="0.25">
      <c r="A292" s="584" t="str">
        <f>'Mapa da Corregedoria'!R$6</f>
        <v>26ª Vara</v>
      </c>
      <c r="B292" s="584" t="s">
        <v>120</v>
      </c>
      <c r="C292" s="584" t="s">
        <v>127</v>
      </c>
      <c r="D292" s="584" t="str">
        <f>'Mapa da Corregedoria'!$A$8</f>
        <v>Analista Judiciário(Á. Judiciária)</v>
      </c>
      <c r="E292" s="584">
        <f>'Mapa da Corregedoria'!$R8</f>
        <v>5</v>
      </c>
      <c r="F292" s="584" t="s">
        <v>159</v>
      </c>
      <c r="G292" s="584" t="s">
        <v>1236</v>
      </c>
    </row>
    <row r="293" spans="1:7" ht="14.25" customHeight="1" x14ac:dyDescent="0.25">
      <c r="A293" s="584" t="str">
        <f>'Mapa da Corregedoria'!R$6</f>
        <v>26ª Vara</v>
      </c>
      <c r="B293" s="584" t="s">
        <v>120</v>
      </c>
      <c r="C293" s="584" t="s">
        <v>127</v>
      </c>
      <c r="D293" s="584" t="str">
        <f>'Mapa da Corregedoria'!$A$9</f>
        <v>Analista Judiciário(Á. Administrativa)</v>
      </c>
      <c r="E293" s="584">
        <f>'Mapa da Corregedoria'!$R9</f>
        <v>0</v>
      </c>
      <c r="F293" s="584" t="s">
        <v>159</v>
      </c>
      <c r="G293" s="584" t="s">
        <v>1236</v>
      </c>
    </row>
    <row r="294" spans="1:7" ht="14.25" customHeight="1" x14ac:dyDescent="0.25">
      <c r="A294" s="584" t="str">
        <f>'Mapa da Corregedoria'!R$6</f>
        <v>26ª Vara</v>
      </c>
      <c r="B294" s="584" t="s">
        <v>120</v>
      </c>
      <c r="C294" s="584" t="s">
        <v>127</v>
      </c>
      <c r="D294" s="584" t="str">
        <f>'Mapa da Corregedoria'!$A$10</f>
        <v>Analista Judiciário (Esp.Oficial de Justiça Avaliador Federal)</v>
      </c>
      <c r="E294" s="584">
        <f>'Mapa da Corregedoria'!$R10</f>
        <v>2</v>
      </c>
      <c r="F294" s="584" t="s">
        <v>159</v>
      </c>
      <c r="G294" s="584" t="s">
        <v>1236</v>
      </c>
    </row>
    <row r="295" spans="1:7" ht="14.25" customHeight="1" x14ac:dyDescent="0.25">
      <c r="A295" s="584" t="str">
        <f>'Mapa da Corregedoria'!R$6</f>
        <v>26ª Vara</v>
      </c>
      <c r="B295" s="584" t="s">
        <v>120</v>
      </c>
      <c r="C295" s="584" t="s">
        <v>127</v>
      </c>
      <c r="D295" s="584" t="str">
        <f>'Mapa da Corregedoria'!$A$11</f>
        <v>Anal.Jud.(Á. Biblioteconomia)</v>
      </c>
      <c r="E295" s="584">
        <f>'Mapa da Corregedoria'!$R11</f>
        <v>0</v>
      </c>
      <c r="F295" s="584" t="s">
        <v>159</v>
      </c>
      <c r="G295" s="584" t="s">
        <v>1236</v>
      </c>
    </row>
    <row r="296" spans="1:7" ht="14.25" customHeight="1" x14ac:dyDescent="0.25">
      <c r="A296" s="584" t="str">
        <f>'Mapa da Corregedoria'!R$6</f>
        <v>26ª Vara</v>
      </c>
      <c r="B296" s="584" t="s">
        <v>120</v>
      </c>
      <c r="C296" s="584" t="s">
        <v>127</v>
      </c>
      <c r="D296" s="584" t="str">
        <f>'Mapa da Corregedoria'!$A$12</f>
        <v>Analista Judiciário(Á. Apoio Especializado-Informática)</v>
      </c>
      <c r="E296" s="584">
        <f>'Mapa da Corregedoria'!$R12</f>
        <v>0</v>
      </c>
      <c r="F296" s="584" t="s">
        <v>159</v>
      </c>
      <c r="G296" s="584" t="s">
        <v>1236</v>
      </c>
    </row>
    <row r="297" spans="1:7" ht="14.25" customHeight="1" x14ac:dyDescent="0.25">
      <c r="A297" s="584" t="str">
        <f>'Mapa da Corregedoria'!R$6</f>
        <v>26ª Vara</v>
      </c>
      <c r="B297" s="584" t="s">
        <v>120</v>
      </c>
      <c r="C297" s="584" t="s">
        <v>127</v>
      </c>
      <c r="D297" s="584" t="str">
        <f>'Mapa da Corregedoria'!$A$13</f>
        <v>Analista Judiciário(Á. Apoio Especializado-Informática-Desenvolvimento)</v>
      </c>
      <c r="E297" s="584">
        <f>'Mapa da Corregedoria'!$R13</f>
        <v>0</v>
      </c>
      <c r="F297" s="584" t="s">
        <v>159</v>
      </c>
      <c r="G297" s="584" t="s">
        <v>1236</v>
      </c>
    </row>
    <row r="298" spans="1:7" ht="14.25" customHeight="1" x14ac:dyDescent="0.25">
      <c r="A298" s="584" t="str">
        <f>'Mapa da Corregedoria'!R$6</f>
        <v>26ª Vara</v>
      </c>
      <c r="B298" s="584" t="s">
        <v>120</v>
      </c>
      <c r="C298" s="584" t="s">
        <v>127</v>
      </c>
      <c r="D298" s="584" t="str">
        <f>'Mapa da Corregedoria'!$A$14</f>
        <v>Analista Judiciário(Á. Apoio Especializado-Informática-Infraestrutura)</v>
      </c>
      <c r="E298" s="584">
        <f>'Mapa da Corregedoria'!$R14</f>
        <v>0</v>
      </c>
      <c r="F298" s="584" t="s">
        <v>159</v>
      </c>
      <c r="G298" s="584" t="s">
        <v>1236</v>
      </c>
    </row>
    <row r="299" spans="1:7" ht="14.25" customHeight="1" x14ac:dyDescent="0.25">
      <c r="A299" s="584" t="str">
        <f>'Mapa da Corregedoria'!R$6</f>
        <v>26ª Vara</v>
      </c>
      <c r="B299" s="584" t="s">
        <v>120</v>
      </c>
      <c r="C299" s="584" t="s">
        <v>127</v>
      </c>
      <c r="D299" s="584" t="str">
        <f>'Mapa da Corregedoria'!$A$15</f>
        <v>Analista Judiciário(Á. Apoio Especializado-Medicina-Cliníca Médica)</v>
      </c>
      <c r="E299" s="584">
        <f>'Mapa da Corregedoria'!$R15</f>
        <v>0</v>
      </c>
      <c r="F299" s="584" t="s">
        <v>159</v>
      </c>
      <c r="G299" s="584" t="s">
        <v>1236</v>
      </c>
    </row>
    <row r="300" spans="1:7" ht="14.25" customHeight="1" x14ac:dyDescent="0.25">
      <c r="A300" s="584" t="str">
        <f>'Mapa da Corregedoria'!R$6</f>
        <v>26ª Vara</v>
      </c>
      <c r="B300" s="584" t="s">
        <v>120</v>
      </c>
      <c r="C300" s="584" t="s">
        <v>127</v>
      </c>
      <c r="D300" s="584" t="str">
        <f>'Mapa da Corregedoria'!$A$16</f>
        <v>Analista Judiciário(Á. Apoio Especializado-Contadoria)</v>
      </c>
      <c r="E300" s="584">
        <f>'Mapa da Corregedoria'!$R16</f>
        <v>0</v>
      </c>
      <c r="F300" s="584" t="s">
        <v>159</v>
      </c>
      <c r="G300" s="584" t="s">
        <v>1236</v>
      </c>
    </row>
    <row r="301" spans="1:7" ht="14.25" customHeight="1" x14ac:dyDescent="0.25">
      <c r="A301" s="584" t="str">
        <f>'Mapa da Corregedoria'!R$6</f>
        <v>26ª Vara</v>
      </c>
      <c r="B301" s="584" t="s">
        <v>120</v>
      </c>
      <c r="C301" s="584" t="s">
        <v>127</v>
      </c>
      <c r="D301" s="584" t="str">
        <f>'Mapa da Corregedoria'!$A$17</f>
        <v>Analista Judiciário(Á. Apoio Especializado- Engenharia Civil)</v>
      </c>
      <c r="E301" s="584">
        <f>'Mapa da Corregedoria'!$R17</f>
        <v>0</v>
      </c>
      <c r="F301" s="584" t="s">
        <v>159</v>
      </c>
      <c r="G301" s="584" t="s">
        <v>1236</v>
      </c>
    </row>
    <row r="302" spans="1:7" ht="14.25" customHeight="1" x14ac:dyDescent="0.25">
      <c r="A302" s="584" t="str">
        <f>'Mapa da Corregedoria'!R$6</f>
        <v>26ª Vara</v>
      </c>
      <c r="B302" s="584" t="s">
        <v>120</v>
      </c>
      <c r="C302" s="584" t="s">
        <v>127</v>
      </c>
      <c r="D302" s="584" t="str">
        <f>'Mapa da Corregedoria'!$A$20</f>
        <v xml:space="preserve">Técnico Judiciário (Á. Administrativa)-inclusas as Especialidades Serviços de Portaria/Telefonia </v>
      </c>
      <c r="E302" s="584">
        <f>'Mapa da Corregedoria'!$R20</f>
        <v>8</v>
      </c>
      <c r="F302" s="584" t="s">
        <v>159</v>
      </c>
      <c r="G302" s="584" t="s">
        <v>1236</v>
      </c>
    </row>
    <row r="303" spans="1:7" ht="14.25" customHeight="1" x14ac:dyDescent="0.25">
      <c r="A303" s="584" t="str">
        <f>'Mapa da Corregedoria'!R$6</f>
        <v>26ª Vara</v>
      </c>
      <c r="B303" s="584" t="s">
        <v>120</v>
      </c>
      <c r="C303" s="584" t="s">
        <v>127</v>
      </c>
      <c r="D303" s="584" t="str">
        <f>'Mapa da Corregedoria'!$A$21</f>
        <v>Técnico Judiciário(Á. Apoio Especializado- Informática)</v>
      </c>
      <c r="E303" s="584">
        <f>'Mapa da Corregedoria'!$R21</f>
        <v>0</v>
      </c>
      <c r="F303" s="584" t="s">
        <v>159</v>
      </c>
      <c r="G303" s="584" t="s">
        <v>1236</v>
      </c>
    </row>
    <row r="304" spans="1:7" ht="14.25" customHeight="1" x14ac:dyDescent="0.25">
      <c r="A304" s="584" t="str">
        <f>'Mapa da Corregedoria'!R$6</f>
        <v>26ª Vara</v>
      </c>
      <c r="B304" s="584" t="s">
        <v>120</v>
      </c>
      <c r="C304" s="584" t="s">
        <v>127</v>
      </c>
      <c r="D304" s="584" t="str">
        <f>'Mapa da Corregedoria'!$A$24</f>
        <v>Técnico Judiciário (Á. Segurança e Transporte – Agente de Policia Judicial)</v>
      </c>
      <c r="E304" s="584">
        <f>'Mapa da Corregedoria'!$R24</f>
        <v>0</v>
      </c>
      <c r="F304" s="584" t="s">
        <v>159</v>
      </c>
      <c r="G304" s="584" t="s">
        <v>1236</v>
      </c>
    </row>
    <row r="305" spans="1:7" ht="14.25" customHeight="1" x14ac:dyDescent="0.25">
      <c r="A305" s="584" t="str">
        <f>'Mapa da Corregedoria'!R$6</f>
        <v>26ª Vara</v>
      </c>
      <c r="B305" s="584" t="s">
        <v>120</v>
      </c>
      <c r="C305" s="584" t="s">
        <v>127</v>
      </c>
      <c r="D305" s="584" t="str">
        <f>'Mapa da Corregedoria'!$A$25</f>
        <v>Auxiliar Judiciário</v>
      </c>
      <c r="E305" s="584">
        <f>'Mapa da Corregedoria'!$R25</f>
        <v>0</v>
      </c>
      <c r="F305" s="584" t="s">
        <v>159</v>
      </c>
      <c r="G305" s="584" t="s">
        <v>1236</v>
      </c>
    </row>
    <row r="306" spans="1:7" ht="14.25" customHeight="1" x14ac:dyDescent="0.25">
      <c r="A306" s="584" t="str">
        <f>'Mapa da Corregedoria'!R$6</f>
        <v>26ª Vara</v>
      </c>
      <c r="B306" s="584" t="s">
        <v>120</v>
      </c>
      <c r="C306" s="584" t="s">
        <v>127</v>
      </c>
      <c r="D306" s="584" t="str">
        <f>'Mapa da Corregedoria'!$A$27</f>
        <v>Requisitados</v>
      </c>
      <c r="E306" s="584">
        <f>'Mapa da Corregedoria'!$R27</f>
        <v>0</v>
      </c>
      <c r="F306" s="584" t="str">
        <f>D306</f>
        <v>Requisitados</v>
      </c>
      <c r="G306" s="584" t="s">
        <v>1236</v>
      </c>
    </row>
    <row r="307" spans="1:7" ht="14.25" customHeight="1" x14ac:dyDescent="0.25">
      <c r="A307" s="584" t="str">
        <f>'Mapa da Corregedoria'!R$6</f>
        <v>26ª Vara</v>
      </c>
      <c r="B307" s="584" t="s">
        <v>120</v>
      </c>
      <c r="C307" s="584" t="s">
        <v>127</v>
      </c>
      <c r="D307" s="584" t="str">
        <f>'Mapa da Corregedoria'!$A$28</f>
        <v>Exercício Provisório (de outros órgãos)</v>
      </c>
      <c r="E307" s="584">
        <f>'Mapa da Corregedoria'!$R28</f>
        <v>0</v>
      </c>
      <c r="F307" s="584" t="str">
        <f>D307</f>
        <v>Exercício Provisório (de outros órgãos)</v>
      </c>
      <c r="G307" s="584" t="s">
        <v>1236</v>
      </c>
    </row>
    <row r="308" spans="1:7" ht="14.25" customHeight="1" x14ac:dyDescent="0.25">
      <c r="A308" s="584" t="str">
        <f>'Mapa da Corregedoria'!R$6</f>
        <v>26ª Vara</v>
      </c>
      <c r="B308" s="584" t="s">
        <v>120</v>
      </c>
      <c r="C308" s="584" t="s">
        <v>127</v>
      </c>
      <c r="D308" s="584" t="str">
        <f>'Mapa da Corregedoria'!$A$29</f>
        <v>Removidos (de outros órgãos)</v>
      </c>
      <c r="E308" s="584">
        <f>'Mapa da Corregedoria'!$R29</f>
        <v>0</v>
      </c>
      <c r="F308" s="584" t="str">
        <f>D308</f>
        <v>Removidos (de outros órgãos)</v>
      </c>
      <c r="G308" s="584" t="s">
        <v>1236</v>
      </c>
    </row>
    <row r="309" spans="1:7" ht="14.25" customHeight="1" x14ac:dyDescent="0.25">
      <c r="A309" s="584" t="str">
        <f>'Mapa da Corregedoria'!R$6</f>
        <v>26ª Vara</v>
      </c>
      <c r="B309" s="584" t="s">
        <v>120</v>
      </c>
      <c r="C309" s="584" t="s">
        <v>127</v>
      </c>
      <c r="D309" s="584" t="str">
        <f>'Mapa da Corregedoria'!$A$30</f>
        <v>Sem Vínculo</v>
      </c>
      <c r="E309" s="584">
        <f>'Mapa da Corregedoria'!$R30</f>
        <v>0</v>
      </c>
      <c r="F309" s="584" t="str">
        <f>D309</f>
        <v>Sem Vínculo</v>
      </c>
      <c r="G309" s="584" t="s">
        <v>1236</v>
      </c>
    </row>
    <row r="310" spans="1:7" ht="14.25" customHeight="1" x14ac:dyDescent="0.25">
      <c r="A310" s="584" t="str">
        <f>'Mapa da Corregedoria'!S$6</f>
        <v>28ª Vara</v>
      </c>
      <c r="B310" s="584" t="s">
        <v>120</v>
      </c>
      <c r="C310" s="584" t="s">
        <v>127</v>
      </c>
      <c r="D310" s="584" t="str">
        <f>'Mapa da Corregedoria'!$A$8</f>
        <v>Analista Judiciário(Á. Judiciária)</v>
      </c>
      <c r="E310" s="584">
        <f>'Mapa da Corregedoria'!$S8</f>
        <v>4</v>
      </c>
      <c r="F310" s="584" t="s">
        <v>159</v>
      </c>
      <c r="G310" s="584" t="s">
        <v>1236</v>
      </c>
    </row>
    <row r="311" spans="1:7" ht="14.25" customHeight="1" x14ac:dyDescent="0.25">
      <c r="A311" s="584" t="str">
        <f>'Mapa da Corregedoria'!S$6</f>
        <v>28ª Vara</v>
      </c>
      <c r="B311" s="584" t="s">
        <v>120</v>
      </c>
      <c r="C311" s="584" t="s">
        <v>127</v>
      </c>
      <c r="D311" s="584" t="str">
        <f>'Mapa da Corregedoria'!$A$9</f>
        <v>Analista Judiciário(Á. Administrativa)</v>
      </c>
      <c r="E311" s="584">
        <f>'Mapa da Corregedoria'!$S9</f>
        <v>0</v>
      </c>
      <c r="F311" s="584" t="s">
        <v>159</v>
      </c>
      <c r="G311" s="584" t="s">
        <v>1236</v>
      </c>
    </row>
    <row r="312" spans="1:7" ht="14.25" customHeight="1" x14ac:dyDescent="0.25">
      <c r="A312" s="584" t="str">
        <f>'Mapa da Corregedoria'!S$6</f>
        <v>28ª Vara</v>
      </c>
      <c r="B312" s="584" t="s">
        <v>120</v>
      </c>
      <c r="C312" s="584" t="s">
        <v>127</v>
      </c>
      <c r="D312" s="584" t="str">
        <f>'Mapa da Corregedoria'!$A$10</f>
        <v>Analista Judiciário (Esp.Oficial de Justiça Avaliador Federal)</v>
      </c>
      <c r="E312" s="584">
        <f>'Mapa da Corregedoria'!$S10</f>
        <v>3</v>
      </c>
      <c r="F312" s="584" t="s">
        <v>159</v>
      </c>
      <c r="G312" s="584" t="s">
        <v>1236</v>
      </c>
    </row>
    <row r="313" spans="1:7" ht="14.25" customHeight="1" x14ac:dyDescent="0.25">
      <c r="A313" s="584" t="str">
        <f>'Mapa da Corregedoria'!S$6</f>
        <v>28ª Vara</v>
      </c>
      <c r="B313" s="584" t="s">
        <v>120</v>
      </c>
      <c r="C313" s="584" t="s">
        <v>127</v>
      </c>
      <c r="D313" s="584" t="str">
        <f>'Mapa da Corregedoria'!$A$11</f>
        <v>Anal.Jud.(Á. Biblioteconomia)</v>
      </c>
      <c r="E313" s="584">
        <f>'Mapa da Corregedoria'!$S11</f>
        <v>0</v>
      </c>
      <c r="F313" s="584" t="s">
        <v>159</v>
      </c>
      <c r="G313" s="584" t="s">
        <v>1236</v>
      </c>
    </row>
    <row r="314" spans="1:7" ht="14.25" customHeight="1" x14ac:dyDescent="0.25">
      <c r="A314" s="584" t="str">
        <f>'Mapa da Corregedoria'!S$6</f>
        <v>28ª Vara</v>
      </c>
      <c r="B314" s="584" t="s">
        <v>120</v>
      </c>
      <c r="C314" s="584" t="s">
        <v>127</v>
      </c>
      <c r="D314" s="584" t="str">
        <f>'Mapa da Corregedoria'!$A$12</f>
        <v>Analista Judiciário(Á. Apoio Especializado-Informática)</v>
      </c>
      <c r="E314" s="584">
        <f>'Mapa da Corregedoria'!$S12</f>
        <v>0</v>
      </c>
      <c r="F314" s="584" t="s">
        <v>159</v>
      </c>
      <c r="G314" s="584" t="s">
        <v>1236</v>
      </c>
    </row>
    <row r="315" spans="1:7" ht="14.25" customHeight="1" x14ac:dyDescent="0.25">
      <c r="A315" s="584" t="str">
        <f>'Mapa da Corregedoria'!S$6</f>
        <v>28ª Vara</v>
      </c>
      <c r="B315" s="584" t="s">
        <v>120</v>
      </c>
      <c r="C315" s="584" t="s">
        <v>127</v>
      </c>
      <c r="D315" s="584" t="str">
        <f>'Mapa da Corregedoria'!$A$13</f>
        <v>Analista Judiciário(Á. Apoio Especializado-Informática-Desenvolvimento)</v>
      </c>
      <c r="E315" s="584">
        <f>'Mapa da Corregedoria'!$S13</f>
        <v>0</v>
      </c>
      <c r="F315" s="584" t="s">
        <v>159</v>
      </c>
      <c r="G315" s="584" t="s">
        <v>1236</v>
      </c>
    </row>
    <row r="316" spans="1:7" ht="14.25" customHeight="1" x14ac:dyDescent="0.25">
      <c r="A316" s="584" t="str">
        <f>'Mapa da Corregedoria'!S$6</f>
        <v>28ª Vara</v>
      </c>
      <c r="B316" s="584" t="s">
        <v>120</v>
      </c>
      <c r="C316" s="584" t="s">
        <v>127</v>
      </c>
      <c r="D316" s="584" t="str">
        <f>'Mapa da Corregedoria'!$A$14</f>
        <v>Analista Judiciário(Á. Apoio Especializado-Informática-Infraestrutura)</v>
      </c>
      <c r="E316" s="584">
        <f>'Mapa da Corregedoria'!$S14</f>
        <v>0</v>
      </c>
      <c r="F316" s="584" t="s">
        <v>159</v>
      </c>
      <c r="G316" s="584" t="s">
        <v>1236</v>
      </c>
    </row>
    <row r="317" spans="1:7" ht="14.25" customHeight="1" x14ac:dyDescent="0.25">
      <c r="A317" s="584" t="str">
        <f>'Mapa da Corregedoria'!S$6</f>
        <v>28ª Vara</v>
      </c>
      <c r="B317" s="584" t="s">
        <v>120</v>
      </c>
      <c r="C317" s="584" t="s">
        <v>127</v>
      </c>
      <c r="D317" s="584" t="str">
        <f>'Mapa da Corregedoria'!$A$15</f>
        <v>Analista Judiciário(Á. Apoio Especializado-Medicina-Cliníca Médica)</v>
      </c>
      <c r="E317" s="584">
        <f>'Mapa da Corregedoria'!$S15</f>
        <v>0</v>
      </c>
      <c r="F317" s="584" t="s">
        <v>159</v>
      </c>
      <c r="G317" s="584" t="s">
        <v>1236</v>
      </c>
    </row>
    <row r="318" spans="1:7" ht="14.25" customHeight="1" x14ac:dyDescent="0.25">
      <c r="A318" s="584" t="str">
        <f>'Mapa da Corregedoria'!S$6</f>
        <v>28ª Vara</v>
      </c>
      <c r="B318" s="584" t="s">
        <v>120</v>
      </c>
      <c r="C318" s="584" t="s">
        <v>127</v>
      </c>
      <c r="D318" s="584" t="str">
        <f>'Mapa da Corregedoria'!$A$16</f>
        <v>Analista Judiciário(Á. Apoio Especializado-Contadoria)</v>
      </c>
      <c r="E318" s="584">
        <f>'Mapa da Corregedoria'!$S16</f>
        <v>0</v>
      </c>
      <c r="F318" s="584" t="s">
        <v>159</v>
      </c>
      <c r="G318" s="584" t="s">
        <v>1236</v>
      </c>
    </row>
    <row r="319" spans="1:7" ht="14.25" customHeight="1" x14ac:dyDescent="0.25">
      <c r="A319" s="584" t="str">
        <f>'Mapa da Corregedoria'!S$6</f>
        <v>28ª Vara</v>
      </c>
      <c r="B319" s="584" t="s">
        <v>120</v>
      </c>
      <c r="C319" s="584" t="s">
        <v>127</v>
      </c>
      <c r="D319" s="584" t="str">
        <f>'Mapa da Corregedoria'!$A$17</f>
        <v>Analista Judiciário(Á. Apoio Especializado- Engenharia Civil)</v>
      </c>
      <c r="E319" s="584">
        <f>'Mapa da Corregedoria'!$S17</f>
        <v>0</v>
      </c>
      <c r="F319" s="584" t="s">
        <v>159</v>
      </c>
      <c r="G319" s="584" t="s">
        <v>1236</v>
      </c>
    </row>
    <row r="320" spans="1:7" ht="14.25" customHeight="1" x14ac:dyDescent="0.25">
      <c r="A320" s="584" t="str">
        <f>'Mapa da Corregedoria'!S$6</f>
        <v>28ª Vara</v>
      </c>
      <c r="B320" s="584" t="s">
        <v>120</v>
      </c>
      <c r="C320" s="584" t="s">
        <v>127</v>
      </c>
      <c r="D320" s="584" t="str">
        <f>'Mapa da Corregedoria'!$A$20</f>
        <v xml:space="preserve">Técnico Judiciário (Á. Administrativa)-inclusas as Especialidades Serviços de Portaria/Telefonia </v>
      </c>
      <c r="E320" s="584">
        <f>'Mapa da Corregedoria'!$S20</f>
        <v>7</v>
      </c>
      <c r="F320" s="584" t="s">
        <v>159</v>
      </c>
      <c r="G320" s="584" t="s">
        <v>1236</v>
      </c>
    </row>
    <row r="321" spans="1:7" ht="14.25" customHeight="1" x14ac:dyDescent="0.25">
      <c r="A321" s="584" t="str">
        <f>'Mapa da Corregedoria'!S$6</f>
        <v>28ª Vara</v>
      </c>
      <c r="B321" s="584" t="s">
        <v>120</v>
      </c>
      <c r="C321" s="584" t="s">
        <v>127</v>
      </c>
      <c r="D321" s="584" t="str">
        <f>'Mapa da Corregedoria'!$A$21</f>
        <v>Técnico Judiciário(Á. Apoio Especializado- Informática)</v>
      </c>
      <c r="E321" s="584">
        <f>'Mapa da Corregedoria'!$S21</f>
        <v>0</v>
      </c>
      <c r="F321" s="584" t="s">
        <v>159</v>
      </c>
      <c r="G321" s="584" t="s">
        <v>1236</v>
      </c>
    </row>
    <row r="322" spans="1:7" ht="14.25" customHeight="1" x14ac:dyDescent="0.25">
      <c r="A322" s="584" t="str">
        <f>'Mapa da Corregedoria'!S$6</f>
        <v>28ª Vara</v>
      </c>
      <c r="B322" s="584" t="s">
        <v>120</v>
      </c>
      <c r="C322" s="584" t="s">
        <v>127</v>
      </c>
      <c r="D322" s="584" t="str">
        <f>'Mapa da Corregedoria'!$A$24</f>
        <v>Técnico Judiciário (Á. Segurança e Transporte – Agente de Policia Judicial)</v>
      </c>
      <c r="E322" s="584">
        <f>'Mapa da Corregedoria'!$S24</f>
        <v>0</v>
      </c>
      <c r="F322" s="584" t="s">
        <v>159</v>
      </c>
      <c r="G322" s="584" t="s">
        <v>1236</v>
      </c>
    </row>
    <row r="323" spans="1:7" ht="14.25" customHeight="1" x14ac:dyDescent="0.25">
      <c r="A323" s="584" t="str">
        <f>'Mapa da Corregedoria'!S$6</f>
        <v>28ª Vara</v>
      </c>
      <c r="B323" s="584" t="s">
        <v>120</v>
      </c>
      <c r="C323" s="584" t="s">
        <v>127</v>
      </c>
      <c r="D323" s="584" t="str">
        <f>'Mapa da Corregedoria'!$A$25</f>
        <v>Auxiliar Judiciário</v>
      </c>
      <c r="E323" s="584">
        <f>'Mapa da Corregedoria'!$S25</f>
        <v>0</v>
      </c>
      <c r="F323" s="584" t="s">
        <v>159</v>
      </c>
      <c r="G323" s="584" t="s">
        <v>1236</v>
      </c>
    </row>
    <row r="324" spans="1:7" ht="14.25" customHeight="1" x14ac:dyDescent="0.25">
      <c r="A324" s="584" t="str">
        <f>'Mapa da Corregedoria'!S$6</f>
        <v>28ª Vara</v>
      </c>
      <c r="B324" s="584" t="s">
        <v>120</v>
      </c>
      <c r="C324" s="584" t="s">
        <v>127</v>
      </c>
      <c r="D324" s="584" t="str">
        <f>'Mapa da Corregedoria'!$A$27</f>
        <v>Requisitados</v>
      </c>
      <c r="E324" s="584">
        <f>'Mapa da Corregedoria'!$S27</f>
        <v>2</v>
      </c>
      <c r="F324" s="584" t="str">
        <f>D324</f>
        <v>Requisitados</v>
      </c>
      <c r="G324" s="584" t="s">
        <v>1236</v>
      </c>
    </row>
    <row r="325" spans="1:7" ht="14.25" customHeight="1" x14ac:dyDescent="0.25">
      <c r="A325" s="584" t="str">
        <f>'Mapa da Corregedoria'!S$6</f>
        <v>28ª Vara</v>
      </c>
      <c r="B325" s="584" t="s">
        <v>120</v>
      </c>
      <c r="C325" s="584" t="s">
        <v>127</v>
      </c>
      <c r="D325" s="584" t="str">
        <f>'Mapa da Corregedoria'!$A$28</f>
        <v>Exercício Provisório (de outros órgãos)</v>
      </c>
      <c r="E325" s="584">
        <f>'Mapa da Corregedoria'!$S28</f>
        <v>0</v>
      </c>
      <c r="F325" s="584" t="str">
        <f>D325</f>
        <v>Exercício Provisório (de outros órgãos)</v>
      </c>
      <c r="G325" s="584" t="s">
        <v>1236</v>
      </c>
    </row>
    <row r="326" spans="1:7" ht="14.25" customHeight="1" x14ac:dyDescent="0.25">
      <c r="A326" s="584" t="str">
        <f>'Mapa da Corregedoria'!S$6</f>
        <v>28ª Vara</v>
      </c>
      <c r="B326" s="584" t="s">
        <v>120</v>
      </c>
      <c r="C326" s="584" t="s">
        <v>127</v>
      </c>
      <c r="D326" s="584" t="str">
        <f>'Mapa da Corregedoria'!$A$29</f>
        <v>Removidos (de outros órgãos)</v>
      </c>
      <c r="E326" s="584">
        <f>'Mapa da Corregedoria'!$S29</f>
        <v>1</v>
      </c>
      <c r="F326" s="584" t="str">
        <f>D326</f>
        <v>Removidos (de outros órgãos)</v>
      </c>
      <c r="G326" s="584" t="s">
        <v>1236</v>
      </c>
    </row>
    <row r="327" spans="1:7" ht="14.25" customHeight="1" x14ac:dyDescent="0.25">
      <c r="A327" s="584" t="str">
        <f>'Mapa da Corregedoria'!S$6</f>
        <v>28ª Vara</v>
      </c>
      <c r="B327" s="584" t="s">
        <v>120</v>
      </c>
      <c r="C327" s="584" t="s">
        <v>127</v>
      </c>
      <c r="D327" s="584" t="str">
        <f>'Mapa da Corregedoria'!$A$30</f>
        <v>Sem Vínculo</v>
      </c>
      <c r="E327" s="584">
        <f>'Mapa da Corregedoria'!$S30</f>
        <v>0</v>
      </c>
      <c r="F327" s="584" t="str">
        <f>D327</f>
        <v>Sem Vínculo</v>
      </c>
      <c r="G327" s="584" t="s">
        <v>1236</v>
      </c>
    </row>
    <row r="328" spans="1:7" ht="14.25" customHeight="1" x14ac:dyDescent="0.25">
      <c r="A328" s="584" t="str">
        <f>'Mapa da Corregedoria'!T$6</f>
        <v xml:space="preserve">32ª Vara </v>
      </c>
      <c r="B328" s="584" t="s">
        <v>120</v>
      </c>
      <c r="C328" s="584" t="s">
        <v>125</v>
      </c>
      <c r="D328" s="584" t="str">
        <f>'Mapa da Corregedoria'!$A$8</f>
        <v>Analista Judiciário(Á. Judiciária)</v>
      </c>
      <c r="E328" s="584">
        <f>'Mapa da Corregedoria'!$T8</f>
        <v>3</v>
      </c>
      <c r="F328" s="584" t="s">
        <v>159</v>
      </c>
      <c r="G328" s="584" t="s">
        <v>1236</v>
      </c>
    </row>
    <row r="329" spans="1:7" ht="14.25" customHeight="1" x14ac:dyDescent="0.25">
      <c r="A329" s="584" t="str">
        <f>'Mapa da Corregedoria'!T$6</f>
        <v xml:space="preserve">32ª Vara </v>
      </c>
      <c r="B329" s="584" t="s">
        <v>120</v>
      </c>
      <c r="C329" s="584" t="s">
        <v>125</v>
      </c>
      <c r="D329" s="584" t="str">
        <f>'Mapa da Corregedoria'!$A$9</f>
        <v>Analista Judiciário(Á. Administrativa)</v>
      </c>
      <c r="E329" s="584">
        <f>'Mapa da Corregedoria'!$T9</f>
        <v>0</v>
      </c>
      <c r="F329" s="584" t="s">
        <v>159</v>
      </c>
      <c r="G329" s="584" t="s">
        <v>1236</v>
      </c>
    </row>
    <row r="330" spans="1:7" ht="14.25" customHeight="1" x14ac:dyDescent="0.25">
      <c r="A330" s="584" t="str">
        <f>'Mapa da Corregedoria'!T$6</f>
        <v xml:space="preserve">32ª Vara </v>
      </c>
      <c r="B330" s="584" t="s">
        <v>120</v>
      </c>
      <c r="C330" s="584" t="s">
        <v>125</v>
      </c>
      <c r="D330" s="584" t="str">
        <f>'Mapa da Corregedoria'!$A$10</f>
        <v>Analista Judiciário (Esp.Oficial de Justiça Avaliador Federal)</v>
      </c>
      <c r="E330" s="584">
        <f>'Mapa da Corregedoria'!$T10</f>
        <v>0</v>
      </c>
      <c r="F330" s="584" t="s">
        <v>159</v>
      </c>
      <c r="G330" s="584" t="s">
        <v>1236</v>
      </c>
    </row>
    <row r="331" spans="1:7" ht="14.25" customHeight="1" x14ac:dyDescent="0.25">
      <c r="A331" s="584" t="str">
        <f>'Mapa da Corregedoria'!T$6</f>
        <v xml:space="preserve">32ª Vara </v>
      </c>
      <c r="B331" s="584" t="s">
        <v>120</v>
      </c>
      <c r="C331" s="584" t="s">
        <v>125</v>
      </c>
      <c r="D331" s="584" t="str">
        <f>'Mapa da Corregedoria'!$A$11</f>
        <v>Anal.Jud.(Á. Biblioteconomia)</v>
      </c>
      <c r="E331" s="584">
        <f>'Mapa da Corregedoria'!$T11</f>
        <v>0</v>
      </c>
      <c r="F331" s="584" t="s">
        <v>159</v>
      </c>
      <c r="G331" s="584" t="s">
        <v>1236</v>
      </c>
    </row>
    <row r="332" spans="1:7" ht="14.25" customHeight="1" x14ac:dyDescent="0.25">
      <c r="A332" s="584" t="str">
        <f>'Mapa da Corregedoria'!T$6</f>
        <v xml:space="preserve">32ª Vara </v>
      </c>
      <c r="B332" s="584" t="s">
        <v>120</v>
      </c>
      <c r="C332" s="584" t="s">
        <v>125</v>
      </c>
      <c r="D332" s="584" t="str">
        <f>'Mapa da Corregedoria'!$A$12</f>
        <v>Analista Judiciário(Á. Apoio Especializado-Informática)</v>
      </c>
      <c r="E332" s="584">
        <f>'Mapa da Corregedoria'!$T12</f>
        <v>0</v>
      </c>
      <c r="F332" s="584" t="s">
        <v>159</v>
      </c>
      <c r="G332" s="584" t="s">
        <v>1236</v>
      </c>
    </row>
    <row r="333" spans="1:7" ht="14.25" customHeight="1" x14ac:dyDescent="0.25">
      <c r="A333" s="584" t="str">
        <f>'Mapa da Corregedoria'!T$6</f>
        <v xml:space="preserve">32ª Vara </v>
      </c>
      <c r="B333" s="584" t="s">
        <v>120</v>
      </c>
      <c r="C333" s="584" t="s">
        <v>125</v>
      </c>
      <c r="D333" s="584" t="str">
        <f>'Mapa da Corregedoria'!$A$13</f>
        <v>Analista Judiciário(Á. Apoio Especializado-Informática-Desenvolvimento)</v>
      </c>
      <c r="E333" s="584">
        <f>'Mapa da Corregedoria'!$T13</f>
        <v>0</v>
      </c>
      <c r="F333" s="584" t="s">
        <v>159</v>
      </c>
      <c r="G333" s="584" t="s">
        <v>1236</v>
      </c>
    </row>
    <row r="334" spans="1:7" ht="14.25" customHeight="1" x14ac:dyDescent="0.25">
      <c r="A334" s="584" t="str">
        <f>'Mapa da Corregedoria'!T$6</f>
        <v xml:space="preserve">32ª Vara </v>
      </c>
      <c r="B334" s="584" t="s">
        <v>120</v>
      </c>
      <c r="C334" s="584" t="s">
        <v>125</v>
      </c>
      <c r="D334" s="584" t="str">
        <f>'Mapa da Corregedoria'!$A$14</f>
        <v>Analista Judiciário(Á. Apoio Especializado-Informática-Infraestrutura)</v>
      </c>
      <c r="E334" s="584">
        <f>'Mapa da Corregedoria'!$T14</f>
        <v>0</v>
      </c>
      <c r="F334" s="584" t="s">
        <v>159</v>
      </c>
      <c r="G334" s="584" t="s">
        <v>1236</v>
      </c>
    </row>
    <row r="335" spans="1:7" ht="14.25" customHeight="1" x14ac:dyDescent="0.25">
      <c r="A335" s="584" t="str">
        <f>'Mapa da Corregedoria'!T$6</f>
        <v xml:space="preserve">32ª Vara </v>
      </c>
      <c r="B335" s="584" t="s">
        <v>120</v>
      </c>
      <c r="C335" s="584" t="s">
        <v>125</v>
      </c>
      <c r="D335" s="584" t="str">
        <f>'Mapa da Corregedoria'!$A$15</f>
        <v>Analista Judiciário(Á. Apoio Especializado-Medicina-Cliníca Médica)</v>
      </c>
      <c r="E335" s="584">
        <f>'Mapa da Corregedoria'!$T15</f>
        <v>0</v>
      </c>
      <c r="F335" s="584" t="s">
        <v>159</v>
      </c>
      <c r="G335" s="584" t="s">
        <v>1236</v>
      </c>
    </row>
    <row r="336" spans="1:7" ht="14.25" customHeight="1" x14ac:dyDescent="0.25">
      <c r="A336" s="584" t="str">
        <f>'Mapa da Corregedoria'!T$6</f>
        <v xml:space="preserve">32ª Vara </v>
      </c>
      <c r="B336" s="584" t="s">
        <v>120</v>
      </c>
      <c r="C336" s="584" t="s">
        <v>125</v>
      </c>
      <c r="D336" s="584" t="str">
        <f>'Mapa da Corregedoria'!$A$16</f>
        <v>Analista Judiciário(Á. Apoio Especializado-Contadoria)</v>
      </c>
      <c r="E336" s="584">
        <f>'Mapa da Corregedoria'!$T16</f>
        <v>0</v>
      </c>
      <c r="F336" s="584" t="s">
        <v>159</v>
      </c>
      <c r="G336" s="584" t="s">
        <v>1236</v>
      </c>
    </row>
    <row r="337" spans="1:7" ht="14.25" customHeight="1" x14ac:dyDescent="0.25">
      <c r="A337" s="584" t="str">
        <f>'Mapa da Corregedoria'!T$6</f>
        <v xml:space="preserve">32ª Vara </v>
      </c>
      <c r="B337" s="584" t="s">
        <v>120</v>
      </c>
      <c r="C337" s="584" t="s">
        <v>125</v>
      </c>
      <c r="D337" s="584" t="str">
        <f>'Mapa da Corregedoria'!$A$17</f>
        <v>Analista Judiciário(Á. Apoio Especializado- Engenharia Civil)</v>
      </c>
      <c r="E337" s="584">
        <f>'Mapa da Corregedoria'!$T17</f>
        <v>0</v>
      </c>
      <c r="F337" s="584" t="s">
        <v>159</v>
      </c>
      <c r="G337" s="584" t="s">
        <v>1236</v>
      </c>
    </row>
    <row r="338" spans="1:7" ht="14.25" customHeight="1" x14ac:dyDescent="0.25">
      <c r="A338" s="584" t="str">
        <f>'Mapa da Corregedoria'!T$6</f>
        <v xml:space="preserve">32ª Vara </v>
      </c>
      <c r="B338" s="584" t="s">
        <v>120</v>
      </c>
      <c r="C338" s="584" t="s">
        <v>125</v>
      </c>
      <c r="D338" s="584" t="str">
        <f>'Mapa da Corregedoria'!$A$20</f>
        <v xml:space="preserve">Técnico Judiciário (Á. Administrativa)-inclusas as Especialidades Serviços de Portaria/Telefonia </v>
      </c>
      <c r="E338" s="584">
        <f>'Mapa da Corregedoria'!$T20</f>
        <v>9</v>
      </c>
      <c r="F338" s="584" t="s">
        <v>159</v>
      </c>
      <c r="G338" s="584" t="s">
        <v>1236</v>
      </c>
    </row>
    <row r="339" spans="1:7" ht="14.25" customHeight="1" x14ac:dyDescent="0.25">
      <c r="A339" s="584" t="str">
        <f>'Mapa da Corregedoria'!T$6</f>
        <v xml:space="preserve">32ª Vara </v>
      </c>
      <c r="B339" s="584" t="s">
        <v>120</v>
      </c>
      <c r="C339" s="584" t="s">
        <v>125</v>
      </c>
      <c r="D339" s="584" t="str">
        <f>'Mapa da Corregedoria'!$A$21</f>
        <v>Técnico Judiciário(Á. Apoio Especializado- Informática)</v>
      </c>
      <c r="E339" s="584">
        <f>'Mapa da Corregedoria'!$T21</f>
        <v>0</v>
      </c>
      <c r="F339" s="584" t="s">
        <v>159</v>
      </c>
      <c r="G339" s="584" t="s">
        <v>1236</v>
      </c>
    </row>
    <row r="340" spans="1:7" ht="14.25" customHeight="1" x14ac:dyDescent="0.25">
      <c r="A340" s="584" t="str">
        <f>'Mapa da Corregedoria'!T$6</f>
        <v xml:space="preserve">32ª Vara </v>
      </c>
      <c r="B340" s="584" t="s">
        <v>120</v>
      </c>
      <c r="C340" s="584" t="s">
        <v>125</v>
      </c>
      <c r="D340" s="584" t="str">
        <f>'Mapa da Corregedoria'!$A$24</f>
        <v>Técnico Judiciário (Á. Segurança e Transporte – Agente de Policia Judicial)</v>
      </c>
      <c r="E340" s="584">
        <f>'Mapa da Corregedoria'!$T24</f>
        <v>1</v>
      </c>
      <c r="F340" s="584" t="s">
        <v>159</v>
      </c>
      <c r="G340" s="584" t="s">
        <v>1236</v>
      </c>
    </row>
    <row r="341" spans="1:7" ht="14.25" customHeight="1" x14ac:dyDescent="0.25">
      <c r="A341" s="584" t="str">
        <f>'Mapa da Corregedoria'!T$6</f>
        <v xml:space="preserve">32ª Vara </v>
      </c>
      <c r="B341" s="584" t="s">
        <v>120</v>
      </c>
      <c r="C341" s="584" t="s">
        <v>125</v>
      </c>
      <c r="D341" s="584" t="str">
        <f>'Mapa da Corregedoria'!$A$25</f>
        <v>Auxiliar Judiciário</v>
      </c>
      <c r="E341" s="584">
        <f>'Mapa da Corregedoria'!$T25</f>
        <v>0</v>
      </c>
      <c r="F341" s="584" t="s">
        <v>159</v>
      </c>
      <c r="G341" s="584" t="s">
        <v>1236</v>
      </c>
    </row>
    <row r="342" spans="1:7" ht="14.25" customHeight="1" x14ac:dyDescent="0.25">
      <c r="A342" s="584" t="str">
        <f>'Mapa da Corregedoria'!T$6</f>
        <v xml:space="preserve">32ª Vara </v>
      </c>
      <c r="B342" s="584" t="s">
        <v>120</v>
      </c>
      <c r="C342" s="584" t="s">
        <v>125</v>
      </c>
      <c r="D342" s="584" t="str">
        <f>'Mapa da Corregedoria'!$A$27</f>
        <v>Requisitados</v>
      </c>
      <c r="E342" s="584">
        <f>'Mapa da Corregedoria'!$T27</f>
        <v>0</v>
      </c>
      <c r="F342" s="584" t="str">
        <f>D342</f>
        <v>Requisitados</v>
      </c>
      <c r="G342" s="584" t="s">
        <v>1236</v>
      </c>
    </row>
    <row r="343" spans="1:7" ht="14.25" customHeight="1" x14ac:dyDescent="0.25">
      <c r="A343" s="584" t="str">
        <f>'Mapa da Corregedoria'!T$6</f>
        <v xml:space="preserve">32ª Vara </v>
      </c>
      <c r="B343" s="584" t="s">
        <v>120</v>
      </c>
      <c r="C343" s="584" t="s">
        <v>125</v>
      </c>
      <c r="D343" s="584" t="str">
        <f>'Mapa da Corregedoria'!$A$28</f>
        <v>Exercício Provisório (de outros órgãos)</v>
      </c>
      <c r="E343" s="584">
        <f>'Mapa da Corregedoria'!$T28</f>
        <v>0</v>
      </c>
      <c r="F343" s="584" t="str">
        <f>D343</f>
        <v>Exercício Provisório (de outros órgãos)</v>
      </c>
      <c r="G343" s="584" t="s">
        <v>1236</v>
      </c>
    </row>
    <row r="344" spans="1:7" ht="14.25" customHeight="1" x14ac:dyDescent="0.25">
      <c r="A344" s="584" t="str">
        <f>'Mapa da Corregedoria'!T$6</f>
        <v xml:space="preserve">32ª Vara </v>
      </c>
      <c r="B344" s="584" t="s">
        <v>120</v>
      </c>
      <c r="C344" s="584" t="s">
        <v>125</v>
      </c>
      <c r="D344" s="584" t="str">
        <f>'Mapa da Corregedoria'!$A$29</f>
        <v>Removidos (de outros órgãos)</v>
      </c>
      <c r="E344" s="584">
        <f>'Mapa da Corregedoria'!$T29</f>
        <v>2</v>
      </c>
      <c r="F344" s="584" t="str">
        <f>D344</f>
        <v>Removidos (de outros órgãos)</v>
      </c>
      <c r="G344" s="584" t="s">
        <v>1236</v>
      </c>
    </row>
    <row r="345" spans="1:7" ht="14.25" customHeight="1" x14ac:dyDescent="0.25">
      <c r="A345" s="584" t="str">
        <f>'Mapa da Corregedoria'!T$6</f>
        <v xml:space="preserve">32ª Vara </v>
      </c>
      <c r="B345" s="584" t="s">
        <v>120</v>
      </c>
      <c r="C345" s="584" t="s">
        <v>125</v>
      </c>
      <c r="D345" s="584" t="str">
        <f>'Mapa da Corregedoria'!$A$30</f>
        <v>Sem Vínculo</v>
      </c>
      <c r="E345" s="584">
        <f>'Mapa da Corregedoria'!$T30</f>
        <v>0</v>
      </c>
      <c r="F345" s="584" t="str">
        <f>D345</f>
        <v>Sem Vínculo</v>
      </c>
      <c r="G345" s="584" t="s">
        <v>1236</v>
      </c>
    </row>
    <row r="346" spans="1:7" ht="14.25" customHeight="1" x14ac:dyDescent="0.25">
      <c r="A346" s="584" t="str">
        <f>'Mapa da Corregedoria'!U$6</f>
        <v xml:space="preserve">33ª Vara </v>
      </c>
      <c r="B346" s="584" t="s">
        <v>120</v>
      </c>
      <c r="C346" s="584" t="s">
        <v>126</v>
      </c>
      <c r="D346" s="584" t="str">
        <f>'Mapa da Corregedoria'!$A$8</f>
        <v>Analista Judiciário(Á. Judiciária)</v>
      </c>
      <c r="E346" s="584">
        <f>'Mapa da Corregedoria'!$U8</f>
        <v>3</v>
      </c>
      <c r="F346" s="584" t="s">
        <v>159</v>
      </c>
      <c r="G346" s="584" t="s">
        <v>1236</v>
      </c>
    </row>
    <row r="347" spans="1:7" ht="14.25" customHeight="1" x14ac:dyDescent="0.25">
      <c r="A347" s="584" t="str">
        <f>'Mapa da Corregedoria'!U$6</f>
        <v xml:space="preserve">33ª Vara </v>
      </c>
      <c r="B347" s="584" t="s">
        <v>120</v>
      </c>
      <c r="C347" s="584" t="s">
        <v>126</v>
      </c>
      <c r="D347" s="584" t="str">
        <f>'Mapa da Corregedoria'!$A$9</f>
        <v>Analista Judiciário(Á. Administrativa)</v>
      </c>
      <c r="E347" s="584">
        <f>'Mapa da Corregedoria'!$U9</f>
        <v>0</v>
      </c>
      <c r="F347" s="584" t="s">
        <v>159</v>
      </c>
      <c r="G347" s="584" t="s">
        <v>1236</v>
      </c>
    </row>
    <row r="348" spans="1:7" ht="14.25" customHeight="1" x14ac:dyDescent="0.25">
      <c r="A348" s="584" t="str">
        <f>'Mapa da Corregedoria'!U$6</f>
        <v xml:space="preserve">33ª Vara </v>
      </c>
      <c r="B348" s="584" t="s">
        <v>120</v>
      </c>
      <c r="C348" s="584" t="s">
        <v>126</v>
      </c>
      <c r="D348" s="584" t="str">
        <f>'Mapa da Corregedoria'!$A$10</f>
        <v>Analista Judiciário (Esp.Oficial de Justiça Avaliador Federal)</v>
      </c>
      <c r="E348" s="584">
        <f>'Mapa da Corregedoria'!$U10</f>
        <v>0</v>
      </c>
      <c r="F348" s="584" t="s">
        <v>159</v>
      </c>
      <c r="G348" s="584" t="s">
        <v>1236</v>
      </c>
    </row>
    <row r="349" spans="1:7" ht="14.25" customHeight="1" x14ac:dyDescent="0.25">
      <c r="A349" s="584" t="str">
        <f>'Mapa da Corregedoria'!U$6</f>
        <v xml:space="preserve">33ª Vara </v>
      </c>
      <c r="B349" s="584" t="s">
        <v>120</v>
      </c>
      <c r="C349" s="584" t="s">
        <v>126</v>
      </c>
      <c r="D349" s="584" t="str">
        <f>'Mapa da Corregedoria'!$A$11</f>
        <v>Anal.Jud.(Á. Biblioteconomia)</v>
      </c>
      <c r="E349" s="584">
        <f>'Mapa da Corregedoria'!$U11</f>
        <v>0</v>
      </c>
      <c r="F349" s="584" t="s">
        <v>159</v>
      </c>
      <c r="G349" s="584" t="s">
        <v>1236</v>
      </c>
    </row>
    <row r="350" spans="1:7" ht="14.25" customHeight="1" x14ac:dyDescent="0.25">
      <c r="A350" s="584" t="str">
        <f>'Mapa da Corregedoria'!U$6</f>
        <v xml:space="preserve">33ª Vara </v>
      </c>
      <c r="B350" s="584" t="s">
        <v>120</v>
      </c>
      <c r="C350" s="584" t="s">
        <v>126</v>
      </c>
      <c r="D350" s="584" t="str">
        <f>'Mapa da Corregedoria'!$A$12</f>
        <v>Analista Judiciário(Á. Apoio Especializado-Informática)</v>
      </c>
      <c r="E350" s="584">
        <f>'Mapa da Corregedoria'!$U12</f>
        <v>0</v>
      </c>
      <c r="F350" s="584" t="s">
        <v>159</v>
      </c>
      <c r="G350" s="584" t="s">
        <v>1236</v>
      </c>
    </row>
    <row r="351" spans="1:7" ht="14.25" customHeight="1" x14ac:dyDescent="0.25">
      <c r="A351" s="584" t="str">
        <f>'Mapa da Corregedoria'!U$6</f>
        <v xml:space="preserve">33ª Vara </v>
      </c>
      <c r="B351" s="584" t="s">
        <v>120</v>
      </c>
      <c r="C351" s="584" t="s">
        <v>126</v>
      </c>
      <c r="D351" s="584" t="str">
        <f>'Mapa da Corregedoria'!$A$13</f>
        <v>Analista Judiciário(Á. Apoio Especializado-Informática-Desenvolvimento)</v>
      </c>
      <c r="E351" s="584">
        <f>'Mapa da Corregedoria'!$U13</f>
        <v>0</v>
      </c>
      <c r="F351" s="584" t="s">
        <v>159</v>
      </c>
      <c r="G351" s="584" t="s">
        <v>1236</v>
      </c>
    </row>
    <row r="352" spans="1:7" ht="14.25" customHeight="1" x14ac:dyDescent="0.25">
      <c r="A352" s="584" t="str">
        <f>'Mapa da Corregedoria'!U$6</f>
        <v xml:space="preserve">33ª Vara </v>
      </c>
      <c r="B352" s="584" t="s">
        <v>120</v>
      </c>
      <c r="C352" s="584" t="s">
        <v>126</v>
      </c>
      <c r="D352" s="584" t="str">
        <f>'Mapa da Corregedoria'!$A$14</f>
        <v>Analista Judiciário(Á. Apoio Especializado-Informática-Infraestrutura)</v>
      </c>
      <c r="E352" s="584">
        <f>'Mapa da Corregedoria'!$U14</f>
        <v>0</v>
      </c>
      <c r="F352" s="584" t="s">
        <v>159</v>
      </c>
      <c r="G352" s="584" t="s">
        <v>1236</v>
      </c>
    </row>
    <row r="353" spans="1:7" ht="14.25" customHeight="1" x14ac:dyDescent="0.25">
      <c r="A353" s="584" t="str">
        <f>'Mapa da Corregedoria'!U$6</f>
        <v xml:space="preserve">33ª Vara </v>
      </c>
      <c r="B353" s="584" t="s">
        <v>120</v>
      </c>
      <c r="C353" s="584" t="s">
        <v>126</v>
      </c>
      <c r="D353" s="584" t="str">
        <f>'Mapa da Corregedoria'!$A$15</f>
        <v>Analista Judiciário(Á. Apoio Especializado-Medicina-Cliníca Médica)</v>
      </c>
      <c r="E353" s="584">
        <f>'Mapa da Corregedoria'!$U15</f>
        <v>0</v>
      </c>
      <c r="F353" s="584" t="s">
        <v>159</v>
      </c>
      <c r="G353" s="584" t="s">
        <v>1236</v>
      </c>
    </row>
    <row r="354" spans="1:7" ht="14.25" customHeight="1" x14ac:dyDescent="0.25">
      <c r="A354" s="584" t="str">
        <f>'Mapa da Corregedoria'!U$6</f>
        <v xml:space="preserve">33ª Vara </v>
      </c>
      <c r="B354" s="584" t="s">
        <v>120</v>
      </c>
      <c r="C354" s="584" t="s">
        <v>126</v>
      </c>
      <c r="D354" s="584" t="str">
        <f>'Mapa da Corregedoria'!$A$16</f>
        <v>Analista Judiciário(Á. Apoio Especializado-Contadoria)</v>
      </c>
      <c r="E354" s="584">
        <f>'Mapa da Corregedoria'!$U16</f>
        <v>0</v>
      </c>
      <c r="F354" s="584" t="s">
        <v>159</v>
      </c>
      <c r="G354" s="584" t="s">
        <v>1236</v>
      </c>
    </row>
    <row r="355" spans="1:7" ht="14.25" customHeight="1" x14ac:dyDescent="0.25">
      <c r="A355" s="584" t="str">
        <f>'Mapa da Corregedoria'!U$6</f>
        <v xml:space="preserve">33ª Vara </v>
      </c>
      <c r="B355" s="584" t="s">
        <v>120</v>
      </c>
      <c r="C355" s="584" t="s">
        <v>126</v>
      </c>
      <c r="D355" s="584" t="str">
        <f>'Mapa da Corregedoria'!$A$17</f>
        <v>Analista Judiciário(Á. Apoio Especializado- Engenharia Civil)</v>
      </c>
      <c r="E355" s="584">
        <f>'Mapa da Corregedoria'!$U17</f>
        <v>0</v>
      </c>
      <c r="F355" s="584" t="s">
        <v>159</v>
      </c>
      <c r="G355" s="584" t="s">
        <v>1236</v>
      </c>
    </row>
    <row r="356" spans="1:7" ht="14.25" customHeight="1" x14ac:dyDescent="0.25">
      <c r="A356" s="584" t="str">
        <f>'Mapa da Corregedoria'!U$6</f>
        <v xml:space="preserve">33ª Vara </v>
      </c>
      <c r="B356" s="584" t="s">
        <v>120</v>
      </c>
      <c r="C356" s="584" t="s">
        <v>126</v>
      </c>
      <c r="D356" s="584" t="str">
        <f>'Mapa da Corregedoria'!$A$20</f>
        <v xml:space="preserve">Técnico Judiciário (Á. Administrativa)-inclusas as Especialidades Serviços de Portaria/Telefonia </v>
      </c>
      <c r="E356" s="584">
        <f>'Mapa da Corregedoria'!$U20</f>
        <v>10</v>
      </c>
      <c r="F356" s="584" t="s">
        <v>159</v>
      </c>
      <c r="G356" s="584" t="s">
        <v>1236</v>
      </c>
    </row>
    <row r="357" spans="1:7" ht="14.25" customHeight="1" x14ac:dyDescent="0.25">
      <c r="A357" s="584" t="str">
        <f>'Mapa da Corregedoria'!U$6</f>
        <v xml:space="preserve">33ª Vara </v>
      </c>
      <c r="B357" s="584" t="s">
        <v>120</v>
      </c>
      <c r="C357" s="584" t="s">
        <v>126</v>
      </c>
      <c r="D357" s="584" t="str">
        <f>'Mapa da Corregedoria'!$A$21</f>
        <v>Técnico Judiciário(Á. Apoio Especializado- Informática)</v>
      </c>
      <c r="E357" s="584">
        <f>'Mapa da Corregedoria'!$U21</f>
        <v>0</v>
      </c>
      <c r="F357" s="584" t="s">
        <v>159</v>
      </c>
      <c r="G357" s="584" t="s">
        <v>1236</v>
      </c>
    </row>
    <row r="358" spans="1:7" ht="14.25" customHeight="1" x14ac:dyDescent="0.25">
      <c r="A358" s="584" t="str">
        <f>'Mapa da Corregedoria'!U$6</f>
        <v xml:space="preserve">33ª Vara </v>
      </c>
      <c r="B358" s="584" t="s">
        <v>120</v>
      </c>
      <c r="C358" s="584" t="s">
        <v>126</v>
      </c>
      <c r="D358" s="584" t="str">
        <f>'Mapa da Corregedoria'!$A$24</f>
        <v>Técnico Judiciário (Á. Segurança e Transporte – Agente de Policia Judicial)</v>
      </c>
      <c r="E358" s="584">
        <f>'Mapa da Corregedoria'!$U24</f>
        <v>1</v>
      </c>
      <c r="F358" s="584" t="s">
        <v>159</v>
      </c>
      <c r="G358" s="584" t="s">
        <v>1236</v>
      </c>
    </row>
    <row r="359" spans="1:7" ht="14.25" customHeight="1" x14ac:dyDescent="0.25">
      <c r="A359" s="584" t="str">
        <f>'Mapa da Corregedoria'!U$6</f>
        <v xml:space="preserve">33ª Vara </v>
      </c>
      <c r="B359" s="584" t="s">
        <v>120</v>
      </c>
      <c r="C359" s="584" t="s">
        <v>126</v>
      </c>
      <c r="D359" s="584" t="str">
        <f>'Mapa da Corregedoria'!$A$25</f>
        <v>Auxiliar Judiciário</v>
      </c>
      <c r="E359" s="584">
        <f>'Mapa da Corregedoria'!$U25</f>
        <v>0</v>
      </c>
      <c r="F359" s="584" t="s">
        <v>159</v>
      </c>
      <c r="G359" s="584" t="s">
        <v>1236</v>
      </c>
    </row>
    <row r="360" spans="1:7" ht="14.25" customHeight="1" x14ac:dyDescent="0.25">
      <c r="A360" s="584" t="str">
        <f>'Mapa da Corregedoria'!U$6</f>
        <v xml:space="preserve">33ª Vara </v>
      </c>
      <c r="B360" s="584" t="s">
        <v>120</v>
      </c>
      <c r="C360" s="584" t="s">
        <v>126</v>
      </c>
      <c r="D360" s="584" t="str">
        <f>'Mapa da Corregedoria'!$A$27</f>
        <v>Requisitados</v>
      </c>
      <c r="E360" s="584">
        <f>'Mapa da Corregedoria'!$U27</f>
        <v>1</v>
      </c>
      <c r="F360" s="584" t="str">
        <f>D360</f>
        <v>Requisitados</v>
      </c>
      <c r="G360" s="584" t="s">
        <v>1236</v>
      </c>
    </row>
    <row r="361" spans="1:7" ht="14.25" customHeight="1" x14ac:dyDescent="0.25">
      <c r="A361" s="584" t="str">
        <f>'Mapa da Corregedoria'!U$6</f>
        <v xml:space="preserve">33ª Vara </v>
      </c>
      <c r="B361" s="584" t="s">
        <v>120</v>
      </c>
      <c r="C361" s="584" t="s">
        <v>126</v>
      </c>
      <c r="D361" s="584" t="str">
        <f>'Mapa da Corregedoria'!$A$28</f>
        <v>Exercício Provisório (de outros órgãos)</v>
      </c>
      <c r="E361" s="584">
        <f>'Mapa da Corregedoria'!$U28</f>
        <v>0</v>
      </c>
      <c r="F361" s="584" t="str">
        <f>D361</f>
        <v>Exercício Provisório (de outros órgãos)</v>
      </c>
      <c r="G361" s="584" t="s">
        <v>1236</v>
      </c>
    </row>
    <row r="362" spans="1:7" ht="14.25" customHeight="1" x14ac:dyDescent="0.25">
      <c r="A362" s="584" t="str">
        <f>'Mapa da Corregedoria'!U$6</f>
        <v xml:space="preserve">33ª Vara </v>
      </c>
      <c r="B362" s="584" t="s">
        <v>120</v>
      </c>
      <c r="C362" s="584" t="s">
        <v>126</v>
      </c>
      <c r="D362" s="584" t="str">
        <f>'Mapa da Corregedoria'!$A$29</f>
        <v>Removidos (de outros órgãos)</v>
      </c>
      <c r="E362" s="584">
        <f>'Mapa da Corregedoria'!$U29</f>
        <v>0</v>
      </c>
      <c r="F362" s="584" t="str">
        <f>D362</f>
        <v>Removidos (de outros órgãos)</v>
      </c>
      <c r="G362" s="584" t="s">
        <v>1236</v>
      </c>
    </row>
    <row r="363" spans="1:7" ht="14.25" customHeight="1" x14ac:dyDescent="0.25">
      <c r="A363" s="584" t="str">
        <f>'Mapa da Corregedoria'!U$6</f>
        <v xml:space="preserve">33ª Vara </v>
      </c>
      <c r="B363" s="584" t="s">
        <v>120</v>
      </c>
      <c r="C363" s="584" t="s">
        <v>126</v>
      </c>
      <c r="D363" s="584" t="str">
        <f>'Mapa da Corregedoria'!$A$30</f>
        <v>Sem Vínculo</v>
      </c>
      <c r="E363" s="584">
        <f>'Mapa da Corregedoria'!$U30</f>
        <v>0</v>
      </c>
      <c r="F363" s="584" t="str">
        <f>D363</f>
        <v>Sem Vínculo</v>
      </c>
      <c r="G363" s="584" t="s">
        <v>1236</v>
      </c>
    </row>
    <row r="364" spans="1:7" ht="14.25" customHeight="1" x14ac:dyDescent="0.25">
      <c r="A364" s="584" t="str">
        <f>'Mapa da Corregedoria'!V$6</f>
        <v>Turmas Recursais</v>
      </c>
      <c r="B364" s="584" t="s">
        <v>120</v>
      </c>
      <c r="C364" s="584" t="s">
        <v>127</v>
      </c>
      <c r="D364" s="584" t="str">
        <f>'Mapa da Corregedoria'!$A$8</f>
        <v>Analista Judiciário(Á. Judiciária)</v>
      </c>
      <c r="E364" s="584">
        <f>'Mapa da Corregedoria'!$V8</f>
        <v>11</v>
      </c>
      <c r="F364" s="584" t="s">
        <v>159</v>
      </c>
      <c r="G364" s="584" t="s">
        <v>1236</v>
      </c>
    </row>
    <row r="365" spans="1:7" ht="14.25" customHeight="1" x14ac:dyDescent="0.25">
      <c r="A365" s="584" t="str">
        <f>'Mapa da Corregedoria'!V$6</f>
        <v>Turmas Recursais</v>
      </c>
      <c r="B365" s="584" t="s">
        <v>120</v>
      </c>
      <c r="C365" s="584" t="s">
        <v>127</v>
      </c>
      <c r="D365" s="584" t="str">
        <f>'Mapa da Corregedoria'!$A$9</f>
        <v>Analista Judiciário(Á. Administrativa)</v>
      </c>
      <c r="E365" s="584">
        <f>'Mapa da Corregedoria'!$V9</f>
        <v>2</v>
      </c>
      <c r="F365" s="584" t="s">
        <v>159</v>
      </c>
      <c r="G365" s="584" t="s">
        <v>1236</v>
      </c>
    </row>
    <row r="366" spans="1:7" ht="14.25" customHeight="1" x14ac:dyDescent="0.25">
      <c r="A366" s="584" t="str">
        <f>'Mapa da Corregedoria'!V$6</f>
        <v>Turmas Recursais</v>
      </c>
      <c r="B366" s="584" t="s">
        <v>120</v>
      </c>
      <c r="C366" s="584" t="s">
        <v>127</v>
      </c>
      <c r="D366" s="584" t="str">
        <f>'Mapa da Corregedoria'!$A$10</f>
        <v>Analista Judiciário (Esp.Oficial de Justiça Avaliador Federal)</v>
      </c>
      <c r="E366" s="584">
        <f>'Mapa da Corregedoria'!$V10</f>
        <v>0</v>
      </c>
      <c r="F366" s="584" t="s">
        <v>159</v>
      </c>
      <c r="G366" s="584" t="s">
        <v>1236</v>
      </c>
    </row>
    <row r="367" spans="1:7" ht="14.25" customHeight="1" x14ac:dyDescent="0.25">
      <c r="A367" s="584" t="str">
        <f>'Mapa da Corregedoria'!V$6</f>
        <v>Turmas Recursais</v>
      </c>
      <c r="B367" s="584" t="s">
        <v>120</v>
      </c>
      <c r="C367" s="584" t="s">
        <v>127</v>
      </c>
      <c r="D367" s="584" t="str">
        <f>'Mapa da Corregedoria'!$A$11</f>
        <v>Anal.Jud.(Á. Biblioteconomia)</v>
      </c>
      <c r="E367" s="584">
        <f>'Mapa da Corregedoria'!$V11</f>
        <v>0</v>
      </c>
      <c r="F367" s="584" t="s">
        <v>159</v>
      </c>
      <c r="G367" s="584" t="s">
        <v>1236</v>
      </c>
    </row>
    <row r="368" spans="1:7" ht="14.25" customHeight="1" x14ac:dyDescent="0.25">
      <c r="A368" s="584" t="str">
        <f>'Mapa da Corregedoria'!V$6</f>
        <v>Turmas Recursais</v>
      </c>
      <c r="B368" s="584" t="s">
        <v>120</v>
      </c>
      <c r="C368" s="584" t="s">
        <v>127</v>
      </c>
      <c r="D368" s="584" t="str">
        <f>'Mapa da Corregedoria'!$A$12</f>
        <v>Analista Judiciário(Á. Apoio Especializado-Informática)</v>
      </c>
      <c r="E368" s="584">
        <f>'Mapa da Corregedoria'!$V12</f>
        <v>0</v>
      </c>
      <c r="F368" s="584" t="s">
        <v>159</v>
      </c>
      <c r="G368" s="584" t="s">
        <v>1236</v>
      </c>
    </row>
    <row r="369" spans="1:7" ht="14.25" customHeight="1" x14ac:dyDescent="0.25">
      <c r="A369" s="584" t="str">
        <f>'Mapa da Corregedoria'!V$6</f>
        <v>Turmas Recursais</v>
      </c>
      <c r="B369" s="584" t="s">
        <v>120</v>
      </c>
      <c r="C369" s="584" t="s">
        <v>127</v>
      </c>
      <c r="D369" s="584" t="str">
        <f>'Mapa da Corregedoria'!$A$13</f>
        <v>Analista Judiciário(Á. Apoio Especializado-Informática-Desenvolvimento)</v>
      </c>
      <c r="E369" s="584">
        <f>'Mapa da Corregedoria'!$V13</f>
        <v>0</v>
      </c>
      <c r="F369" s="584" t="s">
        <v>159</v>
      </c>
      <c r="G369" s="584" t="s">
        <v>1236</v>
      </c>
    </row>
    <row r="370" spans="1:7" ht="14.25" customHeight="1" x14ac:dyDescent="0.25">
      <c r="A370" s="584" t="str">
        <f>'Mapa da Corregedoria'!V$6</f>
        <v>Turmas Recursais</v>
      </c>
      <c r="B370" s="584" t="s">
        <v>120</v>
      </c>
      <c r="C370" s="584" t="s">
        <v>127</v>
      </c>
      <c r="D370" s="584" t="str">
        <f>'Mapa da Corregedoria'!$A$14</f>
        <v>Analista Judiciário(Á. Apoio Especializado-Informática-Infraestrutura)</v>
      </c>
      <c r="E370" s="584">
        <f>'Mapa da Corregedoria'!$V14</f>
        <v>0</v>
      </c>
      <c r="F370" s="584" t="s">
        <v>159</v>
      </c>
      <c r="G370" s="584" t="s">
        <v>1236</v>
      </c>
    </row>
    <row r="371" spans="1:7" ht="14.25" customHeight="1" x14ac:dyDescent="0.25">
      <c r="A371" s="584" t="str">
        <f>'Mapa da Corregedoria'!V$6</f>
        <v>Turmas Recursais</v>
      </c>
      <c r="B371" s="584" t="s">
        <v>120</v>
      </c>
      <c r="C371" s="584" t="s">
        <v>127</v>
      </c>
      <c r="D371" s="584" t="str">
        <f>'Mapa da Corregedoria'!$A$15</f>
        <v>Analista Judiciário(Á. Apoio Especializado-Medicina-Cliníca Médica)</v>
      </c>
      <c r="E371" s="584">
        <f>'Mapa da Corregedoria'!$V15</f>
        <v>0</v>
      </c>
      <c r="F371" s="584" t="s">
        <v>159</v>
      </c>
      <c r="G371" s="584" t="s">
        <v>1236</v>
      </c>
    </row>
    <row r="372" spans="1:7" ht="14.25" customHeight="1" x14ac:dyDescent="0.25">
      <c r="A372" s="584" t="str">
        <f>'Mapa da Corregedoria'!V$6</f>
        <v>Turmas Recursais</v>
      </c>
      <c r="B372" s="584" t="s">
        <v>120</v>
      </c>
      <c r="C372" s="584" t="s">
        <v>127</v>
      </c>
      <c r="D372" s="584" t="str">
        <f>'Mapa da Corregedoria'!$A$16</f>
        <v>Analista Judiciário(Á. Apoio Especializado-Contadoria)</v>
      </c>
      <c r="E372" s="584">
        <f>'Mapa da Corregedoria'!$V16</f>
        <v>0</v>
      </c>
      <c r="F372" s="584" t="s">
        <v>159</v>
      </c>
      <c r="G372" s="584" t="s">
        <v>1236</v>
      </c>
    </row>
    <row r="373" spans="1:7" ht="14.25" customHeight="1" x14ac:dyDescent="0.25">
      <c r="A373" s="584" t="str">
        <f>'Mapa da Corregedoria'!V$6</f>
        <v>Turmas Recursais</v>
      </c>
      <c r="B373" s="584" t="s">
        <v>120</v>
      </c>
      <c r="C373" s="584" t="s">
        <v>127</v>
      </c>
      <c r="D373" s="584" t="str">
        <f>'Mapa da Corregedoria'!$A$17</f>
        <v>Analista Judiciário(Á. Apoio Especializado- Engenharia Civil)</v>
      </c>
      <c r="E373" s="584">
        <f>'Mapa da Corregedoria'!$V17</f>
        <v>0</v>
      </c>
      <c r="F373" s="584" t="s">
        <v>159</v>
      </c>
      <c r="G373" s="584" t="s">
        <v>1236</v>
      </c>
    </row>
    <row r="374" spans="1:7" ht="14.25" customHeight="1" x14ac:dyDescent="0.25">
      <c r="A374" s="584" t="str">
        <f>'Mapa da Corregedoria'!V$6</f>
        <v>Turmas Recursais</v>
      </c>
      <c r="B374" s="584" t="s">
        <v>120</v>
      </c>
      <c r="C374" s="584" t="s">
        <v>127</v>
      </c>
      <c r="D374" s="584" t="str">
        <f>'Mapa da Corregedoria'!$A$20</f>
        <v xml:space="preserve">Técnico Judiciário (Á. Administrativa)-inclusas as Especialidades Serviços de Portaria/Telefonia </v>
      </c>
      <c r="E374" s="584">
        <f>'Mapa da Corregedoria'!$V20</f>
        <v>19</v>
      </c>
      <c r="F374" s="584" t="s">
        <v>159</v>
      </c>
      <c r="G374" s="584" t="s">
        <v>1236</v>
      </c>
    </row>
    <row r="375" spans="1:7" ht="14.25" customHeight="1" x14ac:dyDescent="0.25">
      <c r="A375" s="584" t="str">
        <f>'Mapa da Corregedoria'!V$6</f>
        <v>Turmas Recursais</v>
      </c>
      <c r="B375" s="584" t="s">
        <v>120</v>
      </c>
      <c r="C375" s="584" t="s">
        <v>127</v>
      </c>
      <c r="D375" s="584" t="str">
        <f>'Mapa da Corregedoria'!$A$21</f>
        <v>Técnico Judiciário(Á. Apoio Especializado- Informática)</v>
      </c>
      <c r="E375" s="584">
        <f>'Mapa da Corregedoria'!$V21</f>
        <v>0</v>
      </c>
      <c r="F375" s="584" t="s">
        <v>159</v>
      </c>
      <c r="G375" s="584" t="s">
        <v>1236</v>
      </c>
    </row>
    <row r="376" spans="1:7" ht="14.25" customHeight="1" x14ac:dyDescent="0.25">
      <c r="A376" s="584" t="str">
        <f>'Mapa da Corregedoria'!V$6</f>
        <v>Turmas Recursais</v>
      </c>
      <c r="B376" s="584" t="s">
        <v>120</v>
      </c>
      <c r="C376" s="584" t="s">
        <v>127</v>
      </c>
      <c r="D376" s="584" t="str">
        <f>'Mapa da Corregedoria'!$A$24</f>
        <v>Técnico Judiciário (Á. Segurança e Transporte – Agente de Policia Judicial)</v>
      </c>
      <c r="E376" s="584">
        <f>'Mapa da Corregedoria'!$V24</f>
        <v>0</v>
      </c>
      <c r="F376" s="584" t="s">
        <v>159</v>
      </c>
      <c r="G376" s="584" t="s">
        <v>1236</v>
      </c>
    </row>
    <row r="377" spans="1:7" ht="14.25" customHeight="1" x14ac:dyDescent="0.25">
      <c r="A377" s="584" t="str">
        <f>'Mapa da Corregedoria'!V$6</f>
        <v>Turmas Recursais</v>
      </c>
      <c r="B377" s="584" t="s">
        <v>120</v>
      </c>
      <c r="C377" s="584" t="s">
        <v>127</v>
      </c>
      <c r="D377" s="584" t="str">
        <f>'Mapa da Corregedoria'!$A$25</f>
        <v>Auxiliar Judiciário</v>
      </c>
      <c r="E377" s="584">
        <f>'Mapa da Corregedoria'!$V25</f>
        <v>0</v>
      </c>
      <c r="F377" s="584" t="s">
        <v>159</v>
      </c>
      <c r="G377" s="584" t="s">
        <v>1236</v>
      </c>
    </row>
    <row r="378" spans="1:7" ht="14.25" customHeight="1" x14ac:dyDescent="0.25">
      <c r="A378" s="584" t="str">
        <f>'Mapa da Corregedoria'!V$6</f>
        <v>Turmas Recursais</v>
      </c>
      <c r="B378" s="584" t="s">
        <v>120</v>
      </c>
      <c r="C378" s="584" t="s">
        <v>127</v>
      </c>
      <c r="D378" s="584" t="str">
        <f>'Mapa da Corregedoria'!$A$27</f>
        <v>Requisitados</v>
      </c>
      <c r="E378" s="584">
        <f>'Mapa da Corregedoria'!$V27</f>
        <v>0</v>
      </c>
      <c r="F378" s="584" t="str">
        <f>D378</f>
        <v>Requisitados</v>
      </c>
      <c r="G378" s="584" t="s">
        <v>1236</v>
      </c>
    </row>
    <row r="379" spans="1:7" ht="14.25" customHeight="1" x14ac:dyDescent="0.25">
      <c r="A379" s="584" t="str">
        <f>'Mapa da Corregedoria'!V$6</f>
        <v>Turmas Recursais</v>
      </c>
      <c r="B379" s="584" t="s">
        <v>120</v>
      </c>
      <c r="C379" s="584" t="s">
        <v>127</v>
      </c>
      <c r="D379" s="584" t="str">
        <f>'Mapa da Corregedoria'!$A$28</f>
        <v>Exercício Provisório (de outros órgãos)</v>
      </c>
      <c r="E379" s="584">
        <f>'Mapa da Corregedoria'!$V28</f>
        <v>0</v>
      </c>
      <c r="F379" s="584" t="str">
        <f>D379</f>
        <v>Exercício Provisório (de outros órgãos)</v>
      </c>
      <c r="G379" s="584" t="s">
        <v>1236</v>
      </c>
    </row>
    <row r="380" spans="1:7" ht="14.25" customHeight="1" x14ac:dyDescent="0.25">
      <c r="A380" s="584" t="str">
        <f>'Mapa da Corregedoria'!V$6</f>
        <v>Turmas Recursais</v>
      </c>
      <c r="B380" s="584" t="s">
        <v>120</v>
      </c>
      <c r="C380" s="584" t="s">
        <v>127</v>
      </c>
      <c r="D380" s="584" t="str">
        <f>'Mapa da Corregedoria'!$A$29</f>
        <v>Removidos (de outros órgãos)</v>
      </c>
      <c r="E380" s="584">
        <f>'Mapa da Corregedoria'!$V29</f>
        <v>4</v>
      </c>
      <c r="F380" s="584" t="str">
        <f>D380</f>
        <v>Removidos (de outros órgãos)</v>
      </c>
      <c r="G380" s="584" t="s">
        <v>1236</v>
      </c>
    </row>
    <row r="381" spans="1:7" ht="14.25" customHeight="1" x14ac:dyDescent="0.25">
      <c r="A381" s="584" t="str">
        <f>'Mapa da Corregedoria'!V$6</f>
        <v>Turmas Recursais</v>
      </c>
      <c r="B381" s="584" t="s">
        <v>120</v>
      </c>
      <c r="C381" s="584" t="s">
        <v>127</v>
      </c>
      <c r="D381" s="584" t="str">
        <f>'Mapa da Corregedoria'!$A$30</f>
        <v>Sem Vínculo</v>
      </c>
      <c r="E381" s="584">
        <f>'Mapa da Corregedoria'!$V30</f>
        <v>0</v>
      </c>
      <c r="F381" s="584" t="str">
        <f>D381</f>
        <v>Sem Vínculo</v>
      </c>
      <c r="G381" s="584" t="s">
        <v>1236</v>
      </c>
    </row>
    <row r="382" spans="1:7" ht="14.25" customHeight="1" x14ac:dyDescent="0.25">
      <c r="A382" s="584" t="str">
        <f>'Mapa da Corregedoria'!W$6</f>
        <v>Diretoria do Foro</v>
      </c>
      <c r="B382" s="584" t="s">
        <v>1235</v>
      </c>
      <c r="C382" s="584" t="s">
        <v>3572</v>
      </c>
      <c r="D382" s="584" t="str">
        <f>'Mapa da Corregedoria'!$A$8</f>
        <v>Analista Judiciário(Á. Judiciária)</v>
      </c>
      <c r="E382" s="584">
        <f>'Mapa da Corregedoria'!$W8</f>
        <v>5</v>
      </c>
      <c r="F382" s="584" t="s">
        <v>159</v>
      </c>
      <c r="G382" s="584" t="s">
        <v>1236</v>
      </c>
    </row>
    <row r="383" spans="1:7" ht="14.25" customHeight="1" x14ac:dyDescent="0.25">
      <c r="A383" s="584" t="str">
        <f>'Mapa da Corregedoria'!W$6</f>
        <v>Diretoria do Foro</v>
      </c>
      <c r="B383" s="584" t="s">
        <v>1235</v>
      </c>
      <c r="C383" s="584" t="s">
        <v>3572</v>
      </c>
      <c r="D383" s="584" t="str">
        <f>'Mapa da Corregedoria'!$A$9</f>
        <v>Analista Judiciário(Á. Administrativa)</v>
      </c>
      <c r="E383" s="584">
        <f>'Mapa da Corregedoria'!$W9</f>
        <v>0</v>
      </c>
      <c r="F383" s="584" t="s">
        <v>159</v>
      </c>
      <c r="G383" s="584" t="s">
        <v>1236</v>
      </c>
    </row>
    <row r="384" spans="1:7" ht="14.25" customHeight="1" x14ac:dyDescent="0.25">
      <c r="A384" s="584" t="str">
        <f>'Mapa da Corregedoria'!W$6</f>
        <v>Diretoria do Foro</v>
      </c>
      <c r="B384" s="584" t="s">
        <v>1235</v>
      </c>
      <c r="C384" s="584" t="s">
        <v>3572</v>
      </c>
      <c r="D384" s="584" t="str">
        <f>'Mapa da Corregedoria'!$A$10</f>
        <v>Analista Judiciário (Esp.Oficial de Justiça Avaliador Federal)</v>
      </c>
      <c r="E384" s="584">
        <f>'Mapa da Corregedoria'!$W10</f>
        <v>0</v>
      </c>
      <c r="F384" s="584" t="s">
        <v>159</v>
      </c>
      <c r="G384" s="584" t="s">
        <v>1236</v>
      </c>
    </row>
    <row r="385" spans="1:7" ht="14.25" customHeight="1" x14ac:dyDescent="0.25">
      <c r="A385" s="584" t="str">
        <f>'Mapa da Corregedoria'!W$6</f>
        <v>Diretoria do Foro</v>
      </c>
      <c r="B385" s="584" t="s">
        <v>1235</v>
      </c>
      <c r="C385" s="584" t="s">
        <v>3572</v>
      </c>
      <c r="D385" s="584" t="str">
        <f>'Mapa da Corregedoria'!$A$11</f>
        <v>Anal.Jud.(Á. Biblioteconomia)</v>
      </c>
      <c r="E385" s="584">
        <f>'Mapa da Corregedoria'!$W11</f>
        <v>0</v>
      </c>
      <c r="F385" s="584" t="s">
        <v>159</v>
      </c>
      <c r="G385" s="584" t="s">
        <v>1236</v>
      </c>
    </row>
    <row r="386" spans="1:7" ht="14.25" customHeight="1" x14ac:dyDescent="0.25">
      <c r="A386" s="584" t="str">
        <f>'Mapa da Corregedoria'!W$6</f>
        <v>Diretoria do Foro</v>
      </c>
      <c r="B386" s="584" t="s">
        <v>1235</v>
      </c>
      <c r="C386" s="584" t="s">
        <v>3572</v>
      </c>
      <c r="D386" s="584" t="str">
        <f>'Mapa da Corregedoria'!$A$12</f>
        <v>Analista Judiciário(Á. Apoio Especializado-Informática)</v>
      </c>
      <c r="E386" s="584">
        <f>'Mapa da Corregedoria'!$W12</f>
        <v>0</v>
      </c>
      <c r="F386" s="584" t="s">
        <v>159</v>
      </c>
      <c r="G386" s="584" t="s">
        <v>1236</v>
      </c>
    </row>
    <row r="387" spans="1:7" ht="14.25" customHeight="1" x14ac:dyDescent="0.25">
      <c r="A387" s="584" t="str">
        <f>'Mapa da Corregedoria'!W$6</f>
        <v>Diretoria do Foro</v>
      </c>
      <c r="B387" s="584" t="s">
        <v>1235</v>
      </c>
      <c r="C387" s="584" t="s">
        <v>3572</v>
      </c>
      <c r="D387" s="584" t="str">
        <f>'Mapa da Corregedoria'!$A$13</f>
        <v>Analista Judiciário(Á. Apoio Especializado-Informática-Desenvolvimento)</v>
      </c>
      <c r="E387" s="584">
        <f>'Mapa da Corregedoria'!$W13</f>
        <v>0</v>
      </c>
      <c r="F387" s="584" t="s">
        <v>159</v>
      </c>
      <c r="G387" s="584" t="s">
        <v>1236</v>
      </c>
    </row>
    <row r="388" spans="1:7" ht="14.25" customHeight="1" x14ac:dyDescent="0.25">
      <c r="A388" s="584" t="str">
        <f>'Mapa da Corregedoria'!W$6</f>
        <v>Diretoria do Foro</v>
      </c>
      <c r="B388" s="584" t="s">
        <v>1235</v>
      </c>
      <c r="C388" s="584" t="s">
        <v>3572</v>
      </c>
      <c r="D388" s="584" t="str">
        <f>'Mapa da Corregedoria'!$A$14</f>
        <v>Analista Judiciário(Á. Apoio Especializado-Informática-Infraestrutura)</v>
      </c>
      <c r="E388" s="584">
        <f>'Mapa da Corregedoria'!$W14</f>
        <v>0</v>
      </c>
      <c r="F388" s="584" t="s">
        <v>159</v>
      </c>
      <c r="G388" s="584" t="s">
        <v>1236</v>
      </c>
    </row>
    <row r="389" spans="1:7" ht="14.25" customHeight="1" x14ac:dyDescent="0.25">
      <c r="A389" s="584" t="str">
        <f>'Mapa da Corregedoria'!W$6</f>
        <v>Diretoria do Foro</v>
      </c>
      <c r="B389" s="584" t="s">
        <v>1235</v>
      </c>
      <c r="C389" s="584" t="s">
        <v>3572</v>
      </c>
      <c r="D389" s="584" t="str">
        <f>'Mapa da Corregedoria'!$A$15</f>
        <v>Analista Judiciário(Á. Apoio Especializado-Medicina-Cliníca Médica)</v>
      </c>
      <c r="E389" s="584">
        <f>'Mapa da Corregedoria'!$W15</f>
        <v>0</v>
      </c>
      <c r="F389" s="584" t="s">
        <v>159</v>
      </c>
      <c r="G389" s="584" t="s">
        <v>1236</v>
      </c>
    </row>
    <row r="390" spans="1:7" ht="14.25" customHeight="1" x14ac:dyDescent="0.25">
      <c r="A390" s="584" t="str">
        <f>'Mapa da Corregedoria'!W$6</f>
        <v>Diretoria do Foro</v>
      </c>
      <c r="B390" s="584" t="s">
        <v>1235</v>
      </c>
      <c r="C390" s="584" t="s">
        <v>3572</v>
      </c>
      <c r="D390" s="584" t="str">
        <f>'Mapa da Corregedoria'!$A$16</f>
        <v>Analista Judiciário(Á. Apoio Especializado-Contadoria)</v>
      </c>
      <c r="E390" s="584">
        <f>'Mapa da Corregedoria'!$W16</f>
        <v>0</v>
      </c>
      <c r="F390" s="584" t="s">
        <v>159</v>
      </c>
      <c r="G390" s="584" t="s">
        <v>1236</v>
      </c>
    </row>
    <row r="391" spans="1:7" ht="14.25" customHeight="1" x14ac:dyDescent="0.25">
      <c r="A391" s="584" t="str">
        <f>'Mapa da Corregedoria'!W$6</f>
        <v>Diretoria do Foro</v>
      </c>
      <c r="B391" s="584" t="s">
        <v>1235</v>
      </c>
      <c r="C391" s="584" t="s">
        <v>3572</v>
      </c>
      <c r="D391" s="584" t="str">
        <f>'Mapa da Corregedoria'!$A$17</f>
        <v>Analista Judiciário(Á. Apoio Especializado- Engenharia Civil)</v>
      </c>
      <c r="E391" s="584">
        <f>'Mapa da Corregedoria'!$W17</f>
        <v>0</v>
      </c>
      <c r="F391" s="584" t="s">
        <v>159</v>
      </c>
      <c r="G391" s="584" t="s">
        <v>1236</v>
      </c>
    </row>
    <row r="392" spans="1:7" ht="14.25" customHeight="1" x14ac:dyDescent="0.25">
      <c r="A392" s="584" t="str">
        <f>'Mapa da Corregedoria'!W$6</f>
        <v>Diretoria do Foro</v>
      </c>
      <c r="B392" s="584" t="s">
        <v>1235</v>
      </c>
      <c r="C392" s="584" t="s">
        <v>3572</v>
      </c>
      <c r="D392" s="584" t="str">
        <f>'Mapa da Corregedoria'!$A$20</f>
        <v xml:space="preserve">Técnico Judiciário (Á. Administrativa)-inclusas as Especialidades Serviços de Portaria/Telefonia </v>
      </c>
      <c r="E392" s="584">
        <f>'Mapa da Corregedoria'!$W20</f>
        <v>4</v>
      </c>
      <c r="F392" s="584" t="s">
        <v>159</v>
      </c>
      <c r="G392" s="584" t="s">
        <v>1236</v>
      </c>
    </row>
    <row r="393" spans="1:7" ht="14.25" customHeight="1" x14ac:dyDescent="0.25">
      <c r="A393" s="584" t="str">
        <f>'Mapa da Corregedoria'!W$6</f>
        <v>Diretoria do Foro</v>
      </c>
      <c r="B393" s="584" t="s">
        <v>1235</v>
      </c>
      <c r="C393" s="584" t="s">
        <v>3572</v>
      </c>
      <c r="D393" s="584" t="str">
        <f>'Mapa da Corregedoria'!$A$21</f>
        <v>Técnico Judiciário(Á. Apoio Especializado- Informática)</v>
      </c>
      <c r="E393" s="584">
        <f>'Mapa da Corregedoria'!$W21</f>
        <v>0</v>
      </c>
      <c r="F393" s="584" t="s">
        <v>159</v>
      </c>
      <c r="G393" s="584" t="s">
        <v>1236</v>
      </c>
    </row>
    <row r="394" spans="1:7" ht="14.25" customHeight="1" x14ac:dyDescent="0.25">
      <c r="A394" s="584" t="str">
        <f>'Mapa da Corregedoria'!W$6</f>
        <v>Diretoria do Foro</v>
      </c>
      <c r="B394" s="584" t="s">
        <v>1235</v>
      </c>
      <c r="C394" s="584" t="s">
        <v>3572</v>
      </c>
      <c r="D394" s="584" t="str">
        <f>'Mapa da Corregedoria'!$A$24</f>
        <v>Técnico Judiciário (Á. Segurança e Transporte – Agente de Policia Judicial)</v>
      </c>
      <c r="E394" s="584">
        <f>'Mapa da Corregedoria'!$W24</f>
        <v>1</v>
      </c>
      <c r="F394" s="584" t="s">
        <v>159</v>
      </c>
      <c r="G394" s="584" t="s">
        <v>1236</v>
      </c>
    </row>
    <row r="395" spans="1:7" ht="14.25" customHeight="1" x14ac:dyDescent="0.25">
      <c r="A395" s="584" t="str">
        <f>'Mapa da Corregedoria'!W$6</f>
        <v>Diretoria do Foro</v>
      </c>
      <c r="B395" s="584" t="s">
        <v>1235</v>
      </c>
      <c r="C395" s="584" t="s">
        <v>3572</v>
      </c>
      <c r="D395" s="584" t="str">
        <f>'Mapa da Corregedoria'!$A$25</f>
        <v>Auxiliar Judiciário</v>
      </c>
      <c r="E395" s="584">
        <f>'Mapa da Corregedoria'!$W25</f>
        <v>0</v>
      </c>
      <c r="F395" s="584" t="s">
        <v>159</v>
      </c>
      <c r="G395" s="584" t="s">
        <v>1236</v>
      </c>
    </row>
    <row r="396" spans="1:7" ht="14.25" customHeight="1" x14ac:dyDescent="0.25">
      <c r="A396" s="584" t="str">
        <f>'Mapa da Corregedoria'!W$6</f>
        <v>Diretoria do Foro</v>
      </c>
      <c r="B396" s="584" t="s">
        <v>1235</v>
      </c>
      <c r="C396" s="584" t="s">
        <v>3572</v>
      </c>
      <c r="D396" s="584" t="str">
        <f>'Mapa da Corregedoria'!$A$27</f>
        <v>Requisitados</v>
      </c>
      <c r="E396" s="584">
        <f>'Mapa da Corregedoria'!$W27</f>
        <v>4</v>
      </c>
      <c r="F396" s="584" t="str">
        <f>D396</f>
        <v>Requisitados</v>
      </c>
      <c r="G396" s="584" t="s">
        <v>1236</v>
      </c>
    </row>
    <row r="397" spans="1:7" ht="14.25" customHeight="1" x14ac:dyDescent="0.25">
      <c r="A397" s="584" t="str">
        <f>'Mapa da Corregedoria'!W$6</f>
        <v>Diretoria do Foro</v>
      </c>
      <c r="B397" s="584" t="s">
        <v>1235</v>
      </c>
      <c r="C397" s="584" t="s">
        <v>3572</v>
      </c>
      <c r="D397" s="584" t="str">
        <f>'Mapa da Corregedoria'!$A$28</f>
        <v>Exercício Provisório (de outros órgãos)</v>
      </c>
      <c r="E397" s="584">
        <f>'Mapa da Corregedoria'!$W28</f>
        <v>0</v>
      </c>
      <c r="F397" s="584" t="str">
        <f>D397</f>
        <v>Exercício Provisório (de outros órgãos)</v>
      </c>
      <c r="G397" s="584" t="s">
        <v>1236</v>
      </c>
    </row>
    <row r="398" spans="1:7" ht="14.25" customHeight="1" x14ac:dyDescent="0.25">
      <c r="A398" s="584" t="str">
        <f>'Mapa da Corregedoria'!W$6</f>
        <v>Diretoria do Foro</v>
      </c>
      <c r="B398" s="584" t="s">
        <v>1235</v>
      </c>
      <c r="C398" s="584" t="s">
        <v>3572</v>
      </c>
      <c r="D398" s="584" t="str">
        <f>'Mapa da Corregedoria'!$A$29</f>
        <v>Removidos (de outros órgãos)</v>
      </c>
      <c r="E398" s="584">
        <f>'Mapa da Corregedoria'!$W29</f>
        <v>2</v>
      </c>
      <c r="F398" s="584" t="str">
        <f>D398</f>
        <v>Removidos (de outros órgãos)</v>
      </c>
      <c r="G398" s="584" t="s">
        <v>1236</v>
      </c>
    </row>
    <row r="399" spans="1:7" ht="14.25" customHeight="1" x14ac:dyDescent="0.25">
      <c r="A399" s="584" t="str">
        <f>'Mapa da Corregedoria'!W$6</f>
        <v>Diretoria do Foro</v>
      </c>
      <c r="B399" s="584" t="s">
        <v>1235</v>
      </c>
      <c r="C399" s="584" t="s">
        <v>3572</v>
      </c>
      <c r="D399" s="584" t="str">
        <f>'Mapa da Corregedoria'!$A$30</f>
        <v>Sem Vínculo</v>
      </c>
      <c r="E399" s="584">
        <f>'Mapa da Corregedoria'!$W30</f>
        <v>0</v>
      </c>
      <c r="F399" s="584" t="str">
        <f>D399</f>
        <v>Sem Vínculo</v>
      </c>
      <c r="G399" s="584" t="s">
        <v>1236</v>
      </c>
    </row>
    <row r="400" spans="1:7" ht="14.25" customHeight="1" x14ac:dyDescent="0.25">
      <c r="A400" s="584" t="str">
        <f>'Mapa da Corregedoria'!X$6</f>
        <v>Secretaria Administrativa</v>
      </c>
      <c r="B400" s="584" t="s">
        <v>1235</v>
      </c>
      <c r="C400" s="584" t="s">
        <v>3572</v>
      </c>
      <c r="D400" s="584" t="str">
        <f>'Mapa da Corregedoria'!$A$8</f>
        <v>Analista Judiciário(Á. Judiciária)</v>
      </c>
      <c r="E400" s="584">
        <f>'Mapa da Corregedoria'!$X8</f>
        <v>11</v>
      </c>
      <c r="F400" s="584" t="s">
        <v>159</v>
      </c>
      <c r="G400" s="584" t="s">
        <v>1236</v>
      </c>
    </row>
    <row r="401" spans="1:7" ht="14.25" customHeight="1" x14ac:dyDescent="0.25">
      <c r="A401" s="584" t="str">
        <f>'Mapa da Corregedoria'!X$6</f>
        <v>Secretaria Administrativa</v>
      </c>
      <c r="B401" s="584" t="s">
        <v>1235</v>
      </c>
      <c r="C401" s="584" t="s">
        <v>3572</v>
      </c>
      <c r="D401" s="584" t="str">
        <f>'Mapa da Corregedoria'!$A$9</f>
        <v>Analista Judiciário(Á. Administrativa)</v>
      </c>
      <c r="E401" s="584">
        <f>'Mapa da Corregedoria'!$X9</f>
        <v>9</v>
      </c>
      <c r="F401" s="584" t="s">
        <v>159</v>
      </c>
      <c r="G401" s="584" t="s">
        <v>1236</v>
      </c>
    </row>
    <row r="402" spans="1:7" ht="14.25" customHeight="1" x14ac:dyDescent="0.25">
      <c r="A402" s="584" t="str">
        <f>'Mapa da Corregedoria'!X$6</f>
        <v>Secretaria Administrativa</v>
      </c>
      <c r="B402" s="584" t="s">
        <v>1235</v>
      </c>
      <c r="C402" s="584" t="s">
        <v>3572</v>
      </c>
      <c r="D402" s="584" t="str">
        <f>'Mapa da Corregedoria'!$A$10</f>
        <v>Analista Judiciário (Esp.Oficial de Justiça Avaliador Federal)</v>
      </c>
      <c r="E402" s="584">
        <f>'Mapa da Corregedoria'!$X10</f>
        <v>60</v>
      </c>
      <c r="F402" s="584" t="s">
        <v>159</v>
      </c>
      <c r="G402" s="584" t="s">
        <v>1236</v>
      </c>
    </row>
    <row r="403" spans="1:7" ht="14.25" customHeight="1" x14ac:dyDescent="0.25">
      <c r="A403" s="584" t="str">
        <f>'Mapa da Corregedoria'!X$6</f>
        <v>Secretaria Administrativa</v>
      </c>
      <c r="B403" s="584" t="s">
        <v>1235</v>
      </c>
      <c r="C403" s="584" t="s">
        <v>3572</v>
      </c>
      <c r="D403" s="584" t="str">
        <f>'Mapa da Corregedoria'!$A$11</f>
        <v>Anal.Jud.(Á. Biblioteconomia)</v>
      </c>
      <c r="E403" s="584">
        <f>'Mapa da Corregedoria'!$X11</f>
        <v>1</v>
      </c>
      <c r="F403" s="584" t="s">
        <v>159</v>
      </c>
      <c r="G403" s="584" t="s">
        <v>1236</v>
      </c>
    </row>
    <row r="404" spans="1:7" ht="14.25" customHeight="1" x14ac:dyDescent="0.25">
      <c r="A404" s="584" t="str">
        <f>'Mapa da Corregedoria'!X$6</f>
        <v>Secretaria Administrativa</v>
      </c>
      <c r="B404" s="584" t="s">
        <v>1235</v>
      </c>
      <c r="C404" s="584" t="s">
        <v>3572</v>
      </c>
      <c r="D404" s="584" t="str">
        <f>'Mapa da Corregedoria'!$A$12</f>
        <v>Analista Judiciário(Á. Apoio Especializado-Informática)</v>
      </c>
      <c r="E404" s="584">
        <f>'Mapa da Corregedoria'!$X12</f>
        <v>1</v>
      </c>
      <c r="F404" s="584" t="s">
        <v>159</v>
      </c>
      <c r="G404" s="584" t="s">
        <v>1236</v>
      </c>
    </row>
    <row r="405" spans="1:7" ht="14.25" customHeight="1" x14ac:dyDescent="0.25">
      <c r="A405" s="584" t="str">
        <f>'Mapa da Corregedoria'!X$6</f>
        <v>Secretaria Administrativa</v>
      </c>
      <c r="B405" s="584" t="s">
        <v>1235</v>
      </c>
      <c r="C405" s="584" t="s">
        <v>3572</v>
      </c>
      <c r="D405" s="584" t="str">
        <f>'Mapa da Corregedoria'!$A$13</f>
        <v>Analista Judiciário(Á. Apoio Especializado-Informática-Desenvolvimento)</v>
      </c>
      <c r="E405" s="584">
        <f>'Mapa da Corregedoria'!$X13</f>
        <v>2</v>
      </c>
      <c r="F405" s="584" t="s">
        <v>159</v>
      </c>
      <c r="G405" s="584" t="s">
        <v>1236</v>
      </c>
    </row>
    <row r="406" spans="1:7" ht="14.25" customHeight="1" x14ac:dyDescent="0.25">
      <c r="A406" s="584" t="str">
        <f>'Mapa da Corregedoria'!X$6</f>
        <v>Secretaria Administrativa</v>
      </c>
      <c r="B406" s="584" t="s">
        <v>1235</v>
      </c>
      <c r="C406" s="584" t="s">
        <v>3572</v>
      </c>
      <c r="D406" s="584" t="str">
        <f>'Mapa da Corregedoria'!$A$14</f>
        <v>Analista Judiciário(Á. Apoio Especializado-Informática-Infraestrutura)</v>
      </c>
      <c r="E406" s="584">
        <f>'Mapa da Corregedoria'!$X14</f>
        <v>1</v>
      </c>
      <c r="F406" s="584" t="s">
        <v>159</v>
      </c>
      <c r="G406" s="584" t="s">
        <v>1236</v>
      </c>
    </row>
    <row r="407" spans="1:7" ht="14.25" customHeight="1" x14ac:dyDescent="0.25">
      <c r="A407" s="584" t="str">
        <f>'Mapa da Corregedoria'!X$6</f>
        <v>Secretaria Administrativa</v>
      </c>
      <c r="B407" s="584" t="s">
        <v>1235</v>
      </c>
      <c r="C407" s="584" t="s">
        <v>3572</v>
      </c>
      <c r="D407" s="584" t="str">
        <f>'Mapa da Corregedoria'!$A$15</f>
        <v>Analista Judiciário(Á. Apoio Especializado-Medicina-Cliníca Médica)</v>
      </c>
      <c r="E407" s="584">
        <f>'Mapa da Corregedoria'!$X15</f>
        <v>2</v>
      </c>
      <c r="F407" s="584" t="s">
        <v>159</v>
      </c>
      <c r="G407" s="584" t="s">
        <v>1236</v>
      </c>
    </row>
    <row r="408" spans="1:7" ht="14.25" customHeight="1" x14ac:dyDescent="0.25">
      <c r="A408" s="584" t="str">
        <f>'Mapa da Corregedoria'!X$6</f>
        <v>Secretaria Administrativa</v>
      </c>
      <c r="B408" s="584" t="s">
        <v>1235</v>
      </c>
      <c r="C408" s="584" t="s">
        <v>3572</v>
      </c>
      <c r="D408" s="584" t="str">
        <f>'Mapa da Corregedoria'!$A$16</f>
        <v>Analista Judiciário(Á. Apoio Especializado-Contadoria)</v>
      </c>
      <c r="E408" s="584">
        <f>'Mapa da Corregedoria'!$X16</f>
        <v>2</v>
      </c>
      <c r="F408" s="584" t="s">
        <v>159</v>
      </c>
      <c r="G408" s="584" t="s">
        <v>1236</v>
      </c>
    </row>
    <row r="409" spans="1:7" ht="14.25" customHeight="1" x14ac:dyDescent="0.25">
      <c r="A409" s="584" t="str">
        <f>'Mapa da Corregedoria'!X$6</f>
        <v>Secretaria Administrativa</v>
      </c>
      <c r="B409" s="584" t="s">
        <v>1235</v>
      </c>
      <c r="C409" s="584" t="s">
        <v>3572</v>
      </c>
      <c r="D409" s="584" t="str">
        <f>'Mapa da Corregedoria'!$A$17</f>
        <v>Analista Judiciário(Á. Apoio Especializado- Engenharia Civil)</v>
      </c>
      <c r="E409" s="584">
        <f>'Mapa da Corregedoria'!$X17</f>
        <v>1</v>
      </c>
      <c r="F409" s="584" t="s">
        <v>159</v>
      </c>
      <c r="G409" s="584" t="s">
        <v>1236</v>
      </c>
    </row>
    <row r="410" spans="1:7" ht="14.25" customHeight="1" x14ac:dyDescent="0.25">
      <c r="A410" s="584" t="str">
        <f>'Mapa da Corregedoria'!X$6</f>
        <v>Secretaria Administrativa</v>
      </c>
      <c r="B410" s="584" t="s">
        <v>1235</v>
      </c>
      <c r="C410" s="584" t="s">
        <v>3572</v>
      </c>
      <c r="D410" s="584" t="str">
        <f>'Mapa da Corregedoria'!$A$20</f>
        <v xml:space="preserve">Técnico Judiciário (Á. Administrativa)-inclusas as Especialidades Serviços de Portaria/Telefonia </v>
      </c>
      <c r="E410" s="584">
        <f>'Mapa da Corregedoria'!$X20</f>
        <v>57</v>
      </c>
      <c r="F410" s="584" t="s">
        <v>159</v>
      </c>
      <c r="G410" s="584" t="s">
        <v>1236</v>
      </c>
    </row>
    <row r="411" spans="1:7" ht="14.25" customHeight="1" x14ac:dyDescent="0.25">
      <c r="A411" s="584" t="str">
        <f>'Mapa da Corregedoria'!X$6</f>
        <v>Secretaria Administrativa</v>
      </c>
      <c r="B411" s="584" t="s">
        <v>1235</v>
      </c>
      <c r="C411" s="584" t="s">
        <v>3572</v>
      </c>
      <c r="D411" s="584" t="str">
        <f>'Mapa da Corregedoria'!$A$21</f>
        <v>Técnico Judiciário(Á. Apoio Especializado- Informática)</v>
      </c>
      <c r="E411" s="584">
        <f>'Mapa da Corregedoria'!$X21</f>
        <v>1</v>
      </c>
      <c r="F411" s="584" t="s">
        <v>159</v>
      </c>
      <c r="G411" s="584" t="s">
        <v>1236</v>
      </c>
    </row>
    <row r="412" spans="1:7" ht="14.25" customHeight="1" x14ac:dyDescent="0.25">
      <c r="A412" s="584" t="str">
        <f>'Mapa da Corregedoria'!X$6</f>
        <v>Secretaria Administrativa</v>
      </c>
      <c r="B412" s="584" t="s">
        <v>1235</v>
      </c>
      <c r="C412" s="584" t="s">
        <v>3572</v>
      </c>
      <c r="D412" s="584" t="str">
        <f>'Mapa da Corregedoria'!$A$24</f>
        <v>Técnico Judiciário (Á. Segurança e Transporte – Agente de Policia Judicial)</v>
      </c>
      <c r="E412" s="584">
        <f>'Mapa da Corregedoria'!$X24</f>
        <v>33</v>
      </c>
      <c r="F412" s="584" t="s">
        <v>159</v>
      </c>
      <c r="G412" s="584" t="s">
        <v>1236</v>
      </c>
    </row>
    <row r="413" spans="1:7" ht="14.25" customHeight="1" x14ac:dyDescent="0.25">
      <c r="A413" s="584" t="str">
        <f>'Mapa da Corregedoria'!X$6</f>
        <v>Secretaria Administrativa</v>
      </c>
      <c r="B413" s="584" t="s">
        <v>1235</v>
      </c>
      <c r="C413" s="584" t="s">
        <v>3572</v>
      </c>
      <c r="D413" s="584" t="str">
        <f>'Mapa da Corregedoria'!$A$25</f>
        <v>Auxiliar Judiciário</v>
      </c>
      <c r="E413" s="584">
        <f>'Mapa da Corregedoria'!$X25</f>
        <v>0</v>
      </c>
      <c r="F413" s="584" t="s">
        <v>159</v>
      </c>
      <c r="G413" s="584" t="s">
        <v>1236</v>
      </c>
    </row>
    <row r="414" spans="1:7" ht="14.25" customHeight="1" x14ac:dyDescent="0.25">
      <c r="A414" s="584" t="str">
        <f>'Mapa da Corregedoria'!X$6</f>
        <v>Secretaria Administrativa</v>
      </c>
      <c r="B414" s="584" t="s">
        <v>1235</v>
      </c>
      <c r="C414" s="584" t="s">
        <v>3572</v>
      </c>
      <c r="D414" s="584" t="str">
        <f>'Mapa da Corregedoria'!$A$27</f>
        <v>Requisitados</v>
      </c>
      <c r="E414" s="584">
        <f>'Mapa da Corregedoria'!$X27</f>
        <v>23</v>
      </c>
      <c r="F414" s="584" t="str">
        <f>D414</f>
        <v>Requisitados</v>
      </c>
      <c r="G414" s="584" t="s">
        <v>1236</v>
      </c>
    </row>
    <row r="415" spans="1:7" ht="14.25" customHeight="1" x14ac:dyDescent="0.25">
      <c r="A415" s="584" t="str">
        <f>'Mapa da Corregedoria'!X$6</f>
        <v>Secretaria Administrativa</v>
      </c>
      <c r="B415" s="584" t="s">
        <v>1235</v>
      </c>
      <c r="C415" s="584" t="s">
        <v>3572</v>
      </c>
      <c r="D415" s="584" t="str">
        <f>'Mapa da Corregedoria'!$A$28</f>
        <v>Exercício Provisório (de outros órgãos)</v>
      </c>
      <c r="E415" s="584">
        <f>'Mapa da Corregedoria'!$X28</f>
        <v>3</v>
      </c>
      <c r="F415" s="584" t="str">
        <f>D415</f>
        <v>Exercício Provisório (de outros órgãos)</v>
      </c>
      <c r="G415" s="584" t="s">
        <v>1236</v>
      </c>
    </row>
    <row r="416" spans="1:7" ht="14.25" customHeight="1" x14ac:dyDescent="0.25">
      <c r="A416" s="584" t="str">
        <f>'Mapa da Corregedoria'!X$6</f>
        <v>Secretaria Administrativa</v>
      </c>
      <c r="B416" s="584" t="s">
        <v>1235</v>
      </c>
      <c r="C416" s="584" t="s">
        <v>3572</v>
      </c>
      <c r="D416" s="584" t="str">
        <f>'Mapa da Corregedoria'!$A$29</f>
        <v>Removidos (de outros órgãos)</v>
      </c>
      <c r="E416" s="584">
        <f>'Mapa da Corregedoria'!$X29</f>
        <v>16</v>
      </c>
      <c r="F416" s="584" t="str">
        <f>D416</f>
        <v>Removidos (de outros órgãos)</v>
      </c>
      <c r="G416" s="584" t="s">
        <v>1236</v>
      </c>
    </row>
    <row r="417" spans="1:7" ht="14.25" customHeight="1" x14ac:dyDescent="0.25">
      <c r="A417" s="584" t="str">
        <f>'Mapa da Corregedoria'!X$6</f>
        <v>Secretaria Administrativa</v>
      </c>
      <c r="B417" s="584" t="s">
        <v>1235</v>
      </c>
      <c r="C417" s="584" t="s">
        <v>3572</v>
      </c>
      <c r="D417" s="584" t="str">
        <f>'Mapa da Corregedoria'!$A$30</f>
        <v>Sem Vínculo</v>
      </c>
      <c r="E417" s="584">
        <f>'Mapa da Corregedoria'!$X30</f>
        <v>0</v>
      </c>
      <c r="F417" s="584" t="str">
        <f>D417</f>
        <v>Sem Vínculo</v>
      </c>
      <c r="G417" s="584" t="s">
        <v>1236</v>
      </c>
    </row>
    <row r="418" spans="1:7" ht="14.25" customHeight="1" x14ac:dyDescent="0.25">
      <c r="A418" s="584" t="str">
        <f>'Mapa da Corregedoria'!Z$6</f>
        <v>15ª Vara</v>
      </c>
      <c r="B418" s="584" t="s">
        <v>120</v>
      </c>
      <c r="C418" s="584" t="s">
        <v>124</v>
      </c>
      <c r="D418" s="584" t="str">
        <f>'Mapa da Corregedoria'!$A$8</f>
        <v>Analista Judiciário(Á. Judiciária)</v>
      </c>
      <c r="E418" s="584">
        <f>'Mapa da Corregedoria'!$Z8</f>
        <v>5</v>
      </c>
      <c r="F418" s="584" t="s">
        <v>159</v>
      </c>
      <c r="G418" s="584" t="s">
        <v>1411</v>
      </c>
    </row>
    <row r="419" spans="1:7" ht="14.25" customHeight="1" x14ac:dyDescent="0.25">
      <c r="A419" s="584" t="str">
        <f>'Mapa da Corregedoria'!Z$6</f>
        <v>15ª Vara</v>
      </c>
      <c r="B419" s="584" t="s">
        <v>120</v>
      </c>
      <c r="C419" s="584" t="s">
        <v>124</v>
      </c>
      <c r="D419" s="584" t="str">
        <f>'Mapa da Corregedoria'!$A$9</f>
        <v>Analista Judiciário(Á. Administrativa)</v>
      </c>
      <c r="E419" s="584">
        <f>'Mapa da Corregedoria'!$Z9</f>
        <v>1</v>
      </c>
      <c r="F419" s="584" t="s">
        <v>159</v>
      </c>
      <c r="G419" s="584" t="s">
        <v>1411</v>
      </c>
    </row>
    <row r="420" spans="1:7" ht="14.25" customHeight="1" x14ac:dyDescent="0.25">
      <c r="A420" s="584" t="str">
        <f>'Mapa da Corregedoria'!Z$6</f>
        <v>15ª Vara</v>
      </c>
      <c r="B420" s="584" t="s">
        <v>120</v>
      </c>
      <c r="C420" s="584" t="s">
        <v>124</v>
      </c>
      <c r="D420" s="584" t="str">
        <f>'Mapa da Corregedoria'!$A$10</f>
        <v>Analista Judiciário (Esp.Oficial de Justiça Avaliador Federal)</v>
      </c>
      <c r="E420" s="584">
        <f>'Mapa da Corregedoria'!$Z10</f>
        <v>2</v>
      </c>
      <c r="F420" s="584" t="s">
        <v>159</v>
      </c>
      <c r="G420" s="584" t="s">
        <v>1411</v>
      </c>
    </row>
    <row r="421" spans="1:7" ht="14.25" customHeight="1" x14ac:dyDescent="0.25">
      <c r="A421" s="584" t="str">
        <f>'Mapa da Corregedoria'!Z$6</f>
        <v>15ª Vara</v>
      </c>
      <c r="B421" s="584" t="s">
        <v>120</v>
      </c>
      <c r="C421" s="584" t="s">
        <v>124</v>
      </c>
      <c r="D421" s="584" t="str">
        <f>'Mapa da Corregedoria'!$A$11</f>
        <v>Anal.Jud.(Á. Biblioteconomia)</v>
      </c>
      <c r="E421" s="584">
        <f>'Mapa da Corregedoria'!$Z11</f>
        <v>0</v>
      </c>
      <c r="F421" s="584" t="s">
        <v>159</v>
      </c>
      <c r="G421" s="584" t="s">
        <v>1411</v>
      </c>
    </row>
    <row r="422" spans="1:7" ht="14.25" customHeight="1" x14ac:dyDescent="0.25">
      <c r="A422" s="584" t="str">
        <f>'Mapa da Corregedoria'!Z$6</f>
        <v>15ª Vara</v>
      </c>
      <c r="B422" s="584" t="s">
        <v>120</v>
      </c>
      <c r="C422" s="584" t="s">
        <v>124</v>
      </c>
      <c r="D422" s="584" t="str">
        <f>'Mapa da Corregedoria'!$A$12</f>
        <v>Analista Judiciário(Á. Apoio Especializado-Informática)</v>
      </c>
      <c r="E422" s="584">
        <f>'Mapa da Corregedoria'!$Z12</f>
        <v>0</v>
      </c>
      <c r="F422" s="584" t="s">
        <v>159</v>
      </c>
      <c r="G422" s="584" t="s">
        <v>1411</v>
      </c>
    </row>
    <row r="423" spans="1:7" ht="14.25" customHeight="1" x14ac:dyDescent="0.25">
      <c r="A423" s="584" t="str">
        <f>'Mapa da Corregedoria'!Z$6</f>
        <v>15ª Vara</v>
      </c>
      <c r="B423" s="584" t="s">
        <v>120</v>
      </c>
      <c r="C423" s="584" t="s">
        <v>124</v>
      </c>
      <c r="D423" s="584" t="str">
        <f>'Mapa da Corregedoria'!$A$13</f>
        <v>Analista Judiciário(Á. Apoio Especializado-Informática-Desenvolvimento)</v>
      </c>
      <c r="E423" s="584">
        <f>'Mapa da Corregedoria'!$Z13</f>
        <v>0</v>
      </c>
      <c r="F423" s="584" t="s">
        <v>159</v>
      </c>
      <c r="G423" s="584" t="s">
        <v>1411</v>
      </c>
    </row>
    <row r="424" spans="1:7" ht="14.25" customHeight="1" x14ac:dyDescent="0.25">
      <c r="A424" s="584" t="str">
        <f>'Mapa da Corregedoria'!Z$6</f>
        <v>15ª Vara</v>
      </c>
      <c r="B424" s="584" t="s">
        <v>120</v>
      </c>
      <c r="C424" s="584" t="s">
        <v>124</v>
      </c>
      <c r="D424" s="584" t="str">
        <f>'Mapa da Corregedoria'!$A$14</f>
        <v>Analista Judiciário(Á. Apoio Especializado-Informática-Infraestrutura)</v>
      </c>
      <c r="E424" s="584">
        <f>'Mapa da Corregedoria'!$Z14</f>
        <v>0</v>
      </c>
      <c r="F424" s="584" t="s">
        <v>159</v>
      </c>
      <c r="G424" s="584" t="s">
        <v>1411</v>
      </c>
    </row>
    <row r="425" spans="1:7" ht="14.25" customHeight="1" x14ac:dyDescent="0.25">
      <c r="A425" s="584" t="str">
        <f>'Mapa da Corregedoria'!Z$6</f>
        <v>15ª Vara</v>
      </c>
      <c r="B425" s="584" t="s">
        <v>120</v>
      </c>
      <c r="C425" s="584" t="s">
        <v>124</v>
      </c>
      <c r="D425" s="584" t="str">
        <f>'Mapa da Corregedoria'!$A$15</f>
        <v>Analista Judiciário(Á. Apoio Especializado-Medicina-Cliníca Médica)</v>
      </c>
      <c r="E425" s="584">
        <f>'Mapa da Corregedoria'!$Z15</f>
        <v>0</v>
      </c>
      <c r="F425" s="584" t="s">
        <v>159</v>
      </c>
      <c r="G425" s="584" t="s">
        <v>1411</v>
      </c>
    </row>
    <row r="426" spans="1:7" ht="14.25" customHeight="1" x14ac:dyDescent="0.25">
      <c r="A426" s="584" t="str">
        <f>'Mapa da Corregedoria'!Z$6</f>
        <v>15ª Vara</v>
      </c>
      <c r="B426" s="584" t="s">
        <v>120</v>
      </c>
      <c r="C426" s="584" t="s">
        <v>124</v>
      </c>
      <c r="D426" s="584" t="str">
        <f>'Mapa da Corregedoria'!$A$16</f>
        <v>Analista Judiciário(Á. Apoio Especializado-Contadoria)</v>
      </c>
      <c r="E426" s="584">
        <f>'Mapa da Corregedoria'!$Z16</f>
        <v>0</v>
      </c>
      <c r="F426" s="584" t="s">
        <v>159</v>
      </c>
      <c r="G426" s="584" t="s">
        <v>1411</v>
      </c>
    </row>
    <row r="427" spans="1:7" ht="14.25" customHeight="1" x14ac:dyDescent="0.25">
      <c r="A427" s="584" t="str">
        <f>'Mapa da Corregedoria'!Z$6</f>
        <v>15ª Vara</v>
      </c>
      <c r="B427" s="584" t="s">
        <v>120</v>
      </c>
      <c r="C427" s="584" t="s">
        <v>124</v>
      </c>
      <c r="D427" s="584" t="str">
        <f>'Mapa da Corregedoria'!$A$17</f>
        <v>Analista Judiciário(Á. Apoio Especializado- Engenharia Civil)</v>
      </c>
      <c r="E427" s="584">
        <f>'Mapa da Corregedoria'!$Z17</f>
        <v>0</v>
      </c>
      <c r="F427" s="584" t="s">
        <v>159</v>
      </c>
      <c r="G427" s="584" t="s">
        <v>1411</v>
      </c>
    </row>
    <row r="428" spans="1:7" ht="14.25" customHeight="1" x14ac:dyDescent="0.25">
      <c r="A428" s="584" t="str">
        <f>'Mapa da Corregedoria'!Z$6</f>
        <v>15ª Vara</v>
      </c>
      <c r="B428" s="584" t="s">
        <v>120</v>
      </c>
      <c r="C428" s="584" t="s">
        <v>124</v>
      </c>
      <c r="D428" s="584" t="str">
        <f>'Mapa da Corregedoria'!$A$20</f>
        <v xml:space="preserve">Técnico Judiciário (Á. Administrativa)-inclusas as Especialidades Serviços de Portaria/Telefonia </v>
      </c>
      <c r="E428" s="584">
        <f>'Mapa da Corregedoria'!$Z20</f>
        <v>7</v>
      </c>
      <c r="F428" s="584" t="s">
        <v>159</v>
      </c>
      <c r="G428" s="584" t="s">
        <v>1411</v>
      </c>
    </row>
    <row r="429" spans="1:7" ht="14.25" customHeight="1" x14ac:dyDescent="0.25">
      <c r="A429" s="584" t="str">
        <f>'Mapa da Corregedoria'!Z$6</f>
        <v>15ª Vara</v>
      </c>
      <c r="B429" s="584" t="s">
        <v>120</v>
      </c>
      <c r="C429" s="584" t="s">
        <v>124</v>
      </c>
      <c r="D429" s="584" t="str">
        <f>'Mapa da Corregedoria'!$A$21</f>
        <v>Técnico Judiciário(Á. Apoio Especializado- Informática)</v>
      </c>
      <c r="E429" s="584">
        <f>'Mapa da Corregedoria'!$Z21</f>
        <v>0</v>
      </c>
      <c r="F429" s="584" t="s">
        <v>159</v>
      </c>
      <c r="G429" s="584" t="s">
        <v>1411</v>
      </c>
    </row>
    <row r="430" spans="1:7" ht="14.25" customHeight="1" x14ac:dyDescent="0.25">
      <c r="A430" s="584" t="str">
        <f>'Mapa da Corregedoria'!Z$6</f>
        <v>15ª Vara</v>
      </c>
      <c r="B430" s="584" t="s">
        <v>120</v>
      </c>
      <c r="C430" s="584" t="s">
        <v>124</v>
      </c>
      <c r="D430" s="584" t="str">
        <f>'Mapa da Corregedoria'!$A$24</f>
        <v>Técnico Judiciário (Á. Segurança e Transporte – Agente de Policia Judicial)</v>
      </c>
      <c r="E430" s="584">
        <f>'Mapa da Corregedoria'!$Z24</f>
        <v>2</v>
      </c>
      <c r="F430" s="584" t="s">
        <v>159</v>
      </c>
      <c r="G430" s="584" t="s">
        <v>1411</v>
      </c>
    </row>
    <row r="431" spans="1:7" ht="14.25" customHeight="1" x14ac:dyDescent="0.25">
      <c r="A431" s="584" t="str">
        <f>'Mapa da Corregedoria'!Z$6</f>
        <v>15ª Vara</v>
      </c>
      <c r="B431" s="584" t="s">
        <v>120</v>
      </c>
      <c r="C431" s="584" t="s">
        <v>124</v>
      </c>
      <c r="D431" s="584" t="str">
        <f>'Mapa da Corregedoria'!$A$25</f>
        <v>Auxiliar Judiciário</v>
      </c>
      <c r="E431" s="584">
        <f>'Mapa da Corregedoria'!$Z25</f>
        <v>0</v>
      </c>
      <c r="F431" s="584" t="s">
        <v>159</v>
      </c>
      <c r="G431" s="584" t="s">
        <v>1411</v>
      </c>
    </row>
    <row r="432" spans="1:7" ht="14.25" customHeight="1" x14ac:dyDescent="0.25">
      <c r="A432" s="584" t="str">
        <f>'Mapa da Corregedoria'!Z$6</f>
        <v>15ª Vara</v>
      </c>
      <c r="B432" s="584" t="s">
        <v>120</v>
      </c>
      <c r="C432" s="584" t="s">
        <v>124</v>
      </c>
      <c r="D432" s="584" t="str">
        <f>'Mapa da Corregedoria'!$A$27</f>
        <v>Requisitados</v>
      </c>
      <c r="E432" s="584">
        <f>'Mapa da Corregedoria'!$Z27</f>
        <v>1</v>
      </c>
      <c r="F432" s="584" t="str">
        <f>D432</f>
        <v>Requisitados</v>
      </c>
      <c r="G432" s="584" t="s">
        <v>1411</v>
      </c>
    </row>
    <row r="433" spans="1:7" ht="14.25" customHeight="1" x14ac:dyDescent="0.25">
      <c r="A433" s="584" t="str">
        <f>'Mapa da Corregedoria'!Z$6</f>
        <v>15ª Vara</v>
      </c>
      <c r="B433" s="584" t="s">
        <v>120</v>
      </c>
      <c r="C433" s="584" t="s">
        <v>124</v>
      </c>
      <c r="D433" s="584" t="str">
        <f>'Mapa da Corregedoria'!$A$28</f>
        <v>Exercício Provisório (de outros órgãos)</v>
      </c>
      <c r="E433" s="584">
        <f>'Mapa da Corregedoria'!$Z28</f>
        <v>0</v>
      </c>
      <c r="F433" s="584" t="str">
        <f>D433</f>
        <v>Exercício Provisório (de outros órgãos)</v>
      </c>
      <c r="G433" s="584" t="s">
        <v>1411</v>
      </c>
    </row>
    <row r="434" spans="1:7" ht="14.25" customHeight="1" x14ac:dyDescent="0.25">
      <c r="A434" s="584" t="str">
        <f>'Mapa da Corregedoria'!Z$6</f>
        <v>15ª Vara</v>
      </c>
      <c r="B434" s="584" t="s">
        <v>120</v>
      </c>
      <c r="C434" s="584" t="s">
        <v>124</v>
      </c>
      <c r="D434" s="584" t="str">
        <f>'Mapa da Corregedoria'!$A$29</f>
        <v>Removidos (de outros órgãos)</v>
      </c>
      <c r="E434" s="584">
        <f>'Mapa da Corregedoria'!$Z29</f>
        <v>0</v>
      </c>
      <c r="F434" s="584" t="str">
        <f>D434</f>
        <v>Removidos (de outros órgãos)</v>
      </c>
      <c r="G434" s="584" t="s">
        <v>1411</v>
      </c>
    </row>
    <row r="435" spans="1:7" ht="14.25" customHeight="1" x14ac:dyDescent="0.25">
      <c r="A435" s="584" t="str">
        <f>'Mapa da Corregedoria'!Z$6</f>
        <v>15ª Vara</v>
      </c>
      <c r="B435" s="584" t="s">
        <v>120</v>
      </c>
      <c r="C435" s="584" t="s">
        <v>124</v>
      </c>
      <c r="D435" s="584" t="str">
        <f>'Mapa da Corregedoria'!$A$30</f>
        <v>Sem Vínculo</v>
      </c>
      <c r="E435" s="584">
        <f>'Mapa da Corregedoria'!$Z30</f>
        <v>1</v>
      </c>
      <c r="F435" s="584" t="str">
        <f>D435</f>
        <v>Sem Vínculo</v>
      </c>
      <c r="G435" s="584" t="s">
        <v>1411</v>
      </c>
    </row>
    <row r="436" spans="1:7" ht="14.25" customHeight="1" x14ac:dyDescent="0.25">
      <c r="A436" s="584" t="str">
        <f>'Mapa da Corregedoria'!AA$6</f>
        <v>29ª Vara</v>
      </c>
      <c r="B436" s="584" t="s">
        <v>120</v>
      </c>
      <c r="C436" s="584" t="s">
        <v>127</v>
      </c>
      <c r="D436" s="584" t="str">
        <f>'Mapa da Corregedoria'!$A$8</f>
        <v>Analista Judiciário(Á. Judiciária)</v>
      </c>
      <c r="E436" s="584">
        <f>'Mapa da Corregedoria'!$AA8</f>
        <v>4</v>
      </c>
      <c r="F436" s="584" t="s">
        <v>159</v>
      </c>
      <c r="G436" s="584" t="s">
        <v>1411</v>
      </c>
    </row>
    <row r="437" spans="1:7" ht="14.25" customHeight="1" x14ac:dyDescent="0.25">
      <c r="A437" s="584" t="str">
        <f>'Mapa da Corregedoria'!AA$6</f>
        <v>29ª Vara</v>
      </c>
      <c r="B437" s="584" t="s">
        <v>120</v>
      </c>
      <c r="C437" s="584" t="s">
        <v>127</v>
      </c>
      <c r="D437" s="584" t="str">
        <f>'Mapa da Corregedoria'!$A$9</f>
        <v>Analista Judiciário(Á. Administrativa)</v>
      </c>
      <c r="E437" s="584">
        <f>'Mapa da Corregedoria'!$AA9</f>
        <v>1</v>
      </c>
      <c r="F437" s="584" t="s">
        <v>159</v>
      </c>
      <c r="G437" s="584" t="s">
        <v>1411</v>
      </c>
    </row>
    <row r="438" spans="1:7" ht="14.25" customHeight="1" x14ac:dyDescent="0.25">
      <c r="A438" s="584" t="str">
        <f>'Mapa da Corregedoria'!AA$6</f>
        <v>29ª Vara</v>
      </c>
      <c r="B438" s="584" t="s">
        <v>120</v>
      </c>
      <c r="C438" s="584" t="s">
        <v>127</v>
      </c>
      <c r="D438" s="584" t="str">
        <f>'Mapa da Corregedoria'!$A$10</f>
        <v>Analista Judiciário (Esp.Oficial de Justiça Avaliador Federal)</v>
      </c>
      <c r="E438" s="584">
        <f>'Mapa da Corregedoria'!$AA10</f>
        <v>2</v>
      </c>
      <c r="F438" s="584" t="s">
        <v>159</v>
      </c>
      <c r="G438" s="584" t="s">
        <v>1411</v>
      </c>
    </row>
    <row r="439" spans="1:7" ht="14.25" customHeight="1" x14ac:dyDescent="0.25">
      <c r="A439" s="584" t="str">
        <f>'Mapa da Corregedoria'!AA$6</f>
        <v>29ª Vara</v>
      </c>
      <c r="B439" s="584" t="s">
        <v>120</v>
      </c>
      <c r="C439" s="584" t="s">
        <v>127</v>
      </c>
      <c r="D439" s="584" t="str">
        <f>'Mapa da Corregedoria'!$A$11</f>
        <v>Anal.Jud.(Á. Biblioteconomia)</v>
      </c>
      <c r="E439" s="584">
        <f>'Mapa da Corregedoria'!$AA11</f>
        <v>0</v>
      </c>
      <c r="F439" s="584" t="s">
        <v>159</v>
      </c>
      <c r="G439" s="584" t="s">
        <v>1411</v>
      </c>
    </row>
    <row r="440" spans="1:7" ht="14.25" customHeight="1" x14ac:dyDescent="0.25">
      <c r="A440" s="584" t="str">
        <f>'Mapa da Corregedoria'!AA$6</f>
        <v>29ª Vara</v>
      </c>
      <c r="B440" s="584" t="s">
        <v>120</v>
      </c>
      <c r="C440" s="584" t="s">
        <v>127</v>
      </c>
      <c r="D440" s="584" t="str">
        <f>'Mapa da Corregedoria'!$A$12</f>
        <v>Analista Judiciário(Á. Apoio Especializado-Informática)</v>
      </c>
      <c r="E440" s="584">
        <f>'Mapa da Corregedoria'!$AA12</f>
        <v>0</v>
      </c>
      <c r="F440" s="584" t="s">
        <v>159</v>
      </c>
      <c r="G440" s="584" t="s">
        <v>1411</v>
      </c>
    </row>
    <row r="441" spans="1:7" ht="14.25" customHeight="1" x14ac:dyDescent="0.25">
      <c r="A441" s="584" t="str">
        <f>'Mapa da Corregedoria'!AA$6</f>
        <v>29ª Vara</v>
      </c>
      <c r="B441" s="584" t="s">
        <v>120</v>
      </c>
      <c r="C441" s="584" t="s">
        <v>127</v>
      </c>
      <c r="D441" s="584" t="str">
        <f>'Mapa da Corregedoria'!$A$13</f>
        <v>Analista Judiciário(Á. Apoio Especializado-Informática-Desenvolvimento)</v>
      </c>
      <c r="E441" s="584">
        <f>'Mapa da Corregedoria'!$AA13</f>
        <v>0</v>
      </c>
      <c r="F441" s="584" t="s">
        <v>159</v>
      </c>
      <c r="G441" s="584" t="s">
        <v>1411</v>
      </c>
    </row>
    <row r="442" spans="1:7" ht="14.25" customHeight="1" x14ac:dyDescent="0.25">
      <c r="A442" s="584" t="str">
        <f>'Mapa da Corregedoria'!AA$6</f>
        <v>29ª Vara</v>
      </c>
      <c r="B442" s="584" t="s">
        <v>120</v>
      </c>
      <c r="C442" s="584" t="s">
        <v>127</v>
      </c>
      <c r="D442" s="584" t="str">
        <f>'Mapa da Corregedoria'!$A$14</f>
        <v>Analista Judiciário(Á. Apoio Especializado-Informática-Infraestrutura)</v>
      </c>
      <c r="E442" s="584">
        <f>'Mapa da Corregedoria'!$AA14</f>
        <v>0</v>
      </c>
      <c r="F442" s="584" t="s">
        <v>159</v>
      </c>
      <c r="G442" s="584" t="s">
        <v>1411</v>
      </c>
    </row>
    <row r="443" spans="1:7" ht="14.25" customHeight="1" x14ac:dyDescent="0.25">
      <c r="A443" s="584" t="str">
        <f>'Mapa da Corregedoria'!AA$6</f>
        <v>29ª Vara</v>
      </c>
      <c r="B443" s="584" t="s">
        <v>120</v>
      </c>
      <c r="C443" s="584" t="s">
        <v>127</v>
      </c>
      <c r="D443" s="584" t="str">
        <f>'Mapa da Corregedoria'!$A$15</f>
        <v>Analista Judiciário(Á. Apoio Especializado-Medicina-Cliníca Médica)</v>
      </c>
      <c r="E443" s="584">
        <f>'Mapa da Corregedoria'!$AA15</f>
        <v>0</v>
      </c>
      <c r="F443" s="584" t="s">
        <v>159</v>
      </c>
      <c r="G443" s="584" t="s">
        <v>1411</v>
      </c>
    </row>
    <row r="444" spans="1:7" ht="14.25" customHeight="1" x14ac:dyDescent="0.25">
      <c r="A444" s="584" t="str">
        <f>'Mapa da Corregedoria'!AA$6</f>
        <v>29ª Vara</v>
      </c>
      <c r="B444" s="584" t="s">
        <v>120</v>
      </c>
      <c r="C444" s="584" t="s">
        <v>127</v>
      </c>
      <c r="D444" s="584" t="str">
        <f>'Mapa da Corregedoria'!$A$16</f>
        <v>Analista Judiciário(Á. Apoio Especializado-Contadoria)</v>
      </c>
      <c r="E444" s="584">
        <f>'Mapa da Corregedoria'!$AA16</f>
        <v>0</v>
      </c>
      <c r="F444" s="584" t="s">
        <v>159</v>
      </c>
      <c r="G444" s="584" t="s">
        <v>1411</v>
      </c>
    </row>
    <row r="445" spans="1:7" ht="14.25" customHeight="1" x14ac:dyDescent="0.25">
      <c r="A445" s="584" t="str">
        <f>'Mapa da Corregedoria'!AA$6</f>
        <v>29ª Vara</v>
      </c>
      <c r="B445" s="584" t="s">
        <v>120</v>
      </c>
      <c r="C445" s="584" t="s">
        <v>127</v>
      </c>
      <c r="D445" s="584" t="str">
        <f>'Mapa da Corregedoria'!$A$17</f>
        <v>Analista Judiciário(Á. Apoio Especializado- Engenharia Civil)</v>
      </c>
      <c r="E445" s="584">
        <f>'Mapa da Corregedoria'!$AA17</f>
        <v>0</v>
      </c>
      <c r="F445" s="584" t="s">
        <v>159</v>
      </c>
      <c r="G445" s="584" t="s">
        <v>1411</v>
      </c>
    </row>
    <row r="446" spans="1:7" ht="14.25" customHeight="1" x14ac:dyDescent="0.25">
      <c r="A446" s="584" t="str">
        <f>'Mapa da Corregedoria'!AA$6</f>
        <v>29ª Vara</v>
      </c>
      <c r="B446" s="584" t="s">
        <v>120</v>
      </c>
      <c r="C446" s="584" t="s">
        <v>127</v>
      </c>
      <c r="D446" s="584" t="str">
        <f>'Mapa da Corregedoria'!$A$20</f>
        <v xml:space="preserve">Técnico Judiciário (Á. Administrativa)-inclusas as Especialidades Serviços de Portaria/Telefonia </v>
      </c>
      <c r="E446" s="584">
        <f>'Mapa da Corregedoria'!$AA20</f>
        <v>7</v>
      </c>
      <c r="F446" s="584" t="s">
        <v>159</v>
      </c>
      <c r="G446" s="584" t="s">
        <v>1411</v>
      </c>
    </row>
    <row r="447" spans="1:7" ht="14.25" customHeight="1" x14ac:dyDescent="0.25">
      <c r="A447" s="584" t="str">
        <f>'Mapa da Corregedoria'!AA$6</f>
        <v>29ª Vara</v>
      </c>
      <c r="B447" s="584" t="s">
        <v>120</v>
      </c>
      <c r="C447" s="584" t="s">
        <v>127</v>
      </c>
      <c r="D447" s="584" t="str">
        <f>'Mapa da Corregedoria'!$A$21</f>
        <v>Técnico Judiciário(Á. Apoio Especializado- Informática)</v>
      </c>
      <c r="E447" s="584">
        <f>'Mapa da Corregedoria'!$AA21</f>
        <v>0</v>
      </c>
      <c r="F447" s="584" t="s">
        <v>159</v>
      </c>
      <c r="G447" s="584" t="s">
        <v>1411</v>
      </c>
    </row>
    <row r="448" spans="1:7" ht="14.25" customHeight="1" x14ac:dyDescent="0.25">
      <c r="A448" s="584" t="str">
        <f>'Mapa da Corregedoria'!AA$6</f>
        <v>29ª Vara</v>
      </c>
      <c r="B448" s="584" t="s">
        <v>120</v>
      </c>
      <c r="C448" s="584" t="s">
        <v>127</v>
      </c>
      <c r="D448" s="584" t="str">
        <f>'Mapa da Corregedoria'!$A$24</f>
        <v>Técnico Judiciário (Á. Segurança e Transporte – Agente de Policia Judicial)</v>
      </c>
      <c r="E448" s="584">
        <f>'Mapa da Corregedoria'!$AA24</f>
        <v>2</v>
      </c>
      <c r="F448" s="584" t="s">
        <v>159</v>
      </c>
      <c r="G448" s="584" t="s">
        <v>1411</v>
      </c>
    </row>
    <row r="449" spans="1:7" ht="14.25" customHeight="1" x14ac:dyDescent="0.25">
      <c r="A449" s="584" t="str">
        <f>'Mapa da Corregedoria'!AA$6</f>
        <v>29ª Vara</v>
      </c>
      <c r="B449" s="584" t="s">
        <v>120</v>
      </c>
      <c r="C449" s="584" t="s">
        <v>127</v>
      </c>
      <c r="D449" s="584" t="str">
        <f>'Mapa da Corregedoria'!$A$25</f>
        <v>Auxiliar Judiciário</v>
      </c>
      <c r="E449" s="584">
        <f>'Mapa da Corregedoria'!$AA25</f>
        <v>0</v>
      </c>
      <c r="F449" s="584" t="s">
        <v>159</v>
      </c>
      <c r="G449" s="584" t="s">
        <v>1411</v>
      </c>
    </row>
    <row r="450" spans="1:7" ht="14.25" customHeight="1" x14ac:dyDescent="0.25">
      <c r="A450" s="584" t="str">
        <f>'Mapa da Corregedoria'!AA$6</f>
        <v>29ª Vara</v>
      </c>
      <c r="B450" s="584" t="s">
        <v>120</v>
      </c>
      <c r="C450" s="584" t="s">
        <v>127</v>
      </c>
      <c r="D450" s="584" t="str">
        <f>'Mapa da Corregedoria'!$A$27</f>
        <v>Requisitados</v>
      </c>
      <c r="E450" s="584">
        <f>'Mapa da Corregedoria'!$AA27</f>
        <v>1</v>
      </c>
      <c r="F450" s="584" t="str">
        <f>D450</f>
        <v>Requisitados</v>
      </c>
      <c r="G450" s="584" t="s">
        <v>1411</v>
      </c>
    </row>
    <row r="451" spans="1:7" ht="14.25" customHeight="1" x14ac:dyDescent="0.25">
      <c r="A451" s="584" t="str">
        <f>'Mapa da Corregedoria'!AA$6</f>
        <v>29ª Vara</v>
      </c>
      <c r="B451" s="584" t="s">
        <v>120</v>
      </c>
      <c r="C451" s="584" t="s">
        <v>127</v>
      </c>
      <c r="D451" s="584" t="str">
        <f>'Mapa da Corregedoria'!$A$28</f>
        <v>Exercício Provisório (de outros órgãos)</v>
      </c>
      <c r="E451" s="584">
        <f>'Mapa da Corregedoria'!$AA28</f>
        <v>0</v>
      </c>
      <c r="F451" s="584" t="str">
        <f>D451</f>
        <v>Exercício Provisório (de outros órgãos)</v>
      </c>
      <c r="G451" s="584" t="s">
        <v>1411</v>
      </c>
    </row>
    <row r="452" spans="1:7" ht="14.25" customHeight="1" x14ac:dyDescent="0.25">
      <c r="A452" s="584" t="str">
        <f>'Mapa da Corregedoria'!AA$6</f>
        <v>29ª Vara</v>
      </c>
      <c r="B452" s="584" t="s">
        <v>120</v>
      </c>
      <c r="C452" s="584" t="s">
        <v>127</v>
      </c>
      <c r="D452" s="584" t="str">
        <f>'Mapa da Corregedoria'!$A$29</f>
        <v>Removidos (de outros órgãos)</v>
      </c>
      <c r="E452" s="584">
        <f>'Mapa da Corregedoria'!$AA29</f>
        <v>2</v>
      </c>
      <c r="F452" s="584" t="str">
        <f>D452</f>
        <v>Removidos (de outros órgãos)</v>
      </c>
      <c r="G452" s="584" t="s">
        <v>1411</v>
      </c>
    </row>
    <row r="453" spans="1:7" ht="14.25" customHeight="1" x14ac:dyDescent="0.25">
      <c r="A453" s="584" t="str">
        <f>'Mapa da Corregedoria'!AA$6</f>
        <v>29ª Vara</v>
      </c>
      <c r="B453" s="584" t="s">
        <v>120</v>
      </c>
      <c r="C453" s="584" t="s">
        <v>127</v>
      </c>
      <c r="D453" s="584" t="str">
        <f>'Mapa da Corregedoria'!$A$30</f>
        <v>Sem Vínculo</v>
      </c>
      <c r="E453" s="584">
        <f>'Mapa da Corregedoria'!$AA30</f>
        <v>0</v>
      </c>
      <c r="F453" s="584" t="str">
        <f>D453</f>
        <v>Sem Vínculo</v>
      </c>
      <c r="G453" s="584" t="s">
        <v>1411</v>
      </c>
    </row>
    <row r="454" spans="1:7" ht="14.25" customHeight="1" x14ac:dyDescent="0.25">
      <c r="A454" s="584" t="str">
        <f>'Mapa da Corregedoria'!AB$6</f>
        <v>Subdiretoria do Foro</v>
      </c>
      <c r="B454" s="584" t="s">
        <v>1235</v>
      </c>
      <c r="C454" s="584" t="s">
        <v>3572</v>
      </c>
      <c r="D454" s="584" t="str">
        <f>'Mapa da Corregedoria'!$A$8</f>
        <v>Analista Judiciário(Á. Judiciária)</v>
      </c>
      <c r="E454" s="584">
        <f>'Mapa da Corregedoria'!$AB8</f>
        <v>0</v>
      </c>
      <c r="F454" s="584" t="s">
        <v>159</v>
      </c>
      <c r="G454" s="584" t="s">
        <v>1411</v>
      </c>
    </row>
    <row r="455" spans="1:7" ht="14.25" customHeight="1" x14ac:dyDescent="0.25">
      <c r="A455" s="584" t="str">
        <f>'Mapa da Corregedoria'!AB$6</f>
        <v>Subdiretoria do Foro</v>
      </c>
      <c r="B455" s="584" t="s">
        <v>1235</v>
      </c>
      <c r="C455" s="584" t="s">
        <v>3572</v>
      </c>
      <c r="D455" s="584" t="str">
        <f>'Mapa da Corregedoria'!$A$9</f>
        <v>Analista Judiciário(Á. Administrativa)</v>
      </c>
      <c r="E455" s="584">
        <f>'Mapa da Corregedoria'!$AB9</f>
        <v>0</v>
      </c>
      <c r="F455" s="584" t="s">
        <v>159</v>
      </c>
      <c r="G455" s="584" t="s">
        <v>1411</v>
      </c>
    </row>
    <row r="456" spans="1:7" ht="14.25" customHeight="1" x14ac:dyDescent="0.25">
      <c r="A456" s="584" t="str">
        <f>'Mapa da Corregedoria'!AB$6</f>
        <v>Subdiretoria do Foro</v>
      </c>
      <c r="B456" s="584" t="s">
        <v>1235</v>
      </c>
      <c r="C456" s="584" t="s">
        <v>3572</v>
      </c>
      <c r="D456" s="584" t="str">
        <f>'Mapa da Corregedoria'!$A$10</f>
        <v>Analista Judiciário (Esp.Oficial de Justiça Avaliador Federal)</v>
      </c>
      <c r="E456" s="584">
        <f>'Mapa da Corregedoria'!$AB10</f>
        <v>0</v>
      </c>
      <c r="F456" s="584" t="s">
        <v>159</v>
      </c>
      <c r="G456" s="584" t="s">
        <v>1411</v>
      </c>
    </row>
    <row r="457" spans="1:7" ht="14.25" customHeight="1" x14ac:dyDescent="0.25">
      <c r="A457" s="584" t="str">
        <f>'Mapa da Corregedoria'!AB$6</f>
        <v>Subdiretoria do Foro</v>
      </c>
      <c r="B457" s="584" t="s">
        <v>1235</v>
      </c>
      <c r="C457" s="584" t="s">
        <v>3572</v>
      </c>
      <c r="D457" s="584" t="str">
        <f>'Mapa da Corregedoria'!$A$11</f>
        <v>Anal.Jud.(Á. Biblioteconomia)</v>
      </c>
      <c r="E457" s="584">
        <f>'Mapa da Corregedoria'!$AB11</f>
        <v>0</v>
      </c>
      <c r="F457" s="584" t="s">
        <v>159</v>
      </c>
      <c r="G457" s="584" t="s">
        <v>1411</v>
      </c>
    </row>
    <row r="458" spans="1:7" ht="14.25" customHeight="1" x14ac:dyDescent="0.25">
      <c r="A458" s="584" t="str">
        <f>'Mapa da Corregedoria'!AB$6</f>
        <v>Subdiretoria do Foro</v>
      </c>
      <c r="B458" s="584" t="s">
        <v>1235</v>
      </c>
      <c r="C458" s="584" t="s">
        <v>3572</v>
      </c>
      <c r="D458" s="584" t="str">
        <f>'Mapa da Corregedoria'!$A$12</f>
        <v>Analista Judiciário(Á. Apoio Especializado-Informática)</v>
      </c>
      <c r="E458" s="584">
        <f>'Mapa da Corregedoria'!$AB12</f>
        <v>0</v>
      </c>
      <c r="F458" s="584" t="s">
        <v>159</v>
      </c>
      <c r="G458" s="584" t="s">
        <v>1411</v>
      </c>
    </row>
    <row r="459" spans="1:7" ht="14.25" customHeight="1" x14ac:dyDescent="0.25">
      <c r="A459" s="584" t="str">
        <f>'Mapa da Corregedoria'!AB$6</f>
        <v>Subdiretoria do Foro</v>
      </c>
      <c r="B459" s="584" t="s">
        <v>1235</v>
      </c>
      <c r="C459" s="584" t="s">
        <v>3572</v>
      </c>
      <c r="D459" s="584" t="str">
        <f>'Mapa da Corregedoria'!$A$13</f>
        <v>Analista Judiciário(Á. Apoio Especializado-Informática-Desenvolvimento)</v>
      </c>
      <c r="E459" s="584">
        <f>'Mapa da Corregedoria'!$AB13</f>
        <v>0</v>
      </c>
      <c r="F459" s="584" t="s">
        <v>159</v>
      </c>
      <c r="G459" s="584" t="s">
        <v>1411</v>
      </c>
    </row>
    <row r="460" spans="1:7" ht="14.25" customHeight="1" x14ac:dyDescent="0.25">
      <c r="A460" s="584" t="str">
        <f>'Mapa da Corregedoria'!AB$6</f>
        <v>Subdiretoria do Foro</v>
      </c>
      <c r="B460" s="584" t="s">
        <v>1235</v>
      </c>
      <c r="C460" s="584" t="s">
        <v>3572</v>
      </c>
      <c r="D460" s="584" t="str">
        <f>'Mapa da Corregedoria'!$A$14</f>
        <v>Analista Judiciário(Á. Apoio Especializado-Informática-Infraestrutura)</v>
      </c>
      <c r="E460" s="584">
        <f>'Mapa da Corregedoria'!$AB14</f>
        <v>0</v>
      </c>
      <c r="F460" s="584" t="s">
        <v>159</v>
      </c>
      <c r="G460" s="584" t="s">
        <v>1411</v>
      </c>
    </row>
    <row r="461" spans="1:7" ht="14.25" customHeight="1" x14ac:dyDescent="0.25">
      <c r="A461" s="584" t="str">
        <f>'Mapa da Corregedoria'!AB$6</f>
        <v>Subdiretoria do Foro</v>
      </c>
      <c r="B461" s="584" t="s">
        <v>1235</v>
      </c>
      <c r="C461" s="584" t="s">
        <v>3572</v>
      </c>
      <c r="D461" s="584" t="str">
        <f>'Mapa da Corregedoria'!$A$15</f>
        <v>Analista Judiciário(Á. Apoio Especializado-Medicina-Cliníca Médica)</v>
      </c>
      <c r="E461" s="584">
        <f>'Mapa da Corregedoria'!$AB15</f>
        <v>0</v>
      </c>
      <c r="F461" s="584" t="s">
        <v>159</v>
      </c>
      <c r="G461" s="584" t="s">
        <v>1411</v>
      </c>
    </row>
    <row r="462" spans="1:7" ht="14.25" customHeight="1" x14ac:dyDescent="0.25">
      <c r="A462" s="584" t="str">
        <f>'Mapa da Corregedoria'!AB$6</f>
        <v>Subdiretoria do Foro</v>
      </c>
      <c r="B462" s="584" t="s">
        <v>1235</v>
      </c>
      <c r="C462" s="584" t="s">
        <v>3572</v>
      </c>
      <c r="D462" s="584" t="str">
        <f>'Mapa da Corregedoria'!$A$16</f>
        <v>Analista Judiciário(Á. Apoio Especializado-Contadoria)</v>
      </c>
      <c r="E462" s="584">
        <f>'Mapa da Corregedoria'!$AB16</f>
        <v>0</v>
      </c>
      <c r="F462" s="584" t="s">
        <v>159</v>
      </c>
      <c r="G462" s="584" t="s">
        <v>1411</v>
      </c>
    </row>
    <row r="463" spans="1:7" ht="14.25" customHeight="1" x14ac:dyDescent="0.25">
      <c r="A463" s="584" t="str">
        <f>'Mapa da Corregedoria'!AB$6</f>
        <v>Subdiretoria do Foro</v>
      </c>
      <c r="B463" s="584" t="s">
        <v>1235</v>
      </c>
      <c r="C463" s="584" t="s">
        <v>3572</v>
      </c>
      <c r="D463" s="584" t="str">
        <f>'Mapa da Corregedoria'!$A$17</f>
        <v>Analista Judiciário(Á. Apoio Especializado- Engenharia Civil)</v>
      </c>
      <c r="E463" s="584">
        <f>'Mapa da Corregedoria'!$AB17</f>
        <v>0</v>
      </c>
      <c r="F463" s="584" t="s">
        <v>159</v>
      </c>
      <c r="G463" s="584" t="s">
        <v>1411</v>
      </c>
    </row>
    <row r="464" spans="1:7" ht="14.25" customHeight="1" x14ac:dyDescent="0.25">
      <c r="A464" s="584" t="str">
        <f>'Mapa da Corregedoria'!AB$6</f>
        <v>Subdiretoria do Foro</v>
      </c>
      <c r="B464" s="584" t="s">
        <v>1235</v>
      </c>
      <c r="C464" s="584" t="s">
        <v>3572</v>
      </c>
      <c r="D464" s="584" t="str">
        <f>'Mapa da Corregedoria'!$A$20</f>
        <v xml:space="preserve">Técnico Judiciário (Á. Administrativa)-inclusas as Especialidades Serviços de Portaria/Telefonia </v>
      </c>
      <c r="E464" s="584">
        <f>'Mapa da Corregedoria'!$AB20</f>
        <v>1</v>
      </c>
      <c r="F464" s="584" t="s">
        <v>159</v>
      </c>
      <c r="G464" s="584" t="s">
        <v>1411</v>
      </c>
    </row>
    <row r="465" spans="1:7" ht="14.25" customHeight="1" x14ac:dyDescent="0.25">
      <c r="A465" s="584" t="str">
        <f>'Mapa da Corregedoria'!AB$6</f>
        <v>Subdiretoria do Foro</v>
      </c>
      <c r="B465" s="584" t="s">
        <v>1235</v>
      </c>
      <c r="C465" s="584" t="s">
        <v>3572</v>
      </c>
      <c r="D465" s="584" t="str">
        <f>'Mapa da Corregedoria'!$A$21</f>
        <v>Técnico Judiciário(Á. Apoio Especializado- Informática)</v>
      </c>
      <c r="E465" s="584">
        <f>'Mapa da Corregedoria'!$AB21</f>
        <v>0</v>
      </c>
      <c r="F465" s="584" t="s">
        <v>159</v>
      </c>
      <c r="G465" s="584" t="s">
        <v>1411</v>
      </c>
    </row>
    <row r="466" spans="1:7" ht="14.25" customHeight="1" x14ac:dyDescent="0.25">
      <c r="A466" s="584" t="str">
        <f>'Mapa da Corregedoria'!AB$6</f>
        <v>Subdiretoria do Foro</v>
      </c>
      <c r="B466" s="584" t="s">
        <v>1235</v>
      </c>
      <c r="C466" s="584" t="s">
        <v>3572</v>
      </c>
      <c r="D466" s="584" t="str">
        <f>'Mapa da Corregedoria'!$A$24</f>
        <v>Técnico Judiciário (Á. Segurança e Transporte – Agente de Policia Judicial)</v>
      </c>
      <c r="E466" s="584">
        <f>'Mapa da Corregedoria'!$AB24</f>
        <v>0</v>
      </c>
      <c r="F466" s="584" t="s">
        <v>159</v>
      </c>
      <c r="G466" s="584" t="s">
        <v>1411</v>
      </c>
    </row>
    <row r="467" spans="1:7" ht="14.25" customHeight="1" x14ac:dyDescent="0.25">
      <c r="A467" s="584" t="str">
        <f>'Mapa da Corregedoria'!AB$6</f>
        <v>Subdiretoria do Foro</v>
      </c>
      <c r="B467" s="584" t="s">
        <v>1235</v>
      </c>
      <c r="C467" s="584" t="s">
        <v>3572</v>
      </c>
      <c r="D467" s="584" t="str">
        <f>'Mapa da Corregedoria'!$A$25</f>
        <v>Auxiliar Judiciário</v>
      </c>
      <c r="E467" s="584">
        <f>'Mapa da Corregedoria'!$AB25</f>
        <v>0</v>
      </c>
      <c r="F467" s="584" t="s">
        <v>159</v>
      </c>
      <c r="G467" s="584" t="s">
        <v>1411</v>
      </c>
    </row>
    <row r="468" spans="1:7" ht="14.25" customHeight="1" x14ac:dyDescent="0.25">
      <c r="A468" s="584" t="str">
        <f>'Mapa da Corregedoria'!AB$6</f>
        <v>Subdiretoria do Foro</v>
      </c>
      <c r="B468" s="584" t="s">
        <v>1235</v>
      </c>
      <c r="C468" s="584" t="s">
        <v>3572</v>
      </c>
      <c r="D468" s="584" t="str">
        <f>'Mapa da Corregedoria'!$A$27</f>
        <v>Requisitados</v>
      </c>
      <c r="E468" s="584">
        <f>'Mapa da Corregedoria'!$AB27</f>
        <v>2</v>
      </c>
      <c r="F468" s="584" t="str">
        <f>D468</f>
        <v>Requisitados</v>
      </c>
      <c r="G468" s="584" t="s">
        <v>1411</v>
      </c>
    </row>
    <row r="469" spans="1:7" ht="14.25" customHeight="1" x14ac:dyDescent="0.25">
      <c r="A469" s="584" t="str">
        <f>'Mapa da Corregedoria'!AB$6</f>
        <v>Subdiretoria do Foro</v>
      </c>
      <c r="B469" s="584" t="s">
        <v>1235</v>
      </c>
      <c r="C469" s="584" t="s">
        <v>3572</v>
      </c>
      <c r="D469" s="584" t="str">
        <f>'Mapa da Corregedoria'!$A$28</f>
        <v>Exercício Provisório (de outros órgãos)</v>
      </c>
      <c r="E469" s="584">
        <f>'Mapa da Corregedoria'!$AB28</f>
        <v>0</v>
      </c>
      <c r="F469" s="584" t="str">
        <f>D469</f>
        <v>Exercício Provisório (de outros órgãos)</v>
      </c>
      <c r="G469" s="584" t="s">
        <v>1411</v>
      </c>
    </row>
    <row r="470" spans="1:7" ht="14.25" customHeight="1" x14ac:dyDescent="0.25">
      <c r="A470" s="584" t="str">
        <f>'Mapa da Corregedoria'!AB$6</f>
        <v>Subdiretoria do Foro</v>
      </c>
      <c r="B470" s="584" t="s">
        <v>1235</v>
      </c>
      <c r="C470" s="584" t="s">
        <v>3572</v>
      </c>
      <c r="D470" s="584" t="str">
        <f>'Mapa da Corregedoria'!$A$29</f>
        <v>Removidos (de outros órgãos)</v>
      </c>
      <c r="E470" s="584">
        <f>'Mapa da Corregedoria'!$AB29</f>
        <v>0</v>
      </c>
      <c r="F470" s="584" t="str">
        <f>D470</f>
        <v>Removidos (de outros órgãos)</v>
      </c>
      <c r="G470" s="584" t="s">
        <v>1411</v>
      </c>
    </row>
    <row r="471" spans="1:7" ht="14.25" customHeight="1" x14ac:dyDescent="0.25">
      <c r="A471" s="584" t="str">
        <f>'Mapa da Corregedoria'!AB$6</f>
        <v>Subdiretoria do Foro</v>
      </c>
      <c r="B471" s="584" t="s">
        <v>1235</v>
      </c>
      <c r="C471" s="584" t="s">
        <v>3572</v>
      </c>
      <c r="D471" s="584" t="str">
        <f>'Mapa da Corregedoria'!$A$30</f>
        <v>Sem Vínculo</v>
      </c>
      <c r="E471" s="584">
        <f>'Mapa da Corregedoria'!$AB30</f>
        <v>0</v>
      </c>
      <c r="F471" s="584" t="str">
        <f>D471</f>
        <v>Sem Vínculo</v>
      </c>
      <c r="G471" s="584" t="s">
        <v>1411</v>
      </c>
    </row>
    <row r="472" spans="1:7" ht="14.25" customHeight="1" x14ac:dyDescent="0.25">
      <c r="A472" s="584" t="str">
        <f>'Mapa da Corregedoria'!AD$6</f>
        <v>16ª Vara</v>
      </c>
      <c r="B472" s="584" t="s">
        <v>120</v>
      </c>
      <c r="C472" s="584" t="s">
        <v>124</v>
      </c>
      <c r="D472" s="584" t="str">
        <f>'Mapa da Corregedoria'!$A$8</f>
        <v>Analista Judiciário(Á. Judiciária)</v>
      </c>
      <c r="E472" s="584">
        <f>'Mapa da Corregedoria'!$AD8</f>
        <v>4</v>
      </c>
      <c r="F472" s="584" t="s">
        <v>159</v>
      </c>
      <c r="G472" s="584" t="s">
        <v>1295</v>
      </c>
    </row>
    <row r="473" spans="1:7" ht="14.25" customHeight="1" x14ac:dyDescent="0.25">
      <c r="A473" s="584" t="str">
        <f>'Mapa da Corregedoria'!AD$6</f>
        <v>16ª Vara</v>
      </c>
      <c r="B473" s="584" t="s">
        <v>120</v>
      </c>
      <c r="C473" s="584" t="s">
        <v>124</v>
      </c>
      <c r="D473" s="584" t="str">
        <f>'Mapa da Corregedoria'!$A$9</f>
        <v>Analista Judiciário(Á. Administrativa)</v>
      </c>
      <c r="E473" s="584">
        <f>'Mapa da Corregedoria'!$AD9</f>
        <v>1</v>
      </c>
      <c r="F473" s="584" t="s">
        <v>159</v>
      </c>
      <c r="G473" s="584" t="s">
        <v>1295</v>
      </c>
    </row>
    <row r="474" spans="1:7" ht="14.25" customHeight="1" x14ac:dyDescent="0.25">
      <c r="A474" s="584" t="str">
        <f>'Mapa da Corregedoria'!AD$6</f>
        <v>16ª Vara</v>
      </c>
      <c r="B474" s="584" t="s">
        <v>120</v>
      </c>
      <c r="C474" s="584" t="s">
        <v>124</v>
      </c>
      <c r="D474" s="584" t="str">
        <f>'Mapa da Corregedoria'!$A$10</f>
        <v>Analista Judiciário (Esp.Oficial de Justiça Avaliador Federal)</v>
      </c>
      <c r="E474" s="584">
        <f>'Mapa da Corregedoria'!$AD10</f>
        <v>3</v>
      </c>
      <c r="F474" s="584" t="s">
        <v>159</v>
      </c>
      <c r="G474" s="584" t="s">
        <v>1295</v>
      </c>
    </row>
    <row r="475" spans="1:7" ht="14.25" customHeight="1" x14ac:dyDescent="0.25">
      <c r="A475" s="584" t="str">
        <f>'Mapa da Corregedoria'!AD$6</f>
        <v>16ª Vara</v>
      </c>
      <c r="B475" s="584" t="s">
        <v>120</v>
      </c>
      <c r="C475" s="584" t="s">
        <v>124</v>
      </c>
      <c r="D475" s="584" t="str">
        <f>'Mapa da Corregedoria'!$A$11</f>
        <v>Anal.Jud.(Á. Biblioteconomia)</v>
      </c>
      <c r="E475" s="584">
        <f>'Mapa da Corregedoria'!$AD11</f>
        <v>0</v>
      </c>
      <c r="F475" s="584" t="s">
        <v>159</v>
      </c>
      <c r="G475" s="584" t="s">
        <v>1295</v>
      </c>
    </row>
    <row r="476" spans="1:7" ht="14.25" customHeight="1" x14ac:dyDescent="0.25">
      <c r="A476" s="584" t="str">
        <f>'Mapa da Corregedoria'!AD$6</f>
        <v>16ª Vara</v>
      </c>
      <c r="B476" s="584" t="s">
        <v>120</v>
      </c>
      <c r="C476" s="584" t="s">
        <v>124</v>
      </c>
      <c r="D476" s="584" t="str">
        <f>'Mapa da Corregedoria'!$A$12</f>
        <v>Analista Judiciário(Á. Apoio Especializado-Informática)</v>
      </c>
      <c r="E476" s="584">
        <f>'Mapa da Corregedoria'!$AD12</f>
        <v>0</v>
      </c>
      <c r="F476" s="584" t="s">
        <v>159</v>
      </c>
      <c r="G476" s="584" t="s">
        <v>1295</v>
      </c>
    </row>
    <row r="477" spans="1:7" ht="14.25" customHeight="1" x14ac:dyDescent="0.25">
      <c r="A477" s="584" t="str">
        <f>'Mapa da Corregedoria'!AD$6</f>
        <v>16ª Vara</v>
      </c>
      <c r="B477" s="584" t="s">
        <v>120</v>
      </c>
      <c r="C477" s="584" t="s">
        <v>124</v>
      </c>
      <c r="D477" s="584" t="str">
        <f>'Mapa da Corregedoria'!$A$13</f>
        <v>Analista Judiciário(Á. Apoio Especializado-Informática-Desenvolvimento)</v>
      </c>
      <c r="E477" s="584">
        <f>'Mapa da Corregedoria'!$AD13</f>
        <v>0</v>
      </c>
      <c r="F477" s="584" t="s">
        <v>159</v>
      </c>
      <c r="G477" s="584" t="s">
        <v>1295</v>
      </c>
    </row>
    <row r="478" spans="1:7" ht="14.25" customHeight="1" x14ac:dyDescent="0.25">
      <c r="A478" s="584" t="str">
        <f>'Mapa da Corregedoria'!AD$6</f>
        <v>16ª Vara</v>
      </c>
      <c r="B478" s="584" t="s">
        <v>120</v>
      </c>
      <c r="C478" s="584" t="s">
        <v>124</v>
      </c>
      <c r="D478" s="584" t="str">
        <f>'Mapa da Corregedoria'!$A$14</f>
        <v>Analista Judiciário(Á. Apoio Especializado-Informática-Infraestrutura)</v>
      </c>
      <c r="E478" s="584">
        <f>'Mapa da Corregedoria'!$AD14</f>
        <v>0</v>
      </c>
      <c r="F478" s="584" t="s">
        <v>159</v>
      </c>
      <c r="G478" s="584" t="s">
        <v>1295</v>
      </c>
    </row>
    <row r="479" spans="1:7" ht="14.25" customHeight="1" x14ac:dyDescent="0.25">
      <c r="A479" s="584" t="str">
        <f>'Mapa da Corregedoria'!AD$6</f>
        <v>16ª Vara</v>
      </c>
      <c r="B479" s="584" t="s">
        <v>120</v>
      </c>
      <c r="C479" s="584" t="s">
        <v>124</v>
      </c>
      <c r="D479" s="584" t="str">
        <f>'Mapa da Corregedoria'!$A$15</f>
        <v>Analista Judiciário(Á. Apoio Especializado-Medicina-Cliníca Médica)</v>
      </c>
      <c r="E479" s="584">
        <f>'Mapa da Corregedoria'!$AD15</f>
        <v>0</v>
      </c>
      <c r="F479" s="584" t="s">
        <v>159</v>
      </c>
      <c r="G479" s="584" t="s">
        <v>1295</v>
      </c>
    </row>
    <row r="480" spans="1:7" ht="14.25" customHeight="1" x14ac:dyDescent="0.25">
      <c r="A480" s="584" t="str">
        <f>'Mapa da Corregedoria'!AD$6</f>
        <v>16ª Vara</v>
      </c>
      <c r="B480" s="584" t="s">
        <v>120</v>
      </c>
      <c r="C480" s="584" t="s">
        <v>124</v>
      </c>
      <c r="D480" s="584" t="str">
        <f>'Mapa da Corregedoria'!$A$16</f>
        <v>Analista Judiciário(Á. Apoio Especializado-Contadoria)</v>
      </c>
      <c r="E480" s="584">
        <f>'Mapa da Corregedoria'!$AD16</f>
        <v>0</v>
      </c>
      <c r="F480" s="584" t="s">
        <v>159</v>
      </c>
      <c r="G480" s="584" t="s">
        <v>1295</v>
      </c>
    </row>
    <row r="481" spans="1:7" ht="14.25" customHeight="1" x14ac:dyDescent="0.25">
      <c r="A481" s="584" t="str">
        <f>'Mapa da Corregedoria'!AD$6</f>
        <v>16ª Vara</v>
      </c>
      <c r="B481" s="584" t="s">
        <v>120</v>
      </c>
      <c r="C481" s="584" t="s">
        <v>124</v>
      </c>
      <c r="D481" s="584" t="str">
        <f>'Mapa da Corregedoria'!$A$17</f>
        <v>Analista Judiciário(Á. Apoio Especializado- Engenharia Civil)</v>
      </c>
      <c r="E481" s="584">
        <f>'Mapa da Corregedoria'!$AD17</f>
        <v>0</v>
      </c>
      <c r="F481" s="584" t="s">
        <v>159</v>
      </c>
      <c r="G481" s="584" t="s">
        <v>1295</v>
      </c>
    </row>
    <row r="482" spans="1:7" ht="14.25" customHeight="1" x14ac:dyDescent="0.25">
      <c r="A482" s="584" t="str">
        <f>'Mapa da Corregedoria'!AD$6</f>
        <v>16ª Vara</v>
      </c>
      <c r="B482" s="584" t="s">
        <v>120</v>
      </c>
      <c r="C482" s="584" t="s">
        <v>124</v>
      </c>
      <c r="D482" s="584" t="str">
        <f>'Mapa da Corregedoria'!$A$20</f>
        <v xml:space="preserve">Técnico Judiciário (Á. Administrativa)-inclusas as Especialidades Serviços de Portaria/Telefonia </v>
      </c>
      <c r="E482" s="584">
        <f>'Mapa da Corregedoria'!$AD20</f>
        <v>7</v>
      </c>
      <c r="F482" s="584" t="s">
        <v>159</v>
      </c>
      <c r="G482" s="584" t="s">
        <v>1295</v>
      </c>
    </row>
    <row r="483" spans="1:7" ht="14.25" customHeight="1" x14ac:dyDescent="0.25">
      <c r="A483" s="584" t="str">
        <f>'Mapa da Corregedoria'!AD$6</f>
        <v>16ª Vara</v>
      </c>
      <c r="B483" s="584" t="s">
        <v>120</v>
      </c>
      <c r="C483" s="584" t="s">
        <v>124</v>
      </c>
      <c r="D483" s="584" t="str">
        <f>'Mapa da Corregedoria'!$A$21</f>
        <v>Técnico Judiciário(Á. Apoio Especializado- Informática)</v>
      </c>
      <c r="E483" s="584">
        <f>'Mapa da Corregedoria'!$AD21</f>
        <v>0</v>
      </c>
      <c r="F483" s="584" t="s">
        <v>159</v>
      </c>
      <c r="G483" s="584" t="s">
        <v>1295</v>
      </c>
    </row>
    <row r="484" spans="1:7" ht="14.25" customHeight="1" x14ac:dyDescent="0.25">
      <c r="A484" s="584" t="str">
        <f>'Mapa da Corregedoria'!AD$6</f>
        <v>16ª Vara</v>
      </c>
      <c r="B484" s="584" t="s">
        <v>120</v>
      </c>
      <c r="C484" s="584" t="s">
        <v>124</v>
      </c>
      <c r="D484" s="584" t="str">
        <f>'Mapa da Corregedoria'!$A$24</f>
        <v>Técnico Judiciário (Á. Segurança e Transporte – Agente de Policia Judicial)</v>
      </c>
      <c r="E484" s="584">
        <f>'Mapa da Corregedoria'!$AD24</f>
        <v>1</v>
      </c>
      <c r="F484" s="584" t="s">
        <v>159</v>
      </c>
      <c r="G484" s="584" t="s">
        <v>1295</v>
      </c>
    </row>
    <row r="485" spans="1:7" ht="14.25" customHeight="1" x14ac:dyDescent="0.25">
      <c r="A485" s="584" t="str">
        <f>'Mapa da Corregedoria'!AD$6</f>
        <v>16ª Vara</v>
      </c>
      <c r="B485" s="584" t="s">
        <v>120</v>
      </c>
      <c r="C485" s="584" t="s">
        <v>124</v>
      </c>
      <c r="D485" s="584" t="str">
        <f>'Mapa da Corregedoria'!$A$25</f>
        <v>Auxiliar Judiciário</v>
      </c>
      <c r="E485" s="584">
        <f>'Mapa da Corregedoria'!$AD25</f>
        <v>0</v>
      </c>
      <c r="F485" s="584" t="s">
        <v>159</v>
      </c>
      <c r="G485" s="584" t="s">
        <v>1295</v>
      </c>
    </row>
    <row r="486" spans="1:7" ht="14.25" customHeight="1" x14ac:dyDescent="0.25">
      <c r="A486" s="584" t="str">
        <f>'Mapa da Corregedoria'!AD$6</f>
        <v>16ª Vara</v>
      </c>
      <c r="B486" s="584" t="s">
        <v>120</v>
      </c>
      <c r="C486" s="584" t="s">
        <v>124</v>
      </c>
      <c r="D486" s="584" t="str">
        <f>'Mapa da Corregedoria'!$A$27</f>
        <v>Requisitados</v>
      </c>
      <c r="E486" s="584">
        <f>'Mapa da Corregedoria'!$AD27</f>
        <v>0</v>
      </c>
      <c r="F486" s="584" t="str">
        <f>D486</f>
        <v>Requisitados</v>
      </c>
      <c r="G486" s="584" t="s">
        <v>1295</v>
      </c>
    </row>
    <row r="487" spans="1:7" ht="14.25" customHeight="1" x14ac:dyDescent="0.25">
      <c r="A487" s="584" t="str">
        <f>'Mapa da Corregedoria'!AD$6</f>
        <v>16ª Vara</v>
      </c>
      <c r="B487" s="584" t="s">
        <v>120</v>
      </c>
      <c r="C487" s="584" t="s">
        <v>124</v>
      </c>
      <c r="D487" s="584" t="str">
        <f>'Mapa da Corregedoria'!$A$28</f>
        <v>Exercício Provisório (de outros órgãos)</v>
      </c>
      <c r="E487" s="584">
        <f>'Mapa da Corregedoria'!$AD28</f>
        <v>0</v>
      </c>
      <c r="F487" s="584" t="str">
        <f>D487</f>
        <v>Exercício Provisório (de outros órgãos)</v>
      </c>
      <c r="G487" s="584" t="s">
        <v>1295</v>
      </c>
    </row>
    <row r="488" spans="1:7" ht="14.25" customHeight="1" x14ac:dyDescent="0.25">
      <c r="A488" s="584" t="str">
        <f>'Mapa da Corregedoria'!AD$6</f>
        <v>16ª Vara</v>
      </c>
      <c r="B488" s="584" t="s">
        <v>120</v>
      </c>
      <c r="C488" s="584" t="s">
        <v>124</v>
      </c>
      <c r="D488" s="584" t="str">
        <f>'Mapa da Corregedoria'!$A$29</f>
        <v>Removidos (de outros órgãos)</v>
      </c>
      <c r="E488" s="584">
        <f>'Mapa da Corregedoria'!$AD29</f>
        <v>2</v>
      </c>
      <c r="F488" s="584" t="str">
        <f>D488</f>
        <v>Removidos (de outros órgãos)</v>
      </c>
      <c r="G488" s="584" t="s">
        <v>1295</v>
      </c>
    </row>
    <row r="489" spans="1:7" ht="14.25" customHeight="1" x14ac:dyDescent="0.25">
      <c r="A489" s="584" t="str">
        <f>'Mapa da Corregedoria'!AD$6</f>
        <v>16ª Vara</v>
      </c>
      <c r="B489" s="584" t="s">
        <v>120</v>
      </c>
      <c r="C489" s="584" t="s">
        <v>124</v>
      </c>
      <c r="D489" s="584" t="str">
        <f>'Mapa da Corregedoria'!$A$30</f>
        <v>Sem Vínculo</v>
      </c>
      <c r="E489" s="584">
        <f>'Mapa da Corregedoria'!$AD30</f>
        <v>0</v>
      </c>
      <c r="F489" s="584" t="str">
        <f>D489</f>
        <v>Sem Vínculo</v>
      </c>
      <c r="G489" s="584" t="s">
        <v>1295</v>
      </c>
    </row>
    <row r="490" spans="1:7" ht="14.25" customHeight="1" x14ac:dyDescent="0.25">
      <c r="A490" s="584" t="str">
        <f>'Mapa da Corregedoria'!AE$6</f>
        <v>17ª Vara</v>
      </c>
      <c r="B490" s="584" t="s">
        <v>120</v>
      </c>
      <c r="C490" s="584" t="s">
        <v>127</v>
      </c>
      <c r="D490" s="584" t="str">
        <f>'Mapa da Corregedoria'!$A$8</f>
        <v>Analista Judiciário(Á. Judiciária)</v>
      </c>
      <c r="E490" s="584">
        <f>'Mapa da Corregedoria'!$AE8</f>
        <v>6</v>
      </c>
      <c r="F490" s="584" t="s">
        <v>159</v>
      </c>
      <c r="G490" s="584" t="s">
        <v>1295</v>
      </c>
    </row>
    <row r="491" spans="1:7" ht="14.25" customHeight="1" x14ac:dyDescent="0.25">
      <c r="A491" s="584" t="str">
        <f>'Mapa da Corregedoria'!AE$6</f>
        <v>17ª Vara</v>
      </c>
      <c r="B491" s="584" t="s">
        <v>120</v>
      </c>
      <c r="C491" s="584" t="s">
        <v>127</v>
      </c>
      <c r="D491" s="584" t="str">
        <f>'Mapa da Corregedoria'!$A$9</f>
        <v>Analista Judiciário(Á. Administrativa)</v>
      </c>
      <c r="E491" s="584">
        <f>'Mapa da Corregedoria'!$AE9</f>
        <v>1</v>
      </c>
      <c r="F491" s="584" t="s">
        <v>159</v>
      </c>
      <c r="G491" s="584" t="s">
        <v>1295</v>
      </c>
    </row>
    <row r="492" spans="1:7" ht="14.25" customHeight="1" x14ac:dyDescent="0.25">
      <c r="A492" s="584" t="str">
        <f>'Mapa da Corregedoria'!AE$6</f>
        <v>17ª Vara</v>
      </c>
      <c r="B492" s="584" t="s">
        <v>120</v>
      </c>
      <c r="C492" s="584" t="s">
        <v>127</v>
      </c>
      <c r="D492" s="584" t="str">
        <f>'Mapa da Corregedoria'!$A$10</f>
        <v>Analista Judiciário (Esp.Oficial de Justiça Avaliador Federal)</v>
      </c>
      <c r="E492" s="584">
        <f>'Mapa da Corregedoria'!$AE10</f>
        <v>1</v>
      </c>
      <c r="F492" s="584" t="s">
        <v>159</v>
      </c>
      <c r="G492" s="584" t="s">
        <v>1295</v>
      </c>
    </row>
    <row r="493" spans="1:7" ht="14.25" customHeight="1" x14ac:dyDescent="0.25">
      <c r="A493" s="584" t="str">
        <f>'Mapa da Corregedoria'!AE$6</f>
        <v>17ª Vara</v>
      </c>
      <c r="B493" s="584" t="s">
        <v>120</v>
      </c>
      <c r="C493" s="584" t="s">
        <v>127</v>
      </c>
      <c r="D493" s="584" t="str">
        <f>'Mapa da Corregedoria'!$A$11</f>
        <v>Anal.Jud.(Á. Biblioteconomia)</v>
      </c>
      <c r="E493" s="584">
        <f>'Mapa da Corregedoria'!$AE11</f>
        <v>0</v>
      </c>
      <c r="F493" s="584" t="s">
        <v>159</v>
      </c>
      <c r="G493" s="584" t="s">
        <v>1295</v>
      </c>
    </row>
    <row r="494" spans="1:7" ht="14.25" customHeight="1" x14ac:dyDescent="0.25">
      <c r="A494" s="584" t="str">
        <f>'Mapa da Corregedoria'!AE$6</f>
        <v>17ª Vara</v>
      </c>
      <c r="B494" s="584" t="s">
        <v>120</v>
      </c>
      <c r="C494" s="584" t="s">
        <v>127</v>
      </c>
      <c r="D494" s="584" t="str">
        <f>'Mapa da Corregedoria'!$A$12</f>
        <v>Analista Judiciário(Á. Apoio Especializado-Informática)</v>
      </c>
      <c r="E494" s="584">
        <f>'Mapa da Corregedoria'!$AE12</f>
        <v>0</v>
      </c>
      <c r="F494" s="584" t="s">
        <v>159</v>
      </c>
      <c r="G494" s="584" t="s">
        <v>1295</v>
      </c>
    </row>
    <row r="495" spans="1:7" ht="14.25" customHeight="1" x14ac:dyDescent="0.25">
      <c r="A495" s="584" t="str">
        <f>'Mapa da Corregedoria'!AE$6</f>
        <v>17ª Vara</v>
      </c>
      <c r="B495" s="584" t="s">
        <v>120</v>
      </c>
      <c r="C495" s="584" t="s">
        <v>127</v>
      </c>
      <c r="D495" s="584" t="str">
        <f>'Mapa da Corregedoria'!$A$13</f>
        <v>Analista Judiciário(Á. Apoio Especializado-Informática-Desenvolvimento)</v>
      </c>
      <c r="E495" s="584">
        <f>'Mapa da Corregedoria'!$AE13</f>
        <v>0</v>
      </c>
      <c r="F495" s="584" t="s">
        <v>159</v>
      </c>
      <c r="G495" s="584" t="s">
        <v>1295</v>
      </c>
    </row>
    <row r="496" spans="1:7" ht="14.25" customHeight="1" x14ac:dyDescent="0.25">
      <c r="A496" s="584" t="str">
        <f>'Mapa da Corregedoria'!AE$6</f>
        <v>17ª Vara</v>
      </c>
      <c r="B496" s="584" t="s">
        <v>120</v>
      </c>
      <c r="C496" s="584" t="s">
        <v>127</v>
      </c>
      <c r="D496" s="584" t="str">
        <f>'Mapa da Corregedoria'!$A$14</f>
        <v>Analista Judiciário(Á. Apoio Especializado-Informática-Infraestrutura)</v>
      </c>
      <c r="E496" s="584">
        <f>'Mapa da Corregedoria'!$AE14</f>
        <v>0</v>
      </c>
      <c r="F496" s="584" t="s">
        <v>159</v>
      </c>
      <c r="G496" s="584" t="s">
        <v>1295</v>
      </c>
    </row>
    <row r="497" spans="1:7" ht="14.25" customHeight="1" x14ac:dyDescent="0.25">
      <c r="A497" s="584" t="str">
        <f>'Mapa da Corregedoria'!AE$6</f>
        <v>17ª Vara</v>
      </c>
      <c r="B497" s="584" t="s">
        <v>120</v>
      </c>
      <c r="C497" s="584" t="s">
        <v>127</v>
      </c>
      <c r="D497" s="584" t="str">
        <f>'Mapa da Corregedoria'!$A$15</f>
        <v>Analista Judiciário(Á. Apoio Especializado-Medicina-Cliníca Médica)</v>
      </c>
      <c r="E497" s="584">
        <f>'Mapa da Corregedoria'!$AE15</f>
        <v>0</v>
      </c>
      <c r="F497" s="584" t="s">
        <v>159</v>
      </c>
      <c r="G497" s="584" t="s">
        <v>1295</v>
      </c>
    </row>
    <row r="498" spans="1:7" ht="14.25" customHeight="1" x14ac:dyDescent="0.25">
      <c r="A498" s="584" t="str">
        <f>'Mapa da Corregedoria'!AE$6</f>
        <v>17ª Vara</v>
      </c>
      <c r="B498" s="584" t="s">
        <v>120</v>
      </c>
      <c r="C498" s="584" t="s">
        <v>127</v>
      </c>
      <c r="D498" s="584" t="str">
        <f>'Mapa da Corregedoria'!$A$16</f>
        <v>Analista Judiciário(Á. Apoio Especializado-Contadoria)</v>
      </c>
      <c r="E498" s="584">
        <f>'Mapa da Corregedoria'!$AE16</f>
        <v>0</v>
      </c>
      <c r="F498" s="584" t="s">
        <v>159</v>
      </c>
      <c r="G498" s="584" t="s">
        <v>1295</v>
      </c>
    </row>
    <row r="499" spans="1:7" ht="14.25" customHeight="1" x14ac:dyDescent="0.25">
      <c r="A499" s="584" t="str">
        <f>'Mapa da Corregedoria'!AE$6</f>
        <v>17ª Vara</v>
      </c>
      <c r="B499" s="584" t="s">
        <v>120</v>
      </c>
      <c r="C499" s="584" t="s">
        <v>127</v>
      </c>
      <c r="D499" s="584" t="str">
        <f>'Mapa da Corregedoria'!$A$17</f>
        <v>Analista Judiciário(Á. Apoio Especializado- Engenharia Civil)</v>
      </c>
      <c r="E499" s="584">
        <f>'Mapa da Corregedoria'!$AE17</f>
        <v>0</v>
      </c>
      <c r="F499" s="584" t="s">
        <v>159</v>
      </c>
      <c r="G499" s="584" t="s">
        <v>1295</v>
      </c>
    </row>
    <row r="500" spans="1:7" ht="14.25" customHeight="1" x14ac:dyDescent="0.25">
      <c r="A500" s="584" t="str">
        <f>'Mapa da Corregedoria'!AE$6</f>
        <v>17ª Vara</v>
      </c>
      <c r="B500" s="584" t="s">
        <v>120</v>
      </c>
      <c r="C500" s="584" t="s">
        <v>127</v>
      </c>
      <c r="D500" s="584" t="str">
        <f>'Mapa da Corregedoria'!$A$20</f>
        <v xml:space="preserve">Técnico Judiciário (Á. Administrativa)-inclusas as Especialidades Serviços de Portaria/Telefonia </v>
      </c>
      <c r="E500" s="584">
        <f>'Mapa da Corregedoria'!$AE20</f>
        <v>7</v>
      </c>
      <c r="F500" s="584" t="s">
        <v>159</v>
      </c>
      <c r="G500" s="584" t="s">
        <v>1295</v>
      </c>
    </row>
    <row r="501" spans="1:7" ht="14.25" customHeight="1" x14ac:dyDescent="0.25">
      <c r="A501" s="584" t="str">
        <f>'Mapa da Corregedoria'!AE$6</f>
        <v>17ª Vara</v>
      </c>
      <c r="B501" s="584" t="s">
        <v>120</v>
      </c>
      <c r="C501" s="584" t="s">
        <v>127</v>
      </c>
      <c r="D501" s="584" t="str">
        <f>'Mapa da Corregedoria'!$A$21</f>
        <v>Técnico Judiciário(Á. Apoio Especializado- Informática)</v>
      </c>
      <c r="E501" s="584">
        <f>'Mapa da Corregedoria'!$AE21</f>
        <v>0</v>
      </c>
      <c r="F501" s="584" t="s">
        <v>159</v>
      </c>
      <c r="G501" s="584" t="s">
        <v>1295</v>
      </c>
    </row>
    <row r="502" spans="1:7" ht="14.25" customHeight="1" x14ac:dyDescent="0.25">
      <c r="A502" s="584" t="str">
        <f>'Mapa da Corregedoria'!AE$6</f>
        <v>17ª Vara</v>
      </c>
      <c r="B502" s="584" t="s">
        <v>120</v>
      </c>
      <c r="C502" s="584" t="s">
        <v>127</v>
      </c>
      <c r="D502" s="584" t="str">
        <f>'Mapa da Corregedoria'!$A$24</f>
        <v>Técnico Judiciário (Á. Segurança e Transporte – Agente de Policia Judicial)</v>
      </c>
      <c r="E502" s="584">
        <f>'Mapa da Corregedoria'!$AE24</f>
        <v>2</v>
      </c>
      <c r="F502" s="584" t="s">
        <v>159</v>
      </c>
      <c r="G502" s="584" t="s">
        <v>1295</v>
      </c>
    </row>
    <row r="503" spans="1:7" ht="14.25" customHeight="1" x14ac:dyDescent="0.25">
      <c r="A503" s="584" t="str">
        <f>'Mapa da Corregedoria'!AE$6</f>
        <v>17ª Vara</v>
      </c>
      <c r="B503" s="584" t="s">
        <v>120</v>
      </c>
      <c r="C503" s="584" t="s">
        <v>127</v>
      </c>
      <c r="D503" s="584" t="str">
        <f>'Mapa da Corregedoria'!$A$25</f>
        <v>Auxiliar Judiciário</v>
      </c>
      <c r="E503" s="584">
        <f>'Mapa da Corregedoria'!$AE25</f>
        <v>0</v>
      </c>
      <c r="F503" s="584" t="s">
        <v>159</v>
      </c>
      <c r="G503" s="584" t="s">
        <v>1295</v>
      </c>
    </row>
    <row r="504" spans="1:7" ht="14.25" customHeight="1" x14ac:dyDescent="0.25">
      <c r="A504" s="584" t="str">
        <f>'Mapa da Corregedoria'!AE$6</f>
        <v>17ª Vara</v>
      </c>
      <c r="B504" s="584" t="s">
        <v>120</v>
      </c>
      <c r="C504" s="584" t="s">
        <v>127</v>
      </c>
      <c r="D504" s="584" t="str">
        <f>'Mapa da Corregedoria'!$A$27</f>
        <v>Requisitados</v>
      </c>
      <c r="E504" s="584">
        <f>'Mapa da Corregedoria'!$AE27</f>
        <v>0</v>
      </c>
      <c r="F504" s="584" t="str">
        <f>D504</f>
        <v>Requisitados</v>
      </c>
      <c r="G504" s="584" t="s">
        <v>1295</v>
      </c>
    </row>
    <row r="505" spans="1:7" ht="14.25" customHeight="1" x14ac:dyDescent="0.25">
      <c r="A505" s="584" t="str">
        <f>'Mapa da Corregedoria'!AE$6</f>
        <v>17ª Vara</v>
      </c>
      <c r="B505" s="584" t="s">
        <v>120</v>
      </c>
      <c r="C505" s="584" t="s">
        <v>127</v>
      </c>
      <c r="D505" s="584" t="str">
        <f>'Mapa da Corregedoria'!$A$28</f>
        <v>Exercício Provisório (de outros órgãos)</v>
      </c>
      <c r="E505" s="584">
        <f>'Mapa da Corregedoria'!$AE28</f>
        <v>1</v>
      </c>
      <c r="F505" s="584" t="str">
        <f>D505</f>
        <v>Exercício Provisório (de outros órgãos)</v>
      </c>
      <c r="G505" s="584" t="s">
        <v>1295</v>
      </c>
    </row>
    <row r="506" spans="1:7" ht="14.25" customHeight="1" x14ac:dyDescent="0.25">
      <c r="A506" s="584" t="str">
        <f>'Mapa da Corregedoria'!AE$6</f>
        <v>17ª Vara</v>
      </c>
      <c r="B506" s="584" t="s">
        <v>120</v>
      </c>
      <c r="C506" s="584" t="s">
        <v>127</v>
      </c>
      <c r="D506" s="584" t="str">
        <f>'Mapa da Corregedoria'!$A$29</f>
        <v>Removidos (de outros órgãos)</v>
      </c>
      <c r="E506" s="584">
        <f>'Mapa da Corregedoria'!$AE29</f>
        <v>2</v>
      </c>
      <c r="F506" s="584" t="str">
        <f>D506</f>
        <v>Removidos (de outros órgãos)</v>
      </c>
      <c r="G506" s="584" t="s">
        <v>1295</v>
      </c>
    </row>
    <row r="507" spans="1:7" ht="14.25" customHeight="1" x14ac:dyDescent="0.25">
      <c r="A507" s="584" t="str">
        <f>'Mapa da Corregedoria'!AE$6</f>
        <v>17ª Vara</v>
      </c>
      <c r="B507" s="584" t="s">
        <v>120</v>
      </c>
      <c r="C507" s="584" t="s">
        <v>127</v>
      </c>
      <c r="D507" s="584" t="str">
        <f>'Mapa da Corregedoria'!$A$30</f>
        <v>Sem Vínculo</v>
      </c>
      <c r="E507" s="584">
        <f>'Mapa da Corregedoria'!$AE30</f>
        <v>0</v>
      </c>
      <c r="F507" s="584" t="str">
        <f>D507</f>
        <v>Sem Vínculo</v>
      </c>
      <c r="G507" s="584" t="s">
        <v>1295</v>
      </c>
    </row>
    <row r="508" spans="1:7" ht="14.25" customHeight="1" x14ac:dyDescent="0.25">
      <c r="A508" s="584" t="str">
        <f>'Mapa da Corregedoria'!AF$6</f>
        <v>30ª Vara</v>
      </c>
      <c r="B508" s="584" t="s">
        <v>120</v>
      </c>
      <c r="C508" s="584" t="s">
        <v>127</v>
      </c>
      <c r="D508" s="584" t="str">
        <f>'Mapa da Corregedoria'!$A$8</f>
        <v>Analista Judiciário(Á. Judiciária)</v>
      </c>
      <c r="E508" s="584">
        <f>'Mapa da Corregedoria'!$AF8</f>
        <v>5</v>
      </c>
      <c r="F508" s="584" t="s">
        <v>159</v>
      </c>
      <c r="G508" s="584" t="s">
        <v>1295</v>
      </c>
    </row>
    <row r="509" spans="1:7" ht="14.25" customHeight="1" x14ac:dyDescent="0.25">
      <c r="A509" s="584" t="str">
        <f>'Mapa da Corregedoria'!AF$6</f>
        <v>30ª Vara</v>
      </c>
      <c r="B509" s="584" t="s">
        <v>120</v>
      </c>
      <c r="C509" s="584" t="s">
        <v>127</v>
      </c>
      <c r="D509" s="584" t="str">
        <f>'Mapa da Corregedoria'!$A$9</f>
        <v>Analista Judiciário(Á. Administrativa)</v>
      </c>
      <c r="E509" s="584">
        <f>'Mapa da Corregedoria'!$AF9</f>
        <v>1</v>
      </c>
      <c r="F509" s="584" t="s">
        <v>159</v>
      </c>
      <c r="G509" s="584" t="s">
        <v>1295</v>
      </c>
    </row>
    <row r="510" spans="1:7" ht="14.25" customHeight="1" x14ac:dyDescent="0.25">
      <c r="A510" s="584" t="str">
        <f>'Mapa da Corregedoria'!AF$6</f>
        <v>30ª Vara</v>
      </c>
      <c r="B510" s="584" t="s">
        <v>120</v>
      </c>
      <c r="C510" s="584" t="s">
        <v>127</v>
      </c>
      <c r="D510" s="584" t="str">
        <f>'Mapa da Corregedoria'!$A$10</f>
        <v>Analista Judiciário (Esp.Oficial de Justiça Avaliador Federal)</v>
      </c>
      <c r="E510" s="584">
        <f>'Mapa da Corregedoria'!$AF10</f>
        <v>1</v>
      </c>
      <c r="F510" s="584" t="s">
        <v>159</v>
      </c>
      <c r="G510" s="584" t="s">
        <v>1295</v>
      </c>
    </row>
    <row r="511" spans="1:7" ht="14.25" customHeight="1" x14ac:dyDescent="0.25">
      <c r="A511" s="584" t="str">
        <f>'Mapa da Corregedoria'!AF$6</f>
        <v>30ª Vara</v>
      </c>
      <c r="B511" s="584" t="s">
        <v>120</v>
      </c>
      <c r="C511" s="584" t="s">
        <v>127</v>
      </c>
      <c r="D511" s="584" t="str">
        <f>'Mapa da Corregedoria'!$A$11</f>
        <v>Anal.Jud.(Á. Biblioteconomia)</v>
      </c>
      <c r="E511" s="584">
        <f>'Mapa da Corregedoria'!$AF11</f>
        <v>0</v>
      </c>
      <c r="F511" s="584" t="s">
        <v>159</v>
      </c>
      <c r="G511" s="584" t="s">
        <v>1295</v>
      </c>
    </row>
    <row r="512" spans="1:7" ht="14.25" customHeight="1" x14ac:dyDescent="0.25">
      <c r="A512" s="584" t="str">
        <f>'Mapa da Corregedoria'!AF$6</f>
        <v>30ª Vara</v>
      </c>
      <c r="B512" s="584" t="s">
        <v>120</v>
      </c>
      <c r="C512" s="584" t="s">
        <v>127</v>
      </c>
      <c r="D512" s="584" t="str">
        <f>'Mapa da Corregedoria'!$A$12</f>
        <v>Analista Judiciário(Á. Apoio Especializado-Informática)</v>
      </c>
      <c r="E512" s="584">
        <f>'Mapa da Corregedoria'!$AF12</f>
        <v>0</v>
      </c>
      <c r="F512" s="584" t="s">
        <v>159</v>
      </c>
      <c r="G512" s="584" t="s">
        <v>1295</v>
      </c>
    </row>
    <row r="513" spans="1:7" ht="14.25" customHeight="1" x14ac:dyDescent="0.25">
      <c r="A513" s="584" t="str">
        <f>'Mapa da Corregedoria'!AF$6</f>
        <v>30ª Vara</v>
      </c>
      <c r="B513" s="584" t="s">
        <v>120</v>
      </c>
      <c r="C513" s="584" t="s">
        <v>127</v>
      </c>
      <c r="D513" s="584" t="str">
        <f>'Mapa da Corregedoria'!$A$13</f>
        <v>Analista Judiciário(Á. Apoio Especializado-Informática-Desenvolvimento)</v>
      </c>
      <c r="E513" s="584">
        <f>'Mapa da Corregedoria'!$AF13</f>
        <v>0</v>
      </c>
      <c r="F513" s="584" t="s">
        <v>159</v>
      </c>
      <c r="G513" s="584" t="s">
        <v>1295</v>
      </c>
    </row>
    <row r="514" spans="1:7" ht="14.25" customHeight="1" x14ac:dyDescent="0.25">
      <c r="A514" s="584" t="str">
        <f>'Mapa da Corregedoria'!AF$6</f>
        <v>30ª Vara</v>
      </c>
      <c r="B514" s="584" t="s">
        <v>120</v>
      </c>
      <c r="C514" s="584" t="s">
        <v>127</v>
      </c>
      <c r="D514" s="584" t="str">
        <f>'Mapa da Corregedoria'!$A$14</f>
        <v>Analista Judiciário(Á. Apoio Especializado-Informática-Infraestrutura)</v>
      </c>
      <c r="E514" s="584">
        <f>'Mapa da Corregedoria'!$AF14</f>
        <v>0</v>
      </c>
      <c r="F514" s="584" t="s">
        <v>159</v>
      </c>
      <c r="G514" s="584" t="s">
        <v>1295</v>
      </c>
    </row>
    <row r="515" spans="1:7" ht="14.25" customHeight="1" x14ac:dyDescent="0.25">
      <c r="A515" s="584" t="str">
        <f>'Mapa da Corregedoria'!AF$6</f>
        <v>30ª Vara</v>
      </c>
      <c r="B515" s="584" t="s">
        <v>120</v>
      </c>
      <c r="C515" s="584" t="s">
        <v>127</v>
      </c>
      <c r="D515" s="584" t="str">
        <f>'Mapa da Corregedoria'!$A$15</f>
        <v>Analista Judiciário(Á. Apoio Especializado-Medicina-Cliníca Médica)</v>
      </c>
      <c r="E515" s="584">
        <f>'Mapa da Corregedoria'!$AF15</f>
        <v>0</v>
      </c>
      <c r="F515" s="584" t="s">
        <v>159</v>
      </c>
      <c r="G515" s="584" t="s">
        <v>1295</v>
      </c>
    </row>
    <row r="516" spans="1:7" ht="14.25" customHeight="1" x14ac:dyDescent="0.25">
      <c r="A516" s="584" t="str">
        <f>'Mapa da Corregedoria'!AF$6</f>
        <v>30ª Vara</v>
      </c>
      <c r="B516" s="584" t="s">
        <v>120</v>
      </c>
      <c r="C516" s="584" t="s">
        <v>127</v>
      </c>
      <c r="D516" s="584" t="str">
        <f>'Mapa da Corregedoria'!$A$16</f>
        <v>Analista Judiciário(Á. Apoio Especializado-Contadoria)</v>
      </c>
      <c r="E516" s="584">
        <f>'Mapa da Corregedoria'!$AF16</f>
        <v>0</v>
      </c>
      <c r="F516" s="584" t="s">
        <v>159</v>
      </c>
      <c r="G516" s="584" t="s">
        <v>1295</v>
      </c>
    </row>
    <row r="517" spans="1:7" ht="14.25" customHeight="1" x14ac:dyDescent="0.25">
      <c r="A517" s="584" t="str">
        <f>'Mapa da Corregedoria'!AF$6</f>
        <v>30ª Vara</v>
      </c>
      <c r="B517" s="584" t="s">
        <v>120</v>
      </c>
      <c r="C517" s="584" t="s">
        <v>127</v>
      </c>
      <c r="D517" s="584" t="str">
        <f>'Mapa da Corregedoria'!$A$17</f>
        <v>Analista Judiciário(Á. Apoio Especializado- Engenharia Civil)</v>
      </c>
      <c r="E517" s="584">
        <f>'Mapa da Corregedoria'!$AF17</f>
        <v>0</v>
      </c>
      <c r="F517" s="584" t="s">
        <v>159</v>
      </c>
      <c r="G517" s="584" t="s">
        <v>1295</v>
      </c>
    </row>
    <row r="518" spans="1:7" ht="14.25" customHeight="1" x14ac:dyDescent="0.25">
      <c r="A518" s="584" t="str">
        <f>'Mapa da Corregedoria'!AF$6</f>
        <v>30ª Vara</v>
      </c>
      <c r="B518" s="584" t="s">
        <v>120</v>
      </c>
      <c r="C518" s="584" t="s">
        <v>127</v>
      </c>
      <c r="D518" s="584" t="str">
        <f>'Mapa da Corregedoria'!$A$20</f>
        <v xml:space="preserve">Técnico Judiciário (Á. Administrativa)-inclusas as Especialidades Serviços de Portaria/Telefonia </v>
      </c>
      <c r="E518" s="584">
        <f>'Mapa da Corregedoria'!$AF20</f>
        <v>4</v>
      </c>
      <c r="F518" s="584" t="s">
        <v>159</v>
      </c>
      <c r="G518" s="584" t="s">
        <v>1295</v>
      </c>
    </row>
    <row r="519" spans="1:7" ht="14.25" customHeight="1" x14ac:dyDescent="0.25">
      <c r="A519" s="584" t="str">
        <f>'Mapa da Corregedoria'!AF$6</f>
        <v>30ª Vara</v>
      </c>
      <c r="B519" s="584" t="s">
        <v>120</v>
      </c>
      <c r="C519" s="584" t="s">
        <v>127</v>
      </c>
      <c r="D519" s="584" t="str">
        <f>'Mapa da Corregedoria'!$A$21</f>
        <v>Técnico Judiciário(Á. Apoio Especializado- Informática)</v>
      </c>
      <c r="E519" s="584">
        <f>'Mapa da Corregedoria'!$AF21</f>
        <v>0</v>
      </c>
      <c r="F519" s="584" t="s">
        <v>159</v>
      </c>
      <c r="G519" s="584" t="s">
        <v>1295</v>
      </c>
    </row>
    <row r="520" spans="1:7" ht="14.25" customHeight="1" x14ac:dyDescent="0.25">
      <c r="A520" s="584" t="str">
        <f>'Mapa da Corregedoria'!AF$6</f>
        <v>30ª Vara</v>
      </c>
      <c r="B520" s="584" t="s">
        <v>120</v>
      </c>
      <c r="C520" s="584" t="s">
        <v>127</v>
      </c>
      <c r="D520" s="584" t="str">
        <f>'Mapa da Corregedoria'!$A$24</f>
        <v>Técnico Judiciário (Á. Segurança e Transporte – Agente de Policia Judicial)</v>
      </c>
      <c r="E520" s="584">
        <f>'Mapa da Corregedoria'!$AF24</f>
        <v>1</v>
      </c>
      <c r="F520" s="584" t="s">
        <v>159</v>
      </c>
      <c r="G520" s="584" t="s">
        <v>1295</v>
      </c>
    </row>
    <row r="521" spans="1:7" ht="14.25" customHeight="1" x14ac:dyDescent="0.25">
      <c r="A521" s="584" t="str">
        <f>'Mapa da Corregedoria'!AF$6</f>
        <v>30ª Vara</v>
      </c>
      <c r="B521" s="584" t="s">
        <v>120</v>
      </c>
      <c r="C521" s="584" t="s">
        <v>127</v>
      </c>
      <c r="D521" s="584" t="str">
        <f>'Mapa da Corregedoria'!$A$25</f>
        <v>Auxiliar Judiciário</v>
      </c>
      <c r="E521" s="584">
        <f>'Mapa da Corregedoria'!$AF25</f>
        <v>0</v>
      </c>
      <c r="F521" s="584" t="s">
        <v>159</v>
      </c>
      <c r="G521" s="584" t="s">
        <v>1295</v>
      </c>
    </row>
    <row r="522" spans="1:7" ht="14.25" customHeight="1" x14ac:dyDescent="0.25">
      <c r="A522" s="584" t="str">
        <f>'Mapa da Corregedoria'!AF$6</f>
        <v>30ª Vara</v>
      </c>
      <c r="B522" s="584" t="s">
        <v>120</v>
      </c>
      <c r="C522" s="584" t="s">
        <v>127</v>
      </c>
      <c r="D522" s="584" t="str">
        <f>'Mapa da Corregedoria'!$A$27</f>
        <v>Requisitados</v>
      </c>
      <c r="E522" s="584">
        <f>'Mapa da Corregedoria'!$AF27</f>
        <v>1</v>
      </c>
      <c r="F522" s="584" t="str">
        <f>D522</f>
        <v>Requisitados</v>
      </c>
      <c r="G522" s="584" t="s">
        <v>1295</v>
      </c>
    </row>
    <row r="523" spans="1:7" ht="14.25" customHeight="1" x14ac:dyDescent="0.25">
      <c r="A523" s="584" t="str">
        <f>'Mapa da Corregedoria'!AF$6</f>
        <v>30ª Vara</v>
      </c>
      <c r="B523" s="584" t="s">
        <v>120</v>
      </c>
      <c r="C523" s="584" t="s">
        <v>127</v>
      </c>
      <c r="D523" s="584" t="str">
        <f>'Mapa da Corregedoria'!$A$28</f>
        <v>Exercício Provisório (de outros órgãos)</v>
      </c>
      <c r="E523" s="584">
        <f>'Mapa da Corregedoria'!$AF28</f>
        <v>0</v>
      </c>
      <c r="F523" s="584" t="str">
        <f>D523</f>
        <v>Exercício Provisório (de outros órgãos)</v>
      </c>
      <c r="G523" s="584" t="s">
        <v>1295</v>
      </c>
    </row>
    <row r="524" spans="1:7" ht="14.25" customHeight="1" x14ac:dyDescent="0.25">
      <c r="A524" s="584" t="str">
        <f>'Mapa da Corregedoria'!AF$6</f>
        <v>30ª Vara</v>
      </c>
      <c r="B524" s="584" t="s">
        <v>120</v>
      </c>
      <c r="C524" s="584" t="s">
        <v>127</v>
      </c>
      <c r="D524" s="584" t="str">
        <f>'Mapa da Corregedoria'!$A$29</f>
        <v>Removidos (de outros órgãos)</v>
      </c>
      <c r="E524" s="584">
        <f>'Mapa da Corregedoria'!$AF29</f>
        <v>4</v>
      </c>
      <c r="F524" s="584" t="str">
        <f>D524</f>
        <v>Removidos (de outros órgãos)</v>
      </c>
      <c r="G524" s="584" t="s">
        <v>1295</v>
      </c>
    </row>
    <row r="525" spans="1:7" ht="14.25" customHeight="1" x14ac:dyDescent="0.25">
      <c r="A525" s="584" t="str">
        <f>'Mapa da Corregedoria'!AF$6</f>
        <v>30ª Vara</v>
      </c>
      <c r="B525" s="584" t="s">
        <v>120</v>
      </c>
      <c r="C525" s="584" t="s">
        <v>127</v>
      </c>
      <c r="D525" s="584" t="str">
        <f>'Mapa da Corregedoria'!$A$30</f>
        <v>Sem Vínculo</v>
      </c>
      <c r="E525" s="584">
        <f>'Mapa da Corregedoria'!$AF30</f>
        <v>0</v>
      </c>
      <c r="F525" s="584" t="str">
        <f>D525</f>
        <v>Sem Vínculo</v>
      </c>
      <c r="G525" s="584" t="s">
        <v>1295</v>
      </c>
    </row>
    <row r="526" spans="1:7" ht="14.25" customHeight="1" x14ac:dyDescent="0.25">
      <c r="A526" s="584" t="str">
        <f>'Mapa da Corregedoria'!AG$6</f>
        <v xml:space="preserve">Subdiretoria do Foro </v>
      </c>
      <c r="B526" s="584" t="s">
        <v>1235</v>
      </c>
      <c r="C526" s="584" t="s">
        <v>3572</v>
      </c>
      <c r="D526" s="584" t="str">
        <f>'Mapa da Corregedoria'!$A$8</f>
        <v>Analista Judiciário(Á. Judiciária)</v>
      </c>
      <c r="E526" s="584">
        <f>'Mapa da Corregedoria'!$AG8</f>
        <v>0</v>
      </c>
      <c r="F526" s="584" t="s">
        <v>159</v>
      </c>
      <c r="G526" s="584" t="s">
        <v>1295</v>
      </c>
    </row>
    <row r="527" spans="1:7" ht="14.25" customHeight="1" x14ac:dyDescent="0.25">
      <c r="A527" s="584" t="str">
        <f>'Mapa da Corregedoria'!AG$6</f>
        <v xml:space="preserve">Subdiretoria do Foro </v>
      </c>
      <c r="B527" s="584" t="s">
        <v>1235</v>
      </c>
      <c r="C527" s="584" t="s">
        <v>3572</v>
      </c>
      <c r="D527" s="584" t="str">
        <f>'Mapa da Corregedoria'!$A$9</f>
        <v>Analista Judiciário(Á. Administrativa)</v>
      </c>
      <c r="E527" s="584">
        <f>'Mapa da Corregedoria'!$AG9</f>
        <v>0</v>
      </c>
      <c r="F527" s="584" t="s">
        <v>159</v>
      </c>
      <c r="G527" s="584" t="s">
        <v>1295</v>
      </c>
    </row>
    <row r="528" spans="1:7" ht="14.25" customHeight="1" x14ac:dyDescent="0.25">
      <c r="A528" s="584" t="str">
        <f>'Mapa da Corregedoria'!AG$6</f>
        <v xml:space="preserve">Subdiretoria do Foro </v>
      </c>
      <c r="B528" s="584" t="s">
        <v>1235</v>
      </c>
      <c r="C528" s="584" t="s">
        <v>3572</v>
      </c>
      <c r="D528" s="584" t="str">
        <f>'Mapa da Corregedoria'!$A$10</f>
        <v>Analista Judiciário (Esp.Oficial de Justiça Avaliador Federal)</v>
      </c>
      <c r="E528" s="584">
        <f>'Mapa da Corregedoria'!$AG10</f>
        <v>0</v>
      </c>
      <c r="F528" s="584" t="s">
        <v>159</v>
      </c>
      <c r="G528" s="584" t="s">
        <v>1295</v>
      </c>
    </row>
    <row r="529" spans="1:7" ht="14.25" customHeight="1" x14ac:dyDescent="0.25">
      <c r="A529" s="584" t="str">
        <f>'Mapa da Corregedoria'!AG$6</f>
        <v xml:space="preserve">Subdiretoria do Foro </v>
      </c>
      <c r="B529" s="584" t="s">
        <v>1235</v>
      </c>
      <c r="C529" s="584" t="s">
        <v>3572</v>
      </c>
      <c r="D529" s="584" t="str">
        <f>'Mapa da Corregedoria'!$A$11</f>
        <v>Anal.Jud.(Á. Biblioteconomia)</v>
      </c>
      <c r="E529" s="584">
        <f>'Mapa da Corregedoria'!$AG11</f>
        <v>0</v>
      </c>
      <c r="F529" s="584" t="s">
        <v>159</v>
      </c>
      <c r="G529" s="584" t="s">
        <v>1295</v>
      </c>
    </row>
    <row r="530" spans="1:7" ht="14.25" customHeight="1" x14ac:dyDescent="0.25">
      <c r="A530" s="584" t="str">
        <f>'Mapa da Corregedoria'!AG$6</f>
        <v xml:space="preserve">Subdiretoria do Foro </v>
      </c>
      <c r="B530" s="584" t="s">
        <v>1235</v>
      </c>
      <c r="C530" s="584" t="s">
        <v>3572</v>
      </c>
      <c r="D530" s="584" t="str">
        <f>'Mapa da Corregedoria'!$A$12</f>
        <v>Analista Judiciário(Á. Apoio Especializado-Informática)</v>
      </c>
      <c r="E530" s="584">
        <f>'Mapa da Corregedoria'!$AG12</f>
        <v>0</v>
      </c>
      <c r="F530" s="584" t="s">
        <v>159</v>
      </c>
      <c r="G530" s="584" t="s">
        <v>1295</v>
      </c>
    </row>
    <row r="531" spans="1:7" ht="14.25" customHeight="1" x14ac:dyDescent="0.25">
      <c r="A531" s="584" t="str">
        <f>'Mapa da Corregedoria'!AG$6</f>
        <v xml:space="preserve">Subdiretoria do Foro </v>
      </c>
      <c r="B531" s="584" t="s">
        <v>1235</v>
      </c>
      <c r="C531" s="584" t="s">
        <v>3572</v>
      </c>
      <c r="D531" s="584" t="str">
        <f>'Mapa da Corregedoria'!$A$13</f>
        <v>Analista Judiciário(Á. Apoio Especializado-Informática-Desenvolvimento)</v>
      </c>
      <c r="E531" s="584">
        <f>'Mapa da Corregedoria'!$AG13</f>
        <v>0</v>
      </c>
      <c r="F531" s="584" t="s">
        <v>159</v>
      </c>
      <c r="G531" s="584" t="s">
        <v>1295</v>
      </c>
    </row>
    <row r="532" spans="1:7" ht="14.25" customHeight="1" x14ac:dyDescent="0.25">
      <c r="A532" s="584" t="str">
        <f>'Mapa da Corregedoria'!AG$6</f>
        <v xml:space="preserve">Subdiretoria do Foro </v>
      </c>
      <c r="B532" s="584" t="s">
        <v>1235</v>
      </c>
      <c r="C532" s="584" t="s">
        <v>3572</v>
      </c>
      <c r="D532" s="584" t="str">
        <f>'Mapa da Corregedoria'!$A$14</f>
        <v>Analista Judiciário(Á. Apoio Especializado-Informática-Infraestrutura)</v>
      </c>
      <c r="E532" s="584">
        <f>'Mapa da Corregedoria'!$AG14</f>
        <v>0</v>
      </c>
      <c r="F532" s="584" t="s">
        <v>159</v>
      </c>
      <c r="G532" s="584" t="s">
        <v>1295</v>
      </c>
    </row>
    <row r="533" spans="1:7" ht="14.25" customHeight="1" x14ac:dyDescent="0.25">
      <c r="A533" s="584" t="str">
        <f>'Mapa da Corregedoria'!AG$6</f>
        <v xml:space="preserve">Subdiretoria do Foro </v>
      </c>
      <c r="B533" s="584" t="s">
        <v>1235</v>
      </c>
      <c r="C533" s="584" t="s">
        <v>3572</v>
      </c>
      <c r="D533" s="584" t="str">
        <f>'Mapa da Corregedoria'!$A$15</f>
        <v>Analista Judiciário(Á. Apoio Especializado-Medicina-Cliníca Médica)</v>
      </c>
      <c r="E533" s="584">
        <f>'Mapa da Corregedoria'!$AG15</f>
        <v>0</v>
      </c>
      <c r="F533" s="584" t="s">
        <v>159</v>
      </c>
      <c r="G533" s="584" t="s">
        <v>1295</v>
      </c>
    </row>
    <row r="534" spans="1:7" ht="14.25" customHeight="1" x14ac:dyDescent="0.25">
      <c r="A534" s="584" t="str">
        <f>'Mapa da Corregedoria'!AG$6</f>
        <v xml:space="preserve">Subdiretoria do Foro </v>
      </c>
      <c r="B534" s="584" t="s">
        <v>1235</v>
      </c>
      <c r="C534" s="584" t="s">
        <v>3572</v>
      </c>
      <c r="D534" s="584" t="str">
        <f>'Mapa da Corregedoria'!$A$16</f>
        <v>Analista Judiciário(Á. Apoio Especializado-Contadoria)</v>
      </c>
      <c r="E534" s="584">
        <f>'Mapa da Corregedoria'!$AG16</f>
        <v>0</v>
      </c>
      <c r="F534" s="584" t="s">
        <v>159</v>
      </c>
      <c r="G534" s="584" t="s">
        <v>1295</v>
      </c>
    </row>
    <row r="535" spans="1:7" ht="14.25" customHeight="1" x14ac:dyDescent="0.25">
      <c r="A535" s="584" t="str">
        <f>'Mapa da Corregedoria'!AG$6</f>
        <v xml:space="preserve">Subdiretoria do Foro </v>
      </c>
      <c r="B535" s="584" t="s">
        <v>1235</v>
      </c>
      <c r="C535" s="584" t="s">
        <v>3572</v>
      </c>
      <c r="D535" s="584" t="str">
        <f>'Mapa da Corregedoria'!$A$17</f>
        <v>Analista Judiciário(Á. Apoio Especializado- Engenharia Civil)</v>
      </c>
      <c r="E535" s="584">
        <f>'Mapa da Corregedoria'!$AG17</f>
        <v>0</v>
      </c>
      <c r="F535" s="584" t="s">
        <v>159</v>
      </c>
      <c r="G535" s="584" t="s">
        <v>1295</v>
      </c>
    </row>
    <row r="536" spans="1:7" ht="14.25" customHeight="1" x14ac:dyDescent="0.25">
      <c r="A536" s="584" t="str">
        <f>'Mapa da Corregedoria'!AG$6</f>
        <v xml:space="preserve">Subdiretoria do Foro </v>
      </c>
      <c r="B536" s="584" t="s">
        <v>1235</v>
      </c>
      <c r="C536" s="584" t="s">
        <v>3572</v>
      </c>
      <c r="D536" s="584" t="str">
        <f>'Mapa da Corregedoria'!$A$20</f>
        <v xml:space="preserve">Técnico Judiciário (Á. Administrativa)-inclusas as Especialidades Serviços de Portaria/Telefonia </v>
      </c>
      <c r="E536" s="584">
        <f>'Mapa da Corregedoria'!$AG20</f>
        <v>2</v>
      </c>
      <c r="F536" s="584" t="s">
        <v>159</v>
      </c>
      <c r="G536" s="584" t="s">
        <v>1295</v>
      </c>
    </row>
    <row r="537" spans="1:7" ht="14.25" customHeight="1" x14ac:dyDescent="0.25">
      <c r="A537" s="584" t="str">
        <f>'Mapa da Corregedoria'!AG$6</f>
        <v xml:space="preserve">Subdiretoria do Foro </v>
      </c>
      <c r="B537" s="584" t="s">
        <v>1235</v>
      </c>
      <c r="C537" s="584" t="s">
        <v>3572</v>
      </c>
      <c r="D537" s="584" t="str">
        <f>'Mapa da Corregedoria'!$A$21</f>
        <v>Técnico Judiciário(Á. Apoio Especializado- Informática)</v>
      </c>
      <c r="E537" s="584">
        <f>'Mapa da Corregedoria'!$AG21</f>
        <v>0</v>
      </c>
      <c r="F537" s="584" t="s">
        <v>159</v>
      </c>
      <c r="G537" s="584" t="s">
        <v>1295</v>
      </c>
    </row>
    <row r="538" spans="1:7" ht="14.25" customHeight="1" x14ac:dyDescent="0.25">
      <c r="A538" s="584" t="str">
        <f>'Mapa da Corregedoria'!AG$6</f>
        <v xml:space="preserve">Subdiretoria do Foro </v>
      </c>
      <c r="B538" s="584" t="s">
        <v>1235</v>
      </c>
      <c r="C538" s="584" t="s">
        <v>3572</v>
      </c>
      <c r="D538" s="584" t="str">
        <f>'Mapa da Corregedoria'!$A$24</f>
        <v>Técnico Judiciário (Á. Segurança e Transporte – Agente de Policia Judicial)</v>
      </c>
      <c r="E538" s="584">
        <f>'Mapa da Corregedoria'!$AG24</f>
        <v>2</v>
      </c>
      <c r="F538" s="584" t="s">
        <v>159</v>
      </c>
      <c r="G538" s="584" t="s">
        <v>1295</v>
      </c>
    </row>
    <row r="539" spans="1:7" ht="14.25" customHeight="1" x14ac:dyDescent="0.25">
      <c r="A539" s="584" t="str">
        <f>'Mapa da Corregedoria'!AG$6</f>
        <v xml:space="preserve">Subdiretoria do Foro </v>
      </c>
      <c r="B539" s="584" t="s">
        <v>1235</v>
      </c>
      <c r="C539" s="584" t="s">
        <v>3572</v>
      </c>
      <c r="D539" s="584" t="str">
        <f>'Mapa da Corregedoria'!$A$25</f>
        <v>Auxiliar Judiciário</v>
      </c>
      <c r="E539" s="584">
        <f>'Mapa da Corregedoria'!$AG25</f>
        <v>0</v>
      </c>
      <c r="F539" s="584" t="s">
        <v>159</v>
      </c>
      <c r="G539" s="584" t="s">
        <v>1295</v>
      </c>
    </row>
    <row r="540" spans="1:7" ht="14.25" customHeight="1" x14ac:dyDescent="0.25">
      <c r="A540" s="584" t="str">
        <f>'Mapa da Corregedoria'!AG$6</f>
        <v xml:space="preserve">Subdiretoria do Foro </v>
      </c>
      <c r="B540" s="584" t="s">
        <v>1235</v>
      </c>
      <c r="C540" s="584" t="s">
        <v>3572</v>
      </c>
      <c r="D540" s="584" t="str">
        <f>'Mapa da Corregedoria'!$A$27</f>
        <v>Requisitados</v>
      </c>
      <c r="E540" s="584">
        <f>'Mapa da Corregedoria'!$AG27</f>
        <v>1</v>
      </c>
      <c r="F540" s="584" t="str">
        <f>D540</f>
        <v>Requisitados</v>
      </c>
      <c r="G540" s="584" t="s">
        <v>1295</v>
      </c>
    </row>
    <row r="541" spans="1:7" ht="14.25" customHeight="1" x14ac:dyDescent="0.25">
      <c r="A541" s="584" t="str">
        <f>'Mapa da Corregedoria'!AG$6</f>
        <v xml:space="preserve">Subdiretoria do Foro </v>
      </c>
      <c r="B541" s="584" t="s">
        <v>1235</v>
      </c>
      <c r="C541" s="584" t="s">
        <v>3572</v>
      </c>
      <c r="D541" s="584" t="str">
        <f>'Mapa da Corregedoria'!$A$28</f>
        <v>Exercício Provisório (de outros órgãos)</v>
      </c>
      <c r="E541" s="584">
        <f>'Mapa da Corregedoria'!$AG28</f>
        <v>1</v>
      </c>
      <c r="F541" s="584" t="str">
        <f>D541</f>
        <v>Exercício Provisório (de outros órgãos)</v>
      </c>
      <c r="G541" s="584" t="s">
        <v>1295</v>
      </c>
    </row>
    <row r="542" spans="1:7" ht="14.25" customHeight="1" x14ac:dyDescent="0.25">
      <c r="A542" s="584" t="str">
        <f>'Mapa da Corregedoria'!AG$6</f>
        <v xml:space="preserve">Subdiretoria do Foro </v>
      </c>
      <c r="B542" s="584" t="s">
        <v>1235</v>
      </c>
      <c r="C542" s="584" t="s">
        <v>3572</v>
      </c>
      <c r="D542" s="584" t="str">
        <f>'Mapa da Corregedoria'!$A$29</f>
        <v>Removidos (de outros órgãos)</v>
      </c>
      <c r="E542" s="584">
        <f>'Mapa da Corregedoria'!$AG29</f>
        <v>0</v>
      </c>
      <c r="F542" s="584" t="str">
        <f>D542</f>
        <v>Removidos (de outros órgãos)</v>
      </c>
      <c r="G542" s="584" t="s">
        <v>1295</v>
      </c>
    </row>
    <row r="543" spans="1:7" ht="14.25" customHeight="1" x14ac:dyDescent="0.25">
      <c r="A543" s="584" t="str">
        <f>'Mapa da Corregedoria'!AG$6</f>
        <v xml:space="preserve">Subdiretoria do Foro </v>
      </c>
      <c r="B543" s="584" t="s">
        <v>1235</v>
      </c>
      <c r="C543" s="584" t="s">
        <v>3572</v>
      </c>
      <c r="D543" s="584" t="str">
        <f>'Mapa da Corregedoria'!$A$30</f>
        <v>Sem Vínculo</v>
      </c>
      <c r="E543" s="584">
        <f>'Mapa da Corregedoria'!$AG30</f>
        <v>0</v>
      </c>
      <c r="F543" s="584" t="str">
        <f>D543</f>
        <v>Sem Vínculo</v>
      </c>
      <c r="G543" s="584" t="s">
        <v>1295</v>
      </c>
    </row>
    <row r="544" spans="1:7" ht="14.25" customHeight="1" x14ac:dyDescent="0.25">
      <c r="A544" s="584" t="str">
        <f>'Mapa da Corregedoria'!AI$6</f>
        <v>18ª Vara</v>
      </c>
      <c r="B544" s="584" t="s">
        <v>120</v>
      </c>
      <c r="C544" s="584" t="s">
        <v>124</v>
      </c>
      <c r="D544" s="584" t="str">
        <f>'Mapa da Corregedoria'!$A$8</f>
        <v>Analista Judiciário(Á. Judiciária)</v>
      </c>
      <c r="E544" s="584">
        <f>'Mapa da Corregedoria'!$AI8</f>
        <v>7</v>
      </c>
      <c r="F544" s="584" t="s">
        <v>159</v>
      </c>
      <c r="G544" s="584" t="s">
        <v>1338</v>
      </c>
    </row>
    <row r="545" spans="1:7" ht="14.25" customHeight="1" x14ac:dyDescent="0.25">
      <c r="A545" s="584" t="str">
        <f>'Mapa da Corregedoria'!AI$6</f>
        <v>18ª Vara</v>
      </c>
      <c r="B545" s="584" t="s">
        <v>120</v>
      </c>
      <c r="C545" s="584" t="s">
        <v>124</v>
      </c>
      <c r="D545" s="584" t="str">
        <f>'Mapa da Corregedoria'!$A$9</f>
        <v>Analista Judiciário(Á. Administrativa)</v>
      </c>
      <c r="E545" s="584">
        <f>'Mapa da Corregedoria'!$AI9</f>
        <v>1</v>
      </c>
      <c r="F545" s="584" t="s">
        <v>159</v>
      </c>
      <c r="G545" s="584" t="s">
        <v>1338</v>
      </c>
    </row>
    <row r="546" spans="1:7" ht="14.25" customHeight="1" x14ac:dyDescent="0.25">
      <c r="A546" s="584" t="str">
        <f>'Mapa da Corregedoria'!AI$6</f>
        <v>18ª Vara</v>
      </c>
      <c r="B546" s="584" t="s">
        <v>120</v>
      </c>
      <c r="C546" s="584" t="s">
        <v>124</v>
      </c>
      <c r="D546" s="584" t="str">
        <f>'Mapa da Corregedoria'!$A$10</f>
        <v>Analista Judiciário (Esp.Oficial de Justiça Avaliador Federal)</v>
      </c>
      <c r="E546" s="584">
        <f>'Mapa da Corregedoria'!$AI10</f>
        <v>2</v>
      </c>
      <c r="F546" s="584" t="s">
        <v>159</v>
      </c>
      <c r="G546" s="584" t="s">
        <v>1338</v>
      </c>
    </row>
    <row r="547" spans="1:7" ht="14.25" customHeight="1" x14ac:dyDescent="0.25">
      <c r="A547" s="584" t="str">
        <f>'Mapa da Corregedoria'!AI$6</f>
        <v>18ª Vara</v>
      </c>
      <c r="B547" s="584" t="s">
        <v>120</v>
      </c>
      <c r="C547" s="584" t="s">
        <v>124</v>
      </c>
      <c r="D547" s="584" t="str">
        <f>'Mapa da Corregedoria'!$A$11</f>
        <v>Anal.Jud.(Á. Biblioteconomia)</v>
      </c>
      <c r="E547" s="584">
        <f>'Mapa da Corregedoria'!$AI11</f>
        <v>0</v>
      </c>
      <c r="F547" s="584" t="s">
        <v>159</v>
      </c>
      <c r="G547" s="584" t="s">
        <v>1338</v>
      </c>
    </row>
    <row r="548" spans="1:7" ht="14.25" customHeight="1" x14ac:dyDescent="0.25">
      <c r="A548" s="584" t="str">
        <f>'Mapa da Corregedoria'!AI$6</f>
        <v>18ª Vara</v>
      </c>
      <c r="B548" s="584" t="s">
        <v>120</v>
      </c>
      <c r="C548" s="584" t="s">
        <v>124</v>
      </c>
      <c r="D548" s="584" t="str">
        <f>'Mapa da Corregedoria'!$A$12</f>
        <v>Analista Judiciário(Á. Apoio Especializado-Informática)</v>
      </c>
      <c r="E548" s="584">
        <f>'Mapa da Corregedoria'!$AI12</f>
        <v>0</v>
      </c>
      <c r="F548" s="584" t="s">
        <v>159</v>
      </c>
      <c r="G548" s="584" t="s">
        <v>1338</v>
      </c>
    </row>
    <row r="549" spans="1:7" ht="14.25" customHeight="1" x14ac:dyDescent="0.25">
      <c r="A549" s="584" t="str">
        <f>'Mapa da Corregedoria'!AI$6</f>
        <v>18ª Vara</v>
      </c>
      <c r="B549" s="584" t="s">
        <v>120</v>
      </c>
      <c r="C549" s="584" t="s">
        <v>124</v>
      </c>
      <c r="D549" s="584" t="str">
        <f>'Mapa da Corregedoria'!$A$13</f>
        <v>Analista Judiciário(Á. Apoio Especializado-Informática-Desenvolvimento)</v>
      </c>
      <c r="E549" s="584">
        <f>'Mapa da Corregedoria'!$AI13</f>
        <v>0</v>
      </c>
      <c r="F549" s="584" t="s">
        <v>159</v>
      </c>
      <c r="G549" s="584" t="s">
        <v>1338</v>
      </c>
    </row>
    <row r="550" spans="1:7" ht="14.25" customHeight="1" x14ac:dyDescent="0.25">
      <c r="A550" s="584" t="str">
        <f>'Mapa da Corregedoria'!AI$6</f>
        <v>18ª Vara</v>
      </c>
      <c r="B550" s="584" t="s">
        <v>120</v>
      </c>
      <c r="C550" s="584" t="s">
        <v>124</v>
      </c>
      <c r="D550" s="584" t="str">
        <f>'Mapa da Corregedoria'!$A$14</f>
        <v>Analista Judiciário(Á. Apoio Especializado-Informática-Infraestrutura)</v>
      </c>
      <c r="E550" s="584">
        <f>'Mapa da Corregedoria'!$AI14</f>
        <v>0</v>
      </c>
      <c r="F550" s="584" t="s">
        <v>159</v>
      </c>
      <c r="G550" s="584" t="s">
        <v>1338</v>
      </c>
    </row>
    <row r="551" spans="1:7" ht="14.25" customHeight="1" x14ac:dyDescent="0.25">
      <c r="A551" s="584" t="str">
        <f>'Mapa da Corregedoria'!AI$6</f>
        <v>18ª Vara</v>
      </c>
      <c r="B551" s="584" t="s">
        <v>120</v>
      </c>
      <c r="C551" s="584" t="s">
        <v>124</v>
      </c>
      <c r="D551" s="584" t="str">
        <f>'Mapa da Corregedoria'!$A$15</f>
        <v>Analista Judiciário(Á. Apoio Especializado-Medicina-Cliníca Médica)</v>
      </c>
      <c r="E551" s="584">
        <f>'Mapa da Corregedoria'!$AI15</f>
        <v>0</v>
      </c>
      <c r="F551" s="584" t="s">
        <v>159</v>
      </c>
      <c r="G551" s="584" t="s">
        <v>1338</v>
      </c>
    </row>
    <row r="552" spans="1:7" ht="14.25" customHeight="1" x14ac:dyDescent="0.25">
      <c r="A552" s="584" t="str">
        <f>'Mapa da Corregedoria'!AI$6</f>
        <v>18ª Vara</v>
      </c>
      <c r="B552" s="584" t="s">
        <v>120</v>
      </c>
      <c r="C552" s="584" t="s">
        <v>124</v>
      </c>
      <c r="D552" s="584" t="str">
        <f>'Mapa da Corregedoria'!$A$16</f>
        <v>Analista Judiciário(Á. Apoio Especializado-Contadoria)</v>
      </c>
      <c r="E552" s="584">
        <f>'Mapa da Corregedoria'!$AI16</f>
        <v>0</v>
      </c>
      <c r="F552" s="584" t="s">
        <v>159</v>
      </c>
      <c r="G552" s="584" t="s">
        <v>1338</v>
      </c>
    </row>
    <row r="553" spans="1:7" ht="14.25" customHeight="1" x14ac:dyDescent="0.25">
      <c r="A553" s="584" t="str">
        <f>'Mapa da Corregedoria'!AI$6</f>
        <v>18ª Vara</v>
      </c>
      <c r="B553" s="584" t="s">
        <v>120</v>
      </c>
      <c r="C553" s="584" t="s">
        <v>124</v>
      </c>
      <c r="D553" s="584" t="str">
        <f>'Mapa da Corregedoria'!$A$17</f>
        <v>Analista Judiciário(Á. Apoio Especializado- Engenharia Civil)</v>
      </c>
      <c r="E553" s="584">
        <f>'Mapa da Corregedoria'!$AI17</f>
        <v>0</v>
      </c>
      <c r="F553" s="584" t="s">
        <v>159</v>
      </c>
      <c r="G553" s="584" t="s">
        <v>1338</v>
      </c>
    </row>
    <row r="554" spans="1:7" ht="14.25" customHeight="1" x14ac:dyDescent="0.25">
      <c r="A554" s="584" t="str">
        <f>'Mapa da Corregedoria'!AI$6</f>
        <v>18ª Vara</v>
      </c>
      <c r="B554" s="584" t="s">
        <v>120</v>
      </c>
      <c r="C554" s="584" t="s">
        <v>124</v>
      </c>
      <c r="D554" s="584" t="str">
        <f>'Mapa da Corregedoria'!$A$20</f>
        <v xml:space="preserve">Técnico Judiciário (Á. Administrativa)-inclusas as Especialidades Serviços de Portaria/Telefonia </v>
      </c>
      <c r="E554" s="584">
        <f>'Mapa da Corregedoria'!$AI20</f>
        <v>8</v>
      </c>
      <c r="F554" s="584" t="s">
        <v>159</v>
      </c>
      <c r="G554" s="584" t="s">
        <v>1338</v>
      </c>
    </row>
    <row r="555" spans="1:7" ht="14.25" customHeight="1" x14ac:dyDescent="0.25">
      <c r="A555" s="584" t="str">
        <f>'Mapa da Corregedoria'!AI$6</f>
        <v>18ª Vara</v>
      </c>
      <c r="B555" s="584" t="s">
        <v>120</v>
      </c>
      <c r="C555" s="584" t="s">
        <v>124</v>
      </c>
      <c r="D555" s="584" t="str">
        <f>'Mapa da Corregedoria'!$A$21</f>
        <v>Técnico Judiciário(Á. Apoio Especializado- Informática)</v>
      </c>
      <c r="E555" s="584">
        <f>'Mapa da Corregedoria'!$AI21</f>
        <v>0</v>
      </c>
      <c r="F555" s="584" t="s">
        <v>159</v>
      </c>
      <c r="G555" s="584" t="s">
        <v>1338</v>
      </c>
    </row>
    <row r="556" spans="1:7" ht="14.25" customHeight="1" x14ac:dyDescent="0.25">
      <c r="A556" s="584" t="str">
        <f>'Mapa da Corregedoria'!AI$6</f>
        <v>18ª Vara</v>
      </c>
      <c r="B556" s="584" t="s">
        <v>120</v>
      </c>
      <c r="C556" s="584" t="s">
        <v>124</v>
      </c>
      <c r="D556" s="584" t="str">
        <f>'Mapa da Corregedoria'!$A$24</f>
        <v>Técnico Judiciário (Á. Segurança e Transporte – Agente de Policia Judicial)</v>
      </c>
      <c r="E556" s="584">
        <f>'Mapa da Corregedoria'!$AI24</f>
        <v>1</v>
      </c>
      <c r="F556" s="584" t="s">
        <v>159</v>
      </c>
      <c r="G556" s="584" t="s">
        <v>1338</v>
      </c>
    </row>
    <row r="557" spans="1:7" ht="14.25" customHeight="1" x14ac:dyDescent="0.25">
      <c r="A557" s="584" t="str">
        <f>'Mapa da Corregedoria'!AI$6</f>
        <v>18ª Vara</v>
      </c>
      <c r="B557" s="584" t="s">
        <v>120</v>
      </c>
      <c r="C557" s="584" t="s">
        <v>124</v>
      </c>
      <c r="D557" s="584" t="str">
        <f>'Mapa da Corregedoria'!$A$25</f>
        <v>Auxiliar Judiciário</v>
      </c>
      <c r="E557" s="584">
        <f>'Mapa da Corregedoria'!$AI25</f>
        <v>0</v>
      </c>
      <c r="F557" s="584" t="s">
        <v>159</v>
      </c>
      <c r="G557" s="584" t="s">
        <v>1338</v>
      </c>
    </row>
    <row r="558" spans="1:7" ht="14.25" customHeight="1" x14ac:dyDescent="0.25">
      <c r="A558" s="584" t="str">
        <f>'Mapa da Corregedoria'!AI$6</f>
        <v>18ª Vara</v>
      </c>
      <c r="B558" s="584" t="s">
        <v>120</v>
      </c>
      <c r="C558" s="584" t="s">
        <v>124</v>
      </c>
      <c r="D558" s="584" t="str">
        <f>'Mapa da Corregedoria'!$A$27</f>
        <v>Requisitados</v>
      </c>
      <c r="E558" s="584">
        <f>'Mapa da Corregedoria'!$AI27</f>
        <v>0</v>
      </c>
      <c r="F558" s="584" t="str">
        <f>D558</f>
        <v>Requisitados</v>
      </c>
      <c r="G558" s="584" t="s">
        <v>1338</v>
      </c>
    </row>
    <row r="559" spans="1:7" ht="14.25" customHeight="1" x14ac:dyDescent="0.25">
      <c r="A559" s="584" t="str">
        <f>'Mapa da Corregedoria'!AI$6</f>
        <v>18ª Vara</v>
      </c>
      <c r="B559" s="584" t="s">
        <v>120</v>
      </c>
      <c r="C559" s="584" t="s">
        <v>124</v>
      </c>
      <c r="D559" s="584" t="str">
        <f>'Mapa da Corregedoria'!$A$28</f>
        <v>Exercício Provisório (de outros órgãos)</v>
      </c>
      <c r="E559" s="584">
        <f>'Mapa da Corregedoria'!$AI28</f>
        <v>0</v>
      </c>
      <c r="F559" s="584" t="str">
        <f>D559</f>
        <v>Exercício Provisório (de outros órgãos)</v>
      </c>
      <c r="G559" s="584" t="s">
        <v>1338</v>
      </c>
    </row>
    <row r="560" spans="1:7" ht="14.25" customHeight="1" x14ac:dyDescent="0.25">
      <c r="A560" s="584" t="str">
        <f>'Mapa da Corregedoria'!AI$6</f>
        <v>18ª Vara</v>
      </c>
      <c r="B560" s="584" t="s">
        <v>120</v>
      </c>
      <c r="C560" s="584" t="s">
        <v>124</v>
      </c>
      <c r="D560" s="584" t="str">
        <f>'Mapa da Corregedoria'!$A$29</f>
        <v>Removidos (de outros órgãos)</v>
      </c>
      <c r="E560" s="584">
        <f>'Mapa da Corregedoria'!$AI29</f>
        <v>1</v>
      </c>
      <c r="F560" s="584" t="str">
        <f>D560</f>
        <v>Removidos (de outros órgãos)</v>
      </c>
      <c r="G560" s="584" t="s">
        <v>1338</v>
      </c>
    </row>
    <row r="561" spans="1:7" ht="14.25" customHeight="1" x14ac:dyDescent="0.25">
      <c r="A561" s="584" t="str">
        <f>'Mapa da Corregedoria'!AI$6</f>
        <v>18ª Vara</v>
      </c>
      <c r="B561" s="584" t="s">
        <v>120</v>
      </c>
      <c r="C561" s="584" t="s">
        <v>124</v>
      </c>
      <c r="D561" s="584" t="str">
        <f>'Mapa da Corregedoria'!$A$30</f>
        <v>Sem Vínculo</v>
      </c>
      <c r="E561" s="584">
        <f>'Mapa da Corregedoria'!$AI30</f>
        <v>0</v>
      </c>
      <c r="F561" s="584" t="str">
        <f>D561</f>
        <v>Sem Vínculo</v>
      </c>
      <c r="G561" s="584" t="s">
        <v>1338</v>
      </c>
    </row>
    <row r="562" spans="1:7" ht="14.25" customHeight="1" x14ac:dyDescent="0.25">
      <c r="A562" s="584" t="str">
        <f>'Mapa da Corregedoria'!AJ$6</f>
        <v>19ª Vara</v>
      </c>
      <c r="B562" s="584" t="s">
        <v>120</v>
      </c>
      <c r="C562" s="584" t="s">
        <v>124</v>
      </c>
      <c r="D562" s="584" t="str">
        <f>'Mapa da Corregedoria'!$A$8</f>
        <v>Analista Judiciário(Á. Judiciária)</v>
      </c>
      <c r="E562" s="584">
        <f>'Mapa da Corregedoria'!$AJ8</f>
        <v>3</v>
      </c>
      <c r="F562" s="584" t="s">
        <v>159</v>
      </c>
      <c r="G562" s="584" t="s">
        <v>1338</v>
      </c>
    </row>
    <row r="563" spans="1:7" ht="14.25" customHeight="1" x14ac:dyDescent="0.25">
      <c r="A563" s="584" t="str">
        <f>'Mapa da Corregedoria'!AJ$6</f>
        <v>19ª Vara</v>
      </c>
      <c r="B563" s="584" t="s">
        <v>120</v>
      </c>
      <c r="C563" s="584" t="s">
        <v>124</v>
      </c>
      <c r="D563" s="584" t="str">
        <f>'Mapa da Corregedoria'!$A$9</f>
        <v>Analista Judiciário(Á. Administrativa)</v>
      </c>
      <c r="E563" s="584">
        <f>'Mapa da Corregedoria'!$AJ9</f>
        <v>2</v>
      </c>
      <c r="F563" s="584" t="s">
        <v>159</v>
      </c>
      <c r="G563" s="584" t="s">
        <v>1338</v>
      </c>
    </row>
    <row r="564" spans="1:7" ht="14.25" customHeight="1" x14ac:dyDescent="0.25">
      <c r="A564" s="584" t="str">
        <f>'Mapa da Corregedoria'!AJ$6</f>
        <v>19ª Vara</v>
      </c>
      <c r="B564" s="584" t="s">
        <v>120</v>
      </c>
      <c r="C564" s="584" t="s">
        <v>124</v>
      </c>
      <c r="D564" s="584" t="str">
        <f>'Mapa da Corregedoria'!$A$10</f>
        <v>Analista Judiciário (Esp.Oficial de Justiça Avaliador Federal)</v>
      </c>
      <c r="E564" s="584">
        <f>'Mapa da Corregedoria'!$AJ10</f>
        <v>2</v>
      </c>
      <c r="F564" s="584" t="s">
        <v>159</v>
      </c>
      <c r="G564" s="584" t="s">
        <v>1338</v>
      </c>
    </row>
    <row r="565" spans="1:7" ht="14.25" customHeight="1" x14ac:dyDescent="0.25">
      <c r="A565" s="584" t="str">
        <f>'Mapa da Corregedoria'!AJ$6</f>
        <v>19ª Vara</v>
      </c>
      <c r="B565" s="584" t="s">
        <v>120</v>
      </c>
      <c r="C565" s="584" t="s">
        <v>124</v>
      </c>
      <c r="D565" s="584" t="str">
        <f>'Mapa da Corregedoria'!$A$11</f>
        <v>Anal.Jud.(Á. Biblioteconomia)</v>
      </c>
      <c r="E565" s="584">
        <f>'Mapa da Corregedoria'!$AJ11</f>
        <v>0</v>
      </c>
      <c r="F565" s="584" t="s">
        <v>159</v>
      </c>
      <c r="G565" s="584" t="s">
        <v>1338</v>
      </c>
    </row>
    <row r="566" spans="1:7" ht="14.25" customHeight="1" x14ac:dyDescent="0.25">
      <c r="A566" s="584" t="str">
        <f>'Mapa da Corregedoria'!AJ$6</f>
        <v>19ª Vara</v>
      </c>
      <c r="B566" s="584" t="s">
        <v>120</v>
      </c>
      <c r="C566" s="584" t="s">
        <v>124</v>
      </c>
      <c r="D566" s="584" t="str">
        <f>'Mapa da Corregedoria'!$A$12</f>
        <v>Analista Judiciário(Á. Apoio Especializado-Informática)</v>
      </c>
      <c r="E566" s="584">
        <f>'Mapa da Corregedoria'!$AJ12</f>
        <v>0</v>
      </c>
      <c r="F566" s="584" t="s">
        <v>159</v>
      </c>
      <c r="G566" s="584" t="s">
        <v>1338</v>
      </c>
    </row>
    <row r="567" spans="1:7" ht="14.25" customHeight="1" x14ac:dyDescent="0.25">
      <c r="A567" s="584" t="str">
        <f>'Mapa da Corregedoria'!AJ$6</f>
        <v>19ª Vara</v>
      </c>
      <c r="B567" s="584" t="s">
        <v>120</v>
      </c>
      <c r="C567" s="584" t="s">
        <v>124</v>
      </c>
      <c r="D567" s="584" t="str">
        <f>'Mapa da Corregedoria'!$A$13</f>
        <v>Analista Judiciário(Á. Apoio Especializado-Informática-Desenvolvimento)</v>
      </c>
      <c r="E567" s="584">
        <f>'Mapa da Corregedoria'!$AJ13</f>
        <v>0</v>
      </c>
      <c r="F567" s="584" t="s">
        <v>159</v>
      </c>
      <c r="G567" s="584" t="s">
        <v>1338</v>
      </c>
    </row>
    <row r="568" spans="1:7" ht="14.25" customHeight="1" x14ac:dyDescent="0.25">
      <c r="A568" s="584" t="str">
        <f>'Mapa da Corregedoria'!AJ$6</f>
        <v>19ª Vara</v>
      </c>
      <c r="B568" s="584" t="s">
        <v>120</v>
      </c>
      <c r="C568" s="584" t="s">
        <v>124</v>
      </c>
      <c r="D568" s="584" t="str">
        <f>'Mapa da Corregedoria'!$A$14</f>
        <v>Analista Judiciário(Á. Apoio Especializado-Informática-Infraestrutura)</v>
      </c>
      <c r="E568" s="584">
        <f>'Mapa da Corregedoria'!$AJ14</f>
        <v>0</v>
      </c>
      <c r="F568" s="584" t="s">
        <v>159</v>
      </c>
      <c r="G568" s="584" t="s">
        <v>1338</v>
      </c>
    </row>
    <row r="569" spans="1:7" ht="14.25" customHeight="1" x14ac:dyDescent="0.25">
      <c r="A569" s="584" t="str">
        <f>'Mapa da Corregedoria'!AJ$6</f>
        <v>19ª Vara</v>
      </c>
      <c r="B569" s="584" t="s">
        <v>120</v>
      </c>
      <c r="C569" s="584" t="s">
        <v>124</v>
      </c>
      <c r="D569" s="584" t="str">
        <f>'Mapa da Corregedoria'!$A$15</f>
        <v>Analista Judiciário(Á. Apoio Especializado-Medicina-Cliníca Médica)</v>
      </c>
      <c r="E569" s="584">
        <f>'Mapa da Corregedoria'!$AJ15</f>
        <v>0</v>
      </c>
      <c r="F569" s="584" t="s">
        <v>159</v>
      </c>
      <c r="G569" s="584" t="s">
        <v>1338</v>
      </c>
    </row>
    <row r="570" spans="1:7" ht="14.25" customHeight="1" x14ac:dyDescent="0.25">
      <c r="A570" s="584" t="str">
        <f>'Mapa da Corregedoria'!AJ$6</f>
        <v>19ª Vara</v>
      </c>
      <c r="B570" s="584" t="s">
        <v>120</v>
      </c>
      <c r="C570" s="584" t="s">
        <v>124</v>
      </c>
      <c r="D570" s="584" t="str">
        <f>'Mapa da Corregedoria'!$A$16</f>
        <v>Analista Judiciário(Á. Apoio Especializado-Contadoria)</v>
      </c>
      <c r="E570" s="584">
        <f>'Mapa da Corregedoria'!$AJ16</f>
        <v>0</v>
      </c>
      <c r="F570" s="584" t="s">
        <v>159</v>
      </c>
      <c r="G570" s="584" t="s">
        <v>1338</v>
      </c>
    </row>
    <row r="571" spans="1:7" ht="14.25" customHeight="1" x14ac:dyDescent="0.25">
      <c r="A571" s="584" t="str">
        <f>'Mapa da Corregedoria'!AJ$6</f>
        <v>19ª Vara</v>
      </c>
      <c r="B571" s="584" t="s">
        <v>120</v>
      </c>
      <c r="C571" s="584" t="s">
        <v>124</v>
      </c>
      <c r="D571" s="584" t="str">
        <f>'Mapa da Corregedoria'!$A$17</f>
        <v>Analista Judiciário(Á. Apoio Especializado- Engenharia Civil)</v>
      </c>
      <c r="E571" s="584">
        <f>'Mapa da Corregedoria'!$AJ17</f>
        <v>0</v>
      </c>
      <c r="F571" s="584" t="s">
        <v>159</v>
      </c>
      <c r="G571" s="584" t="s">
        <v>1338</v>
      </c>
    </row>
    <row r="572" spans="1:7" ht="14.25" customHeight="1" x14ac:dyDescent="0.25">
      <c r="A572" s="584" t="str">
        <f>'Mapa da Corregedoria'!AJ$6</f>
        <v>19ª Vara</v>
      </c>
      <c r="B572" s="584" t="s">
        <v>120</v>
      </c>
      <c r="C572" s="584" t="s">
        <v>124</v>
      </c>
      <c r="D572" s="584" t="str">
        <f>'Mapa da Corregedoria'!$A$20</f>
        <v xml:space="preserve">Técnico Judiciário (Á. Administrativa)-inclusas as Especialidades Serviços de Portaria/Telefonia </v>
      </c>
      <c r="E572" s="584">
        <f>'Mapa da Corregedoria'!$AJ20</f>
        <v>7</v>
      </c>
      <c r="F572" s="584" t="s">
        <v>159</v>
      </c>
      <c r="G572" s="584" t="s">
        <v>1338</v>
      </c>
    </row>
    <row r="573" spans="1:7" ht="14.25" customHeight="1" x14ac:dyDescent="0.25">
      <c r="A573" s="584" t="str">
        <f>'Mapa da Corregedoria'!AJ$6</f>
        <v>19ª Vara</v>
      </c>
      <c r="B573" s="584" t="s">
        <v>120</v>
      </c>
      <c r="C573" s="584" t="s">
        <v>124</v>
      </c>
      <c r="D573" s="584" t="str">
        <f>'Mapa da Corregedoria'!$A$21</f>
        <v>Técnico Judiciário(Á. Apoio Especializado- Informática)</v>
      </c>
      <c r="E573" s="584">
        <f>'Mapa da Corregedoria'!$AJ21</f>
        <v>0</v>
      </c>
      <c r="F573" s="584" t="s">
        <v>159</v>
      </c>
      <c r="G573" s="584" t="s">
        <v>1338</v>
      </c>
    </row>
    <row r="574" spans="1:7" ht="14.25" customHeight="1" x14ac:dyDescent="0.25">
      <c r="A574" s="584" t="str">
        <f>'Mapa da Corregedoria'!AJ$6</f>
        <v>19ª Vara</v>
      </c>
      <c r="B574" s="584" t="s">
        <v>120</v>
      </c>
      <c r="C574" s="584" t="s">
        <v>124</v>
      </c>
      <c r="D574" s="584" t="str">
        <f>'Mapa da Corregedoria'!$A$24</f>
        <v>Técnico Judiciário (Á. Segurança e Transporte – Agente de Policia Judicial)</v>
      </c>
      <c r="E574" s="584">
        <f>'Mapa da Corregedoria'!$AJ24</f>
        <v>2</v>
      </c>
      <c r="F574" s="584" t="s">
        <v>159</v>
      </c>
      <c r="G574" s="584" t="s">
        <v>1338</v>
      </c>
    </row>
    <row r="575" spans="1:7" ht="14.25" customHeight="1" x14ac:dyDescent="0.25">
      <c r="A575" s="584" t="str">
        <f>'Mapa da Corregedoria'!AJ$6</f>
        <v>19ª Vara</v>
      </c>
      <c r="B575" s="584" t="s">
        <v>120</v>
      </c>
      <c r="C575" s="584" t="s">
        <v>124</v>
      </c>
      <c r="D575" s="584" t="str">
        <f>'Mapa da Corregedoria'!$A$25</f>
        <v>Auxiliar Judiciário</v>
      </c>
      <c r="E575" s="584">
        <f>'Mapa da Corregedoria'!$AJ25</f>
        <v>0</v>
      </c>
      <c r="F575" s="584" t="s">
        <v>159</v>
      </c>
      <c r="G575" s="584" t="s">
        <v>1338</v>
      </c>
    </row>
    <row r="576" spans="1:7" ht="14.25" customHeight="1" x14ac:dyDescent="0.25">
      <c r="A576" s="584" t="str">
        <f>'Mapa da Corregedoria'!AJ$6</f>
        <v>19ª Vara</v>
      </c>
      <c r="B576" s="584" t="s">
        <v>120</v>
      </c>
      <c r="C576" s="584" t="s">
        <v>124</v>
      </c>
      <c r="D576" s="584" t="str">
        <f>'Mapa da Corregedoria'!$A$27</f>
        <v>Requisitados</v>
      </c>
      <c r="E576" s="584">
        <f>'Mapa da Corregedoria'!$AJ27</f>
        <v>2</v>
      </c>
      <c r="F576" s="584" t="str">
        <f>D576</f>
        <v>Requisitados</v>
      </c>
      <c r="G576" s="584" t="s">
        <v>1338</v>
      </c>
    </row>
    <row r="577" spans="1:7" ht="14.25" customHeight="1" x14ac:dyDescent="0.25">
      <c r="A577" s="584" t="str">
        <f>'Mapa da Corregedoria'!AJ$6</f>
        <v>19ª Vara</v>
      </c>
      <c r="B577" s="584" t="s">
        <v>120</v>
      </c>
      <c r="C577" s="584" t="s">
        <v>124</v>
      </c>
      <c r="D577" s="584" t="str">
        <f>'Mapa da Corregedoria'!$A$28</f>
        <v>Exercício Provisório (de outros órgãos)</v>
      </c>
      <c r="E577" s="584">
        <f>'Mapa da Corregedoria'!$AJ28</f>
        <v>1</v>
      </c>
      <c r="F577" s="584" t="str">
        <f>D577</f>
        <v>Exercício Provisório (de outros órgãos)</v>
      </c>
      <c r="G577" s="584" t="s">
        <v>1338</v>
      </c>
    </row>
    <row r="578" spans="1:7" ht="14.25" customHeight="1" x14ac:dyDescent="0.25">
      <c r="A578" s="584" t="str">
        <f>'Mapa da Corregedoria'!AJ$6</f>
        <v>19ª Vara</v>
      </c>
      <c r="B578" s="584" t="s">
        <v>120</v>
      </c>
      <c r="C578" s="584" t="s">
        <v>124</v>
      </c>
      <c r="D578" s="584" t="str">
        <f>'Mapa da Corregedoria'!$A$29</f>
        <v>Removidos (de outros órgãos)</v>
      </c>
      <c r="E578" s="584">
        <f>'Mapa da Corregedoria'!$AJ29</f>
        <v>3</v>
      </c>
      <c r="F578" s="584" t="str">
        <f>D578</f>
        <v>Removidos (de outros órgãos)</v>
      </c>
      <c r="G578" s="584" t="s">
        <v>1338</v>
      </c>
    </row>
    <row r="579" spans="1:7" ht="14.25" customHeight="1" x14ac:dyDescent="0.25">
      <c r="A579" s="584" t="str">
        <f>'Mapa da Corregedoria'!AJ$6</f>
        <v>19ª Vara</v>
      </c>
      <c r="B579" s="584" t="s">
        <v>120</v>
      </c>
      <c r="C579" s="584" t="s">
        <v>124</v>
      </c>
      <c r="D579" s="584" t="str">
        <f>'Mapa da Corregedoria'!$A$30</f>
        <v>Sem Vínculo</v>
      </c>
      <c r="E579" s="584">
        <f>'Mapa da Corregedoria'!$AJ30</f>
        <v>1</v>
      </c>
      <c r="F579" s="584" t="str">
        <f>D579</f>
        <v>Sem Vínculo</v>
      </c>
      <c r="G579" s="584" t="s">
        <v>1338</v>
      </c>
    </row>
    <row r="580" spans="1:7" ht="14.25" customHeight="1" x14ac:dyDescent="0.25">
      <c r="A580" s="584" t="str">
        <f>'Mapa da Corregedoria'!AK$6</f>
        <v>31ª Vara</v>
      </c>
      <c r="B580" s="584" t="s">
        <v>120</v>
      </c>
      <c r="C580" s="584" t="s">
        <v>127</v>
      </c>
      <c r="D580" s="584" t="str">
        <f>'Mapa da Corregedoria'!$A$8</f>
        <v>Analista Judiciário(Á. Judiciária)</v>
      </c>
      <c r="E580" s="584">
        <f>'Mapa da Corregedoria'!$AK8</f>
        <v>3</v>
      </c>
      <c r="F580" s="584" t="s">
        <v>159</v>
      </c>
      <c r="G580" s="584" t="s">
        <v>1338</v>
      </c>
    </row>
    <row r="581" spans="1:7" ht="14.25" customHeight="1" x14ac:dyDescent="0.25">
      <c r="A581" s="584" t="str">
        <f>'Mapa da Corregedoria'!AK$6</f>
        <v>31ª Vara</v>
      </c>
      <c r="B581" s="584" t="s">
        <v>120</v>
      </c>
      <c r="C581" s="584" t="s">
        <v>127</v>
      </c>
      <c r="D581" s="584" t="str">
        <f>'Mapa da Corregedoria'!$A$9</f>
        <v>Analista Judiciário(Á. Administrativa)</v>
      </c>
      <c r="E581" s="584">
        <f>'Mapa da Corregedoria'!$AK9</f>
        <v>1</v>
      </c>
      <c r="F581" s="584" t="s">
        <v>159</v>
      </c>
      <c r="G581" s="584" t="s">
        <v>1338</v>
      </c>
    </row>
    <row r="582" spans="1:7" ht="14.25" customHeight="1" x14ac:dyDescent="0.25">
      <c r="A582" s="584" t="str">
        <f>'Mapa da Corregedoria'!AK$6</f>
        <v>31ª Vara</v>
      </c>
      <c r="B582" s="584" t="s">
        <v>120</v>
      </c>
      <c r="C582" s="584" t="s">
        <v>127</v>
      </c>
      <c r="D582" s="584" t="str">
        <f>'Mapa da Corregedoria'!$A$10</f>
        <v>Analista Judiciário (Esp.Oficial de Justiça Avaliador Federal)</v>
      </c>
      <c r="E582" s="584">
        <f>'Mapa da Corregedoria'!$AK10</f>
        <v>2</v>
      </c>
      <c r="F582" s="584" t="s">
        <v>159</v>
      </c>
      <c r="G582" s="584" t="s">
        <v>1338</v>
      </c>
    </row>
    <row r="583" spans="1:7" ht="14.25" customHeight="1" x14ac:dyDescent="0.25">
      <c r="A583" s="584" t="str">
        <f>'Mapa da Corregedoria'!AK$6</f>
        <v>31ª Vara</v>
      </c>
      <c r="B583" s="584" t="s">
        <v>120</v>
      </c>
      <c r="C583" s="584" t="s">
        <v>127</v>
      </c>
      <c r="D583" s="584" t="str">
        <f>'Mapa da Corregedoria'!$A$11</f>
        <v>Anal.Jud.(Á. Biblioteconomia)</v>
      </c>
      <c r="E583" s="584">
        <f>'Mapa da Corregedoria'!$AK11</f>
        <v>0</v>
      </c>
      <c r="F583" s="584" t="s">
        <v>159</v>
      </c>
      <c r="G583" s="584" t="s">
        <v>1338</v>
      </c>
    </row>
    <row r="584" spans="1:7" ht="14.25" customHeight="1" x14ac:dyDescent="0.25">
      <c r="A584" s="584" t="str">
        <f>'Mapa da Corregedoria'!AK$6</f>
        <v>31ª Vara</v>
      </c>
      <c r="B584" s="584" t="s">
        <v>120</v>
      </c>
      <c r="C584" s="584" t="s">
        <v>127</v>
      </c>
      <c r="D584" s="584" t="str">
        <f>'Mapa da Corregedoria'!$A$12</f>
        <v>Analista Judiciário(Á. Apoio Especializado-Informática)</v>
      </c>
      <c r="E584" s="584">
        <f>'Mapa da Corregedoria'!$AK12</f>
        <v>0</v>
      </c>
      <c r="F584" s="584" t="s">
        <v>159</v>
      </c>
      <c r="G584" s="584" t="s">
        <v>1338</v>
      </c>
    </row>
    <row r="585" spans="1:7" ht="14.25" customHeight="1" x14ac:dyDescent="0.25">
      <c r="A585" s="584" t="str">
        <f>'Mapa da Corregedoria'!AK$6</f>
        <v>31ª Vara</v>
      </c>
      <c r="B585" s="584" t="s">
        <v>120</v>
      </c>
      <c r="C585" s="584" t="s">
        <v>127</v>
      </c>
      <c r="D585" s="584" t="str">
        <f>'Mapa da Corregedoria'!$A$13</f>
        <v>Analista Judiciário(Á. Apoio Especializado-Informática-Desenvolvimento)</v>
      </c>
      <c r="E585" s="584">
        <f>'Mapa da Corregedoria'!$AK13</f>
        <v>0</v>
      </c>
      <c r="F585" s="584" t="s">
        <v>159</v>
      </c>
      <c r="G585" s="584" t="s">
        <v>1338</v>
      </c>
    </row>
    <row r="586" spans="1:7" ht="14.25" customHeight="1" x14ac:dyDescent="0.25">
      <c r="A586" s="584" t="str">
        <f>'Mapa da Corregedoria'!AK$6</f>
        <v>31ª Vara</v>
      </c>
      <c r="B586" s="584" t="s">
        <v>120</v>
      </c>
      <c r="C586" s="584" t="s">
        <v>127</v>
      </c>
      <c r="D586" s="584" t="str">
        <f>'Mapa da Corregedoria'!$A$14</f>
        <v>Analista Judiciário(Á. Apoio Especializado-Informática-Infraestrutura)</v>
      </c>
      <c r="E586" s="584">
        <f>'Mapa da Corregedoria'!$AK14</f>
        <v>0</v>
      </c>
      <c r="F586" s="584" t="s">
        <v>159</v>
      </c>
      <c r="G586" s="584" t="s">
        <v>1338</v>
      </c>
    </row>
    <row r="587" spans="1:7" ht="14.25" customHeight="1" x14ac:dyDescent="0.25">
      <c r="A587" s="584" t="str">
        <f>'Mapa da Corregedoria'!AK$6</f>
        <v>31ª Vara</v>
      </c>
      <c r="B587" s="584" t="s">
        <v>120</v>
      </c>
      <c r="C587" s="584" t="s">
        <v>127</v>
      </c>
      <c r="D587" s="584" t="str">
        <f>'Mapa da Corregedoria'!$A$15</f>
        <v>Analista Judiciário(Á. Apoio Especializado-Medicina-Cliníca Médica)</v>
      </c>
      <c r="E587" s="584">
        <f>'Mapa da Corregedoria'!$AK15</f>
        <v>0</v>
      </c>
      <c r="F587" s="584" t="s">
        <v>159</v>
      </c>
      <c r="G587" s="584" t="s">
        <v>1338</v>
      </c>
    </row>
    <row r="588" spans="1:7" ht="14.25" customHeight="1" x14ac:dyDescent="0.25">
      <c r="A588" s="584" t="str">
        <f>'Mapa da Corregedoria'!AK$6</f>
        <v>31ª Vara</v>
      </c>
      <c r="B588" s="584" t="s">
        <v>120</v>
      </c>
      <c r="C588" s="584" t="s">
        <v>127</v>
      </c>
      <c r="D588" s="584" t="str">
        <f>'Mapa da Corregedoria'!$A$16</f>
        <v>Analista Judiciário(Á. Apoio Especializado-Contadoria)</v>
      </c>
      <c r="E588" s="584">
        <f>'Mapa da Corregedoria'!$AK16</f>
        <v>0</v>
      </c>
      <c r="F588" s="584" t="s">
        <v>159</v>
      </c>
      <c r="G588" s="584" t="s">
        <v>1338</v>
      </c>
    </row>
    <row r="589" spans="1:7" ht="14.25" customHeight="1" x14ac:dyDescent="0.25">
      <c r="A589" s="584" t="str">
        <f>'Mapa da Corregedoria'!AK$6</f>
        <v>31ª Vara</v>
      </c>
      <c r="B589" s="584" t="s">
        <v>120</v>
      </c>
      <c r="C589" s="584" t="s">
        <v>127</v>
      </c>
      <c r="D589" s="584" t="str">
        <f>'Mapa da Corregedoria'!$A$17</f>
        <v>Analista Judiciário(Á. Apoio Especializado- Engenharia Civil)</v>
      </c>
      <c r="E589" s="584">
        <f>'Mapa da Corregedoria'!$AK17</f>
        <v>0</v>
      </c>
      <c r="F589" s="584" t="s">
        <v>159</v>
      </c>
      <c r="G589" s="584" t="s">
        <v>1338</v>
      </c>
    </row>
    <row r="590" spans="1:7" ht="14.25" customHeight="1" x14ac:dyDescent="0.25">
      <c r="A590" s="584" t="str">
        <f>'Mapa da Corregedoria'!AK$6</f>
        <v>31ª Vara</v>
      </c>
      <c r="B590" s="584" t="s">
        <v>120</v>
      </c>
      <c r="C590" s="584" t="s">
        <v>127</v>
      </c>
      <c r="D590" s="584" t="str">
        <f>'Mapa da Corregedoria'!$A$20</f>
        <v xml:space="preserve">Técnico Judiciário (Á. Administrativa)-inclusas as Especialidades Serviços de Portaria/Telefonia </v>
      </c>
      <c r="E590" s="584">
        <f>'Mapa da Corregedoria'!$AK20</f>
        <v>7</v>
      </c>
      <c r="F590" s="584" t="s">
        <v>159</v>
      </c>
      <c r="G590" s="584" t="s">
        <v>1338</v>
      </c>
    </row>
    <row r="591" spans="1:7" ht="14.25" customHeight="1" x14ac:dyDescent="0.25">
      <c r="A591" s="584" t="str">
        <f>'Mapa da Corregedoria'!AK$6</f>
        <v>31ª Vara</v>
      </c>
      <c r="B591" s="584" t="s">
        <v>120</v>
      </c>
      <c r="C591" s="584" t="s">
        <v>127</v>
      </c>
      <c r="D591" s="584" t="str">
        <f>'Mapa da Corregedoria'!$A$21</f>
        <v>Técnico Judiciário(Á. Apoio Especializado- Informática)</v>
      </c>
      <c r="E591" s="584">
        <f>'Mapa da Corregedoria'!$AK21</f>
        <v>0</v>
      </c>
      <c r="F591" s="584" t="s">
        <v>159</v>
      </c>
      <c r="G591" s="584" t="s">
        <v>1338</v>
      </c>
    </row>
    <row r="592" spans="1:7" ht="14.25" customHeight="1" x14ac:dyDescent="0.25">
      <c r="A592" s="584" t="str">
        <f>'Mapa da Corregedoria'!AK$6</f>
        <v>31ª Vara</v>
      </c>
      <c r="B592" s="584" t="s">
        <v>120</v>
      </c>
      <c r="C592" s="584" t="s">
        <v>127</v>
      </c>
      <c r="D592" s="584" t="str">
        <f>'Mapa da Corregedoria'!$A$24</f>
        <v>Técnico Judiciário (Á. Segurança e Transporte – Agente de Policia Judicial)</v>
      </c>
      <c r="E592" s="584">
        <f>'Mapa da Corregedoria'!$AK24</f>
        <v>2</v>
      </c>
      <c r="F592" s="584" t="s">
        <v>159</v>
      </c>
      <c r="G592" s="584" t="s">
        <v>1338</v>
      </c>
    </row>
    <row r="593" spans="1:7" ht="14.25" customHeight="1" x14ac:dyDescent="0.25">
      <c r="A593" s="584" t="str">
        <f>'Mapa da Corregedoria'!AK$6</f>
        <v>31ª Vara</v>
      </c>
      <c r="B593" s="584" t="s">
        <v>120</v>
      </c>
      <c r="C593" s="584" t="s">
        <v>127</v>
      </c>
      <c r="D593" s="584" t="str">
        <f>'Mapa da Corregedoria'!$A$25</f>
        <v>Auxiliar Judiciário</v>
      </c>
      <c r="E593" s="584">
        <f>'Mapa da Corregedoria'!$AK25</f>
        <v>0</v>
      </c>
      <c r="F593" s="584" t="s">
        <v>159</v>
      </c>
      <c r="G593" s="584" t="s">
        <v>1338</v>
      </c>
    </row>
    <row r="594" spans="1:7" ht="14.25" customHeight="1" x14ac:dyDescent="0.25">
      <c r="A594" s="584" t="str">
        <f>'Mapa da Corregedoria'!AK$6</f>
        <v>31ª Vara</v>
      </c>
      <c r="B594" s="584" t="s">
        <v>120</v>
      </c>
      <c r="C594" s="584" t="s">
        <v>127</v>
      </c>
      <c r="D594" s="584" t="str">
        <f>'Mapa da Corregedoria'!$A$27</f>
        <v>Requisitados</v>
      </c>
      <c r="E594" s="584">
        <f>'Mapa da Corregedoria'!$AK27</f>
        <v>2</v>
      </c>
      <c r="F594" s="584" t="str">
        <f>D594</f>
        <v>Requisitados</v>
      </c>
      <c r="G594" s="584" t="s">
        <v>1338</v>
      </c>
    </row>
    <row r="595" spans="1:7" ht="14.25" customHeight="1" x14ac:dyDescent="0.25">
      <c r="A595" s="584" t="str">
        <f>'Mapa da Corregedoria'!AK$6</f>
        <v>31ª Vara</v>
      </c>
      <c r="B595" s="584" t="s">
        <v>120</v>
      </c>
      <c r="C595" s="584" t="s">
        <v>127</v>
      </c>
      <c r="D595" s="584" t="str">
        <f>'Mapa da Corregedoria'!$A$28</f>
        <v>Exercício Provisório (de outros órgãos)</v>
      </c>
      <c r="E595" s="584">
        <f>'Mapa da Corregedoria'!$AK28</f>
        <v>0</v>
      </c>
      <c r="F595" s="584" t="str">
        <f>D595</f>
        <v>Exercício Provisório (de outros órgãos)</v>
      </c>
      <c r="G595" s="584" t="s">
        <v>1338</v>
      </c>
    </row>
    <row r="596" spans="1:7" ht="14.25" customHeight="1" x14ac:dyDescent="0.25">
      <c r="A596" s="584" t="str">
        <f>'Mapa da Corregedoria'!AK$6</f>
        <v>31ª Vara</v>
      </c>
      <c r="B596" s="584" t="s">
        <v>120</v>
      </c>
      <c r="C596" s="584" t="s">
        <v>127</v>
      </c>
      <c r="D596" s="584" t="str">
        <f>'Mapa da Corregedoria'!$A$29</f>
        <v>Removidos (de outros órgãos)</v>
      </c>
      <c r="E596" s="584">
        <f>'Mapa da Corregedoria'!$AK29</f>
        <v>2</v>
      </c>
      <c r="F596" s="584" t="str">
        <f>D596</f>
        <v>Removidos (de outros órgãos)</v>
      </c>
      <c r="G596" s="584" t="s">
        <v>1338</v>
      </c>
    </row>
    <row r="597" spans="1:7" ht="14.25" customHeight="1" x14ac:dyDescent="0.25">
      <c r="A597" s="584" t="str">
        <f>'Mapa da Corregedoria'!AK$6</f>
        <v>31ª Vara</v>
      </c>
      <c r="B597" s="584" t="s">
        <v>120</v>
      </c>
      <c r="C597" s="584" t="s">
        <v>127</v>
      </c>
      <c r="D597" s="584" t="str">
        <f>'Mapa da Corregedoria'!$A$30</f>
        <v>Sem Vínculo</v>
      </c>
      <c r="E597" s="584">
        <f>'Mapa da Corregedoria'!$AK30</f>
        <v>0</v>
      </c>
      <c r="F597" s="584" t="str">
        <f>D597</f>
        <v>Sem Vínculo</v>
      </c>
      <c r="G597" s="584" t="s">
        <v>1338</v>
      </c>
    </row>
    <row r="598" spans="1:7" ht="14.25" customHeight="1" x14ac:dyDescent="0.25">
      <c r="A598" s="584" t="str">
        <f>'Mapa da Corregedoria'!AL$6</f>
        <v xml:space="preserve">Subdiretoria do Foro </v>
      </c>
      <c r="B598" s="584" t="s">
        <v>1235</v>
      </c>
      <c r="C598" s="584" t="s">
        <v>3572</v>
      </c>
      <c r="D598" s="584" t="str">
        <f>'Mapa da Corregedoria'!$A$8</f>
        <v>Analista Judiciário(Á. Judiciária)</v>
      </c>
      <c r="E598" s="584">
        <f>'Mapa da Corregedoria'!$AL8</f>
        <v>0</v>
      </c>
      <c r="F598" s="584" t="s">
        <v>159</v>
      </c>
      <c r="G598" s="584" t="s">
        <v>1338</v>
      </c>
    </row>
    <row r="599" spans="1:7" ht="14.25" customHeight="1" x14ac:dyDescent="0.25">
      <c r="A599" s="584" t="str">
        <f>'Mapa da Corregedoria'!AL$6</f>
        <v xml:space="preserve">Subdiretoria do Foro </v>
      </c>
      <c r="B599" s="584" t="s">
        <v>1235</v>
      </c>
      <c r="C599" s="584" t="s">
        <v>3572</v>
      </c>
      <c r="D599" s="584" t="str">
        <f>'Mapa da Corregedoria'!$A$9</f>
        <v>Analista Judiciário(Á. Administrativa)</v>
      </c>
      <c r="E599" s="584">
        <f>'Mapa da Corregedoria'!$AL9</f>
        <v>1</v>
      </c>
      <c r="F599" s="584" t="s">
        <v>159</v>
      </c>
      <c r="G599" s="584" t="s">
        <v>1338</v>
      </c>
    </row>
    <row r="600" spans="1:7" ht="14.25" customHeight="1" x14ac:dyDescent="0.25">
      <c r="A600" s="584" t="str">
        <f>'Mapa da Corregedoria'!AL$6</f>
        <v xml:space="preserve">Subdiretoria do Foro </v>
      </c>
      <c r="B600" s="584" t="s">
        <v>1235</v>
      </c>
      <c r="C600" s="584" t="s">
        <v>3572</v>
      </c>
      <c r="D600" s="584" t="str">
        <f>'Mapa da Corregedoria'!$A$10</f>
        <v>Analista Judiciário (Esp.Oficial de Justiça Avaliador Federal)</v>
      </c>
      <c r="E600" s="584">
        <f>'Mapa da Corregedoria'!$AL10</f>
        <v>0</v>
      </c>
      <c r="F600" s="584" t="s">
        <v>159</v>
      </c>
      <c r="G600" s="584" t="s">
        <v>1338</v>
      </c>
    </row>
    <row r="601" spans="1:7" ht="14.25" customHeight="1" x14ac:dyDescent="0.25">
      <c r="A601" s="584" t="str">
        <f>'Mapa da Corregedoria'!AL$6</f>
        <v xml:space="preserve">Subdiretoria do Foro </v>
      </c>
      <c r="B601" s="584" t="s">
        <v>1235</v>
      </c>
      <c r="C601" s="584" t="s">
        <v>3572</v>
      </c>
      <c r="D601" s="584" t="str">
        <f>'Mapa da Corregedoria'!$A$11</f>
        <v>Anal.Jud.(Á. Biblioteconomia)</v>
      </c>
      <c r="E601" s="584">
        <f>'Mapa da Corregedoria'!$AL11</f>
        <v>0</v>
      </c>
      <c r="F601" s="584" t="s">
        <v>159</v>
      </c>
      <c r="G601" s="584" t="s">
        <v>1338</v>
      </c>
    </row>
    <row r="602" spans="1:7" ht="14.25" customHeight="1" x14ac:dyDescent="0.25">
      <c r="A602" s="584" t="str">
        <f>'Mapa da Corregedoria'!AL$6</f>
        <v xml:space="preserve">Subdiretoria do Foro </v>
      </c>
      <c r="B602" s="584" t="s">
        <v>1235</v>
      </c>
      <c r="C602" s="584" t="s">
        <v>3572</v>
      </c>
      <c r="D602" s="584" t="str">
        <f>'Mapa da Corregedoria'!$A$12</f>
        <v>Analista Judiciário(Á. Apoio Especializado-Informática)</v>
      </c>
      <c r="E602" s="584">
        <f>'Mapa da Corregedoria'!$AL12</f>
        <v>0</v>
      </c>
      <c r="F602" s="584" t="s">
        <v>159</v>
      </c>
      <c r="G602" s="584" t="s">
        <v>1338</v>
      </c>
    </row>
    <row r="603" spans="1:7" ht="14.25" customHeight="1" x14ac:dyDescent="0.25">
      <c r="A603" s="584" t="str">
        <f>'Mapa da Corregedoria'!AL$6</f>
        <v xml:space="preserve">Subdiretoria do Foro </v>
      </c>
      <c r="B603" s="584" t="s">
        <v>1235</v>
      </c>
      <c r="C603" s="584" t="s">
        <v>3572</v>
      </c>
      <c r="D603" s="584" t="str">
        <f>'Mapa da Corregedoria'!$A$13</f>
        <v>Analista Judiciário(Á. Apoio Especializado-Informática-Desenvolvimento)</v>
      </c>
      <c r="E603" s="584">
        <f>'Mapa da Corregedoria'!$AL13</f>
        <v>0</v>
      </c>
      <c r="F603" s="584" t="s">
        <v>159</v>
      </c>
      <c r="G603" s="584" t="s">
        <v>1338</v>
      </c>
    </row>
    <row r="604" spans="1:7" ht="14.25" customHeight="1" x14ac:dyDescent="0.25">
      <c r="A604" s="584" t="str">
        <f>'Mapa da Corregedoria'!AL$6</f>
        <v xml:space="preserve">Subdiretoria do Foro </v>
      </c>
      <c r="B604" s="584" t="s">
        <v>1235</v>
      </c>
      <c r="C604" s="584" t="s">
        <v>3572</v>
      </c>
      <c r="D604" s="584" t="str">
        <f>'Mapa da Corregedoria'!$A$14</f>
        <v>Analista Judiciário(Á. Apoio Especializado-Informática-Infraestrutura)</v>
      </c>
      <c r="E604" s="584">
        <f>'Mapa da Corregedoria'!$AL14</f>
        <v>0</v>
      </c>
      <c r="F604" s="584" t="s">
        <v>159</v>
      </c>
      <c r="G604" s="584" t="s">
        <v>1338</v>
      </c>
    </row>
    <row r="605" spans="1:7" ht="14.25" customHeight="1" x14ac:dyDescent="0.25">
      <c r="A605" s="584" t="str">
        <f>'Mapa da Corregedoria'!AL$6</f>
        <v xml:space="preserve">Subdiretoria do Foro </v>
      </c>
      <c r="B605" s="584" t="s">
        <v>1235</v>
      </c>
      <c r="C605" s="584" t="s">
        <v>3572</v>
      </c>
      <c r="D605" s="584" t="str">
        <f>'Mapa da Corregedoria'!$A$15</f>
        <v>Analista Judiciário(Á. Apoio Especializado-Medicina-Cliníca Médica)</v>
      </c>
      <c r="E605" s="584">
        <f>'Mapa da Corregedoria'!$AL15</f>
        <v>0</v>
      </c>
      <c r="F605" s="584" t="s">
        <v>159</v>
      </c>
      <c r="G605" s="584" t="s">
        <v>1338</v>
      </c>
    </row>
    <row r="606" spans="1:7" ht="14.25" customHeight="1" x14ac:dyDescent="0.25">
      <c r="A606" s="584" t="str">
        <f>'Mapa da Corregedoria'!AL$6</f>
        <v xml:space="preserve">Subdiretoria do Foro </v>
      </c>
      <c r="B606" s="584" t="s">
        <v>1235</v>
      </c>
      <c r="C606" s="584" t="s">
        <v>3572</v>
      </c>
      <c r="D606" s="584" t="str">
        <f>'Mapa da Corregedoria'!$A$16</f>
        <v>Analista Judiciário(Á. Apoio Especializado-Contadoria)</v>
      </c>
      <c r="E606" s="584">
        <f>'Mapa da Corregedoria'!$AL16</f>
        <v>0</v>
      </c>
      <c r="F606" s="584" t="s">
        <v>159</v>
      </c>
      <c r="G606" s="584" t="s">
        <v>1338</v>
      </c>
    </row>
    <row r="607" spans="1:7" ht="14.25" customHeight="1" x14ac:dyDescent="0.25">
      <c r="A607" s="584" t="str">
        <f>'Mapa da Corregedoria'!AL$6</f>
        <v xml:space="preserve">Subdiretoria do Foro </v>
      </c>
      <c r="B607" s="584" t="s">
        <v>1235</v>
      </c>
      <c r="C607" s="584" t="s">
        <v>3572</v>
      </c>
      <c r="D607" s="584" t="str">
        <f>'Mapa da Corregedoria'!$A$17</f>
        <v>Analista Judiciário(Á. Apoio Especializado- Engenharia Civil)</v>
      </c>
      <c r="E607" s="584">
        <f>'Mapa da Corregedoria'!$AL17</f>
        <v>0</v>
      </c>
      <c r="F607" s="584" t="s">
        <v>159</v>
      </c>
      <c r="G607" s="584" t="s">
        <v>1338</v>
      </c>
    </row>
    <row r="608" spans="1:7" ht="14.25" customHeight="1" x14ac:dyDescent="0.25">
      <c r="A608" s="584" t="str">
        <f>'Mapa da Corregedoria'!AL$6</f>
        <v xml:space="preserve">Subdiretoria do Foro </v>
      </c>
      <c r="B608" s="584" t="s">
        <v>1235</v>
      </c>
      <c r="C608" s="584" t="s">
        <v>3572</v>
      </c>
      <c r="D608" s="584" t="str">
        <f>'Mapa da Corregedoria'!$A$20</f>
        <v xml:space="preserve">Técnico Judiciário (Á. Administrativa)-inclusas as Especialidades Serviços de Portaria/Telefonia </v>
      </c>
      <c r="E608" s="584">
        <f>'Mapa da Corregedoria'!$AL20</f>
        <v>1</v>
      </c>
      <c r="F608" s="584" t="s">
        <v>159</v>
      </c>
      <c r="G608" s="584" t="s">
        <v>1338</v>
      </c>
    </row>
    <row r="609" spans="1:7" ht="14.25" customHeight="1" x14ac:dyDescent="0.25">
      <c r="A609" s="584" t="str">
        <f>'Mapa da Corregedoria'!AL$6</f>
        <v xml:space="preserve">Subdiretoria do Foro </v>
      </c>
      <c r="B609" s="584" t="s">
        <v>1235</v>
      </c>
      <c r="C609" s="584" t="s">
        <v>3572</v>
      </c>
      <c r="D609" s="584" t="str">
        <f>'Mapa da Corregedoria'!$A$21</f>
        <v>Técnico Judiciário(Á. Apoio Especializado- Informática)</v>
      </c>
      <c r="E609" s="584">
        <f>'Mapa da Corregedoria'!$AL21</f>
        <v>0</v>
      </c>
      <c r="F609" s="584" t="s">
        <v>159</v>
      </c>
      <c r="G609" s="584" t="s">
        <v>1338</v>
      </c>
    </row>
    <row r="610" spans="1:7" ht="14.25" customHeight="1" x14ac:dyDescent="0.25">
      <c r="A610" s="584" t="str">
        <f>'Mapa da Corregedoria'!AL$6</f>
        <v xml:space="preserve">Subdiretoria do Foro </v>
      </c>
      <c r="B610" s="584" t="s">
        <v>1235</v>
      </c>
      <c r="C610" s="584" t="s">
        <v>3572</v>
      </c>
      <c r="D610" s="584" t="str">
        <f>'Mapa da Corregedoria'!$A$24</f>
        <v>Técnico Judiciário (Á. Segurança e Transporte – Agente de Policia Judicial)</v>
      </c>
      <c r="E610" s="584">
        <f>'Mapa da Corregedoria'!$AL24</f>
        <v>0</v>
      </c>
      <c r="F610" s="584" t="s">
        <v>159</v>
      </c>
      <c r="G610" s="584" t="s">
        <v>1338</v>
      </c>
    </row>
    <row r="611" spans="1:7" ht="14.25" customHeight="1" x14ac:dyDescent="0.25">
      <c r="A611" s="584" t="str">
        <f>'Mapa da Corregedoria'!AL$6</f>
        <v xml:space="preserve">Subdiretoria do Foro </v>
      </c>
      <c r="B611" s="584" t="s">
        <v>1235</v>
      </c>
      <c r="C611" s="584" t="s">
        <v>3572</v>
      </c>
      <c r="D611" s="584" t="str">
        <f>'Mapa da Corregedoria'!$A$25</f>
        <v>Auxiliar Judiciário</v>
      </c>
      <c r="E611" s="584">
        <f>'Mapa da Corregedoria'!$AL25</f>
        <v>0</v>
      </c>
      <c r="F611" s="584" t="s">
        <v>159</v>
      </c>
      <c r="G611" s="584" t="s">
        <v>1338</v>
      </c>
    </row>
    <row r="612" spans="1:7" ht="14.25" customHeight="1" x14ac:dyDescent="0.25">
      <c r="A612" s="584" t="str">
        <f>'Mapa da Corregedoria'!AL$6</f>
        <v xml:space="preserve">Subdiretoria do Foro </v>
      </c>
      <c r="B612" s="584" t="s">
        <v>1235</v>
      </c>
      <c r="C612" s="584" t="s">
        <v>3572</v>
      </c>
      <c r="D612" s="584" t="str">
        <f>'Mapa da Corregedoria'!$A$27</f>
        <v>Requisitados</v>
      </c>
      <c r="E612" s="584">
        <f>'Mapa da Corregedoria'!$AL27</f>
        <v>1</v>
      </c>
      <c r="F612" s="584" t="str">
        <f>D612</f>
        <v>Requisitados</v>
      </c>
      <c r="G612" s="584" t="s">
        <v>1338</v>
      </c>
    </row>
    <row r="613" spans="1:7" ht="14.25" customHeight="1" x14ac:dyDescent="0.25">
      <c r="A613" s="584" t="str">
        <f>'Mapa da Corregedoria'!AL$6</f>
        <v xml:space="preserve">Subdiretoria do Foro </v>
      </c>
      <c r="B613" s="584" t="s">
        <v>1235</v>
      </c>
      <c r="C613" s="584" t="s">
        <v>3572</v>
      </c>
      <c r="D613" s="584" t="str">
        <f>'Mapa da Corregedoria'!$A$28</f>
        <v>Exercício Provisório (de outros órgãos)</v>
      </c>
      <c r="E613" s="584">
        <f>'Mapa da Corregedoria'!$AL28</f>
        <v>0</v>
      </c>
      <c r="F613" s="584" t="str">
        <f>D613</f>
        <v>Exercício Provisório (de outros órgãos)</v>
      </c>
      <c r="G613" s="584" t="s">
        <v>1338</v>
      </c>
    </row>
    <row r="614" spans="1:7" ht="14.25" customHeight="1" x14ac:dyDescent="0.25">
      <c r="A614" s="584" t="str">
        <f>'Mapa da Corregedoria'!AL$6</f>
        <v xml:space="preserve">Subdiretoria do Foro </v>
      </c>
      <c r="B614" s="584" t="s">
        <v>1235</v>
      </c>
      <c r="C614" s="584" t="s">
        <v>3572</v>
      </c>
      <c r="D614" s="584" t="str">
        <f>'Mapa da Corregedoria'!$A$29</f>
        <v>Removidos (de outros órgãos)</v>
      </c>
      <c r="E614" s="584">
        <f>'Mapa da Corregedoria'!$AL29</f>
        <v>0</v>
      </c>
      <c r="F614" s="584" t="str">
        <f>D614</f>
        <v>Removidos (de outros órgãos)</v>
      </c>
      <c r="G614" s="584" t="s">
        <v>1338</v>
      </c>
    </row>
    <row r="615" spans="1:7" ht="14.25" customHeight="1" x14ac:dyDescent="0.25">
      <c r="A615" s="584" t="str">
        <f>'Mapa da Corregedoria'!AL$6</f>
        <v xml:space="preserve">Subdiretoria do Foro </v>
      </c>
      <c r="B615" s="584" t="s">
        <v>1235</v>
      </c>
      <c r="C615" s="584" t="s">
        <v>3572</v>
      </c>
      <c r="D615" s="584" t="str">
        <f>'Mapa da Corregedoria'!$A$30</f>
        <v>Sem Vínculo</v>
      </c>
      <c r="E615" s="584">
        <f>'Mapa da Corregedoria'!$AL30</f>
        <v>0</v>
      </c>
      <c r="F615" s="584" t="str">
        <f>D615</f>
        <v>Sem Vínculo</v>
      </c>
      <c r="G615" s="584" t="s">
        <v>1338</v>
      </c>
    </row>
    <row r="616" spans="1:7" ht="14.25" customHeight="1" x14ac:dyDescent="0.25">
      <c r="A616" s="584" t="str">
        <f>'Mapa da Corregedoria'!AN$6</f>
        <v xml:space="preserve">22ª Vara </v>
      </c>
      <c r="B616" s="584" t="s">
        <v>120</v>
      </c>
      <c r="C616" s="584" t="s">
        <v>123</v>
      </c>
      <c r="D616" s="584" t="str">
        <f>'Mapa da Corregedoria'!$A$8</f>
        <v>Analista Judiciário(Á. Judiciária)</v>
      </c>
      <c r="E616" s="584">
        <f>'Mapa da Corregedoria'!$AN8</f>
        <v>4</v>
      </c>
      <c r="F616" s="584" t="s">
        <v>159</v>
      </c>
      <c r="G616" s="584" t="s">
        <v>1349</v>
      </c>
    </row>
    <row r="617" spans="1:7" ht="14.25" customHeight="1" x14ac:dyDescent="0.25">
      <c r="A617" s="584" t="str">
        <f>'Mapa da Corregedoria'!AN$6</f>
        <v xml:space="preserve">22ª Vara </v>
      </c>
      <c r="B617" s="584" t="s">
        <v>120</v>
      </c>
      <c r="C617" s="584" t="s">
        <v>123</v>
      </c>
      <c r="D617" s="584" t="str">
        <f>'Mapa da Corregedoria'!$A$9</f>
        <v>Analista Judiciário(Á. Administrativa)</v>
      </c>
      <c r="E617" s="584">
        <f>'Mapa da Corregedoria'!$AN9</f>
        <v>1</v>
      </c>
      <c r="F617" s="584" t="s">
        <v>159</v>
      </c>
      <c r="G617" s="584" t="s">
        <v>1349</v>
      </c>
    </row>
    <row r="618" spans="1:7" ht="14.25" customHeight="1" x14ac:dyDescent="0.25">
      <c r="A618" s="584" t="str">
        <f>'Mapa da Corregedoria'!AN$6</f>
        <v xml:space="preserve">22ª Vara </v>
      </c>
      <c r="B618" s="584" t="s">
        <v>120</v>
      </c>
      <c r="C618" s="584" t="s">
        <v>123</v>
      </c>
      <c r="D618" s="584" t="str">
        <f>'Mapa da Corregedoria'!$A$10</f>
        <v>Analista Judiciário (Esp.Oficial de Justiça Avaliador Federal)</v>
      </c>
      <c r="E618" s="584">
        <f>'Mapa da Corregedoria'!$AN10</f>
        <v>2</v>
      </c>
      <c r="F618" s="584" t="s">
        <v>159</v>
      </c>
      <c r="G618" s="584" t="s">
        <v>1349</v>
      </c>
    </row>
    <row r="619" spans="1:7" ht="14.25" customHeight="1" x14ac:dyDescent="0.25">
      <c r="A619" s="584" t="str">
        <f>'Mapa da Corregedoria'!AN$6</f>
        <v xml:space="preserve">22ª Vara </v>
      </c>
      <c r="B619" s="584" t="s">
        <v>120</v>
      </c>
      <c r="C619" s="584" t="s">
        <v>123</v>
      </c>
      <c r="D619" s="584" t="str">
        <f>'Mapa da Corregedoria'!$A$11</f>
        <v>Anal.Jud.(Á. Biblioteconomia)</v>
      </c>
      <c r="E619" s="584">
        <f>'Mapa da Corregedoria'!$AN11</f>
        <v>0</v>
      </c>
      <c r="F619" s="584" t="s">
        <v>159</v>
      </c>
      <c r="G619" s="584" t="s">
        <v>1349</v>
      </c>
    </row>
    <row r="620" spans="1:7" ht="14.25" customHeight="1" x14ac:dyDescent="0.25">
      <c r="A620" s="584" t="str">
        <f>'Mapa da Corregedoria'!AN$6</f>
        <v xml:space="preserve">22ª Vara </v>
      </c>
      <c r="B620" s="584" t="s">
        <v>120</v>
      </c>
      <c r="C620" s="584" t="s">
        <v>123</v>
      </c>
      <c r="D620" s="584" t="str">
        <f>'Mapa da Corregedoria'!$A$12</f>
        <v>Analista Judiciário(Á. Apoio Especializado-Informática)</v>
      </c>
      <c r="E620" s="584">
        <f>'Mapa da Corregedoria'!$AN12</f>
        <v>0</v>
      </c>
      <c r="F620" s="584" t="s">
        <v>159</v>
      </c>
      <c r="G620" s="584" t="s">
        <v>1349</v>
      </c>
    </row>
    <row r="621" spans="1:7" ht="14.25" customHeight="1" x14ac:dyDescent="0.25">
      <c r="A621" s="584" t="str">
        <f>'Mapa da Corregedoria'!AN$6</f>
        <v xml:space="preserve">22ª Vara </v>
      </c>
      <c r="B621" s="584" t="s">
        <v>120</v>
      </c>
      <c r="C621" s="584" t="s">
        <v>123</v>
      </c>
      <c r="D621" s="584" t="str">
        <f>'Mapa da Corregedoria'!$A$13</f>
        <v>Analista Judiciário(Á. Apoio Especializado-Informática-Desenvolvimento)</v>
      </c>
      <c r="E621" s="584">
        <f>'Mapa da Corregedoria'!$AN13</f>
        <v>0</v>
      </c>
      <c r="F621" s="584" t="s">
        <v>159</v>
      </c>
      <c r="G621" s="584" t="s">
        <v>1349</v>
      </c>
    </row>
    <row r="622" spans="1:7" ht="14.25" customHeight="1" x14ac:dyDescent="0.25">
      <c r="A622" s="584" t="str">
        <f>'Mapa da Corregedoria'!AN$6</f>
        <v xml:space="preserve">22ª Vara </v>
      </c>
      <c r="B622" s="584" t="s">
        <v>120</v>
      </c>
      <c r="C622" s="584" t="s">
        <v>123</v>
      </c>
      <c r="D622" s="584" t="str">
        <f>'Mapa da Corregedoria'!$A$14</f>
        <v>Analista Judiciário(Á. Apoio Especializado-Informática-Infraestrutura)</v>
      </c>
      <c r="E622" s="584">
        <f>'Mapa da Corregedoria'!$AN14</f>
        <v>0</v>
      </c>
      <c r="F622" s="584" t="s">
        <v>159</v>
      </c>
      <c r="G622" s="584" t="s">
        <v>1349</v>
      </c>
    </row>
    <row r="623" spans="1:7" ht="14.25" customHeight="1" x14ac:dyDescent="0.25">
      <c r="A623" s="584" t="str">
        <f>'Mapa da Corregedoria'!AN$6</f>
        <v xml:space="preserve">22ª Vara </v>
      </c>
      <c r="B623" s="584" t="s">
        <v>120</v>
      </c>
      <c r="C623" s="584" t="s">
        <v>123</v>
      </c>
      <c r="D623" s="584" t="str">
        <f>'Mapa da Corregedoria'!$A$15</f>
        <v>Analista Judiciário(Á. Apoio Especializado-Medicina-Cliníca Médica)</v>
      </c>
      <c r="E623" s="584">
        <f>'Mapa da Corregedoria'!$AN15</f>
        <v>0</v>
      </c>
      <c r="F623" s="584" t="s">
        <v>159</v>
      </c>
      <c r="G623" s="584" t="s">
        <v>1349</v>
      </c>
    </row>
    <row r="624" spans="1:7" ht="14.25" customHeight="1" x14ac:dyDescent="0.25">
      <c r="A624" s="584" t="str">
        <f>'Mapa da Corregedoria'!AN$6</f>
        <v xml:space="preserve">22ª Vara </v>
      </c>
      <c r="B624" s="584" t="s">
        <v>120</v>
      </c>
      <c r="C624" s="584" t="s">
        <v>123</v>
      </c>
      <c r="D624" s="584" t="str">
        <f>'Mapa da Corregedoria'!$A$16</f>
        <v>Analista Judiciário(Á. Apoio Especializado-Contadoria)</v>
      </c>
      <c r="E624" s="584">
        <f>'Mapa da Corregedoria'!$AN16</f>
        <v>0</v>
      </c>
      <c r="F624" s="584" t="s">
        <v>159</v>
      </c>
      <c r="G624" s="584" t="s">
        <v>1349</v>
      </c>
    </row>
    <row r="625" spans="1:7" ht="14.25" customHeight="1" x14ac:dyDescent="0.25">
      <c r="A625" s="584" t="str">
        <f>'Mapa da Corregedoria'!AN$6</f>
        <v xml:space="preserve">22ª Vara </v>
      </c>
      <c r="B625" s="584" t="s">
        <v>120</v>
      </c>
      <c r="C625" s="584" t="s">
        <v>123</v>
      </c>
      <c r="D625" s="584" t="str">
        <f>'Mapa da Corregedoria'!$A$17</f>
        <v>Analista Judiciário(Á. Apoio Especializado- Engenharia Civil)</v>
      </c>
      <c r="E625" s="584">
        <f>'Mapa da Corregedoria'!$AN17</f>
        <v>0</v>
      </c>
      <c r="F625" s="584" t="s">
        <v>159</v>
      </c>
      <c r="G625" s="584" t="s">
        <v>1349</v>
      </c>
    </row>
    <row r="626" spans="1:7" ht="14.25" customHeight="1" x14ac:dyDescent="0.25">
      <c r="A626" s="584" t="str">
        <f>'Mapa da Corregedoria'!AN$6</f>
        <v xml:space="preserve">22ª Vara </v>
      </c>
      <c r="B626" s="584" t="s">
        <v>120</v>
      </c>
      <c r="C626" s="584" t="s">
        <v>123</v>
      </c>
      <c r="D626" s="584" t="str">
        <f>'Mapa da Corregedoria'!$A$20</f>
        <v xml:space="preserve">Técnico Judiciário (Á. Administrativa)-inclusas as Especialidades Serviços de Portaria/Telefonia </v>
      </c>
      <c r="E626" s="584">
        <f>'Mapa da Corregedoria'!$AN20</f>
        <v>7</v>
      </c>
      <c r="F626" s="584" t="s">
        <v>159</v>
      </c>
      <c r="G626" s="584" t="s">
        <v>1349</v>
      </c>
    </row>
    <row r="627" spans="1:7" ht="14.25" customHeight="1" x14ac:dyDescent="0.25">
      <c r="A627" s="584" t="str">
        <f>'Mapa da Corregedoria'!AN$6</f>
        <v xml:space="preserve">22ª Vara </v>
      </c>
      <c r="B627" s="584" t="s">
        <v>120</v>
      </c>
      <c r="C627" s="584" t="s">
        <v>123</v>
      </c>
      <c r="D627" s="584" t="str">
        <f>'Mapa da Corregedoria'!$A$21</f>
        <v>Técnico Judiciário(Á. Apoio Especializado- Informática)</v>
      </c>
      <c r="E627" s="584">
        <f>'Mapa da Corregedoria'!$AN21</f>
        <v>0</v>
      </c>
      <c r="F627" s="584" t="s">
        <v>159</v>
      </c>
      <c r="G627" s="584" t="s">
        <v>1349</v>
      </c>
    </row>
    <row r="628" spans="1:7" ht="14.25" customHeight="1" x14ac:dyDescent="0.25">
      <c r="A628" s="584" t="str">
        <f>'Mapa da Corregedoria'!AN$6</f>
        <v xml:space="preserve">22ª Vara </v>
      </c>
      <c r="B628" s="584" t="s">
        <v>120</v>
      </c>
      <c r="C628" s="584" t="s">
        <v>123</v>
      </c>
      <c r="D628" s="584" t="str">
        <f>'Mapa da Corregedoria'!$A$24</f>
        <v>Técnico Judiciário (Á. Segurança e Transporte – Agente de Policia Judicial)</v>
      </c>
      <c r="E628" s="584">
        <f>'Mapa da Corregedoria'!$AN24</f>
        <v>1</v>
      </c>
      <c r="F628" s="584" t="s">
        <v>159</v>
      </c>
      <c r="G628" s="584" t="s">
        <v>1349</v>
      </c>
    </row>
    <row r="629" spans="1:7" ht="14.25" customHeight="1" x14ac:dyDescent="0.25">
      <c r="A629" s="584" t="str">
        <f>'Mapa da Corregedoria'!AN$6</f>
        <v xml:space="preserve">22ª Vara </v>
      </c>
      <c r="B629" s="584" t="s">
        <v>120</v>
      </c>
      <c r="C629" s="584" t="s">
        <v>123</v>
      </c>
      <c r="D629" s="584" t="str">
        <f>'Mapa da Corregedoria'!$A$25</f>
        <v>Auxiliar Judiciário</v>
      </c>
      <c r="E629" s="584">
        <f>'Mapa da Corregedoria'!$AN25</f>
        <v>0</v>
      </c>
      <c r="F629" s="584" t="s">
        <v>159</v>
      </c>
      <c r="G629" s="584" t="s">
        <v>1349</v>
      </c>
    </row>
    <row r="630" spans="1:7" ht="14.25" customHeight="1" x14ac:dyDescent="0.25">
      <c r="A630" s="584" t="str">
        <f>'Mapa da Corregedoria'!AN$6</f>
        <v xml:space="preserve">22ª Vara </v>
      </c>
      <c r="B630" s="584" t="s">
        <v>120</v>
      </c>
      <c r="C630" s="584" t="s">
        <v>123</v>
      </c>
      <c r="D630" s="584" t="str">
        <f>'Mapa da Corregedoria'!$A$27</f>
        <v>Requisitados</v>
      </c>
      <c r="E630" s="584">
        <f>'Mapa da Corregedoria'!$AN27</f>
        <v>1</v>
      </c>
      <c r="F630" s="584" t="str">
        <f>D630</f>
        <v>Requisitados</v>
      </c>
      <c r="G630" s="584" t="s">
        <v>1349</v>
      </c>
    </row>
    <row r="631" spans="1:7" ht="14.25" customHeight="1" x14ac:dyDescent="0.25">
      <c r="A631" s="584" t="str">
        <f>'Mapa da Corregedoria'!AN$6</f>
        <v xml:space="preserve">22ª Vara </v>
      </c>
      <c r="B631" s="584" t="s">
        <v>120</v>
      </c>
      <c r="C631" s="584" t="s">
        <v>123</v>
      </c>
      <c r="D631" s="584" t="str">
        <f>'Mapa da Corregedoria'!$A$28</f>
        <v>Exercício Provisório (de outros órgãos)</v>
      </c>
      <c r="E631" s="584">
        <f>'Mapa da Corregedoria'!$AN28</f>
        <v>0</v>
      </c>
      <c r="F631" s="584" t="str">
        <f>D631</f>
        <v>Exercício Provisório (de outros órgãos)</v>
      </c>
      <c r="G631" s="584" t="s">
        <v>1349</v>
      </c>
    </row>
    <row r="632" spans="1:7" ht="14.25" customHeight="1" x14ac:dyDescent="0.25">
      <c r="A632" s="584" t="str">
        <f>'Mapa da Corregedoria'!AN$6</f>
        <v xml:space="preserve">22ª Vara </v>
      </c>
      <c r="B632" s="584" t="s">
        <v>120</v>
      </c>
      <c r="C632" s="584" t="s">
        <v>123</v>
      </c>
      <c r="D632" s="584" t="str">
        <f>'Mapa da Corregedoria'!$A$29</f>
        <v>Removidos (de outros órgãos)</v>
      </c>
      <c r="E632" s="584">
        <f>'Mapa da Corregedoria'!$AN29</f>
        <v>0</v>
      </c>
      <c r="F632" s="584" t="str">
        <f>D632</f>
        <v>Removidos (de outros órgãos)</v>
      </c>
      <c r="G632" s="584" t="s">
        <v>1349</v>
      </c>
    </row>
    <row r="633" spans="1:7" ht="14.25" customHeight="1" x14ac:dyDescent="0.25">
      <c r="A633" s="584" t="str">
        <f>'Mapa da Corregedoria'!AN$6</f>
        <v xml:space="preserve">22ª Vara </v>
      </c>
      <c r="B633" s="584" t="s">
        <v>120</v>
      </c>
      <c r="C633" s="584" t="s">
        <v>123</v>
      </c>
      <c r="D633" s="584" t="str">
        <f>'Mapa da Corregedoria'!$A$30</f>
        <v>Sem Vínculo</v>
      </c>
      <c r="E633" s="584">
        <f>'Mapa da Corregedoria'!$AN30</f>
        <v>0</v>
      </c>
      <c r="F633" s="584" t="str">
        <f>D633</f>
        <v>Sem Vínculo</v>
      </c>
      <c r="G633" s="584" t="s">
        <v>1349</v>
      </c>
    </row>
    <row r="634" spans="1:7" ht="14.25" customHeight="1" x14ac:dyDescent="0.25">
      <c r="A634" s="584" t="str">
        <f>'Mapa da Corregedoria'!AO$6</f>
        <v xml:space="preserve">Subdiretoria do Foro </v>
      </c>
      <c r="B634" s="584" t="s">
        <v>1235</v>
      </c>
      <c r="C634" s="584" t="s">
        <v>3572</v>
      </c>
      <c r="D634" s="584" t="str">
        <f>'Mapa da Corregedoria'!$A$8</f>
        <v>Analista Judiciário(Á. Judiciária)</v>
      </c>
      <c r="E634" s="584">
        <f>'Mapa da Corregedoria'!$AO8</f>
        <v>1</v>
      </c>
      <c r="F634" s="584" t="s">
        <v>159</v>
      </c>
      <c r="G634" s="584" t="s">
        <v>1349</v>
      </c>
    </row>
    <row r="635" spans="1:7" ht="14.25" customHeight="1" x14ac:dyDescent="0.25">
      <c r="A635" s="584" t="str">
        <f>'Mapa da Corregedoria'!AO$6</f>
        <v xml:space="preserve">Subdiretoria do Foro </v>
      </c>
      <c r="B635" s="584" t="s">
        <v>1235</v>
      </c>
      <c r="C635" s="584" t="s">
        <v>3572</v>
      </c>
      <c r="D635" s="584" t="str">
        <f>'Mapa da Corregedoria'!$A$9</f>
        <v>Analista Judiciário(Á. Administrativa)</v>
      </c>
      <c r="E635" s="584">
        <f>'Mapa da Corregedoria'!$AO9</f>
        <v>0</v>
      </c>
      <c r="F635" s="584" t="s">
        <v>159</v>
      </c>
      <c r="G635" s="584" t="s">
        <v>1349</v>
      </c>
    </row>
    <row r="636" spans="1:7" ht="14.25" customHeight="1" x14ac:dyDescent="0.25">
      <c r="A636" s="584" t="str">
        <f>'Mapa da Corregedoria'!AO$6</f>
        <v xml:space="preserve">Subdiretoria do Foro </v>
      </c>
      <c r="B636" s="584" t="s">
        <v>1235</v>
      </c>
      <c r="C636" s="584" t="s">
        <v>3572</v>
      </c>
      <c r="D636" s="584" t="str">
        <f>'Mapa da Corregedoria'!$A$10</f>
        <v>Analista Judiciário (Esp.Oficial de Justiça Avaliador Federal)</v>
      </c>
      <c r="E636" s="584">
        <f>'Mapa da Corregedoria'!$AO10</f>
        <v>0</v>
      </c>
      <c r="F636" s="584" t="s">
        <v>159</v>
      </c>
      <c r="G636" s="584" t="s">
        <v>1349</v>
      </c>
    </row>
    <row r="637" spans="1:7" ht="14.25" customHeight="1" x14ac:dyDescent="0.25">
      <c r="A637" s="584" t="str">
        <f>'Mapa da Corregedoria'!AO$6</f>
        <v xml:space="preserve">Subdiretoria do Foro </v>
      </c>
      <c r="B637" s="584" t="s">
        <v>1235</v>
      </c>
      <c r="C637" s="584" t="s">
        <v>3572</v>
      </c>
      <c r="D637" s="584" t="str">
        <f>'Mapa da Corregedoria'!$A$11</f>
        <v>Anal.Jud.(Á. Biblioteconomia)</v>
      </c>
      <c r="E637" s="584">
        <f>'Mapa da Corregedoria'!$AO11</f>
        <v>0</v>
      </c>
      <c r="F637" s="584" t="s">
        <v>159</v>
      </c>
      <c r="G637" s="584" t="s">
        <v>1349</v>
      </c>
    </row>
    <row r="638" spans="1:7" ht="14.25" customHeight="1" x14ac:dyDescent="0.25">
      <c r="A638" s="584" t="str">
        <f>'Mapa da Corregedoria'!AO$6</f>
        <v xml:space="preserve">Subdiretoria do Foro </v>
      </c>
      <c r="B638" s="584" t="s">
        <v>1235</v>
      </c>
      <c r="C638" s="584" t="s">
        <v>3572</v>
      </c>
      <c r="D638" s="584" t="str">
        <f>'Mapa da Corregedoria'!$A$12</f>
        <v>Analista Judiciário(Á. Apoio Especializado-Informática)</v>
      </c>
      <c r="E638" s="584">
        <f>'Mapa da Corregedoria'!$AO12</f>
        <v>0</v>
      </c>
      <c r="F638" s="584" t="s">
        <v>159</v>
      </c>
      <c r="G638" s="584" t="s">
        <v>1349</v>
      </c>
    </row>
    <row r="639" spans="1:7" ht="14.25" customHeight="1" x14ac:dyDescent="0.25">
      <c r="A639" s="584" t="str">
        <f>'Mapa da Corregedoria'!AO$6</f>
        <v xml:space="preserve">Subdiretoria do Foro </v>
      </c>
      <c r="B639" s="584" t="s">
        <v>1235</v>
      </c>
      <c r="C639" s="584" t="s">
        <v>3572</v>
      </c>
      <c r="D639" s="584" t="str">
        <f>'Mapa da Corregedoria'!$A$13</f>
        <v>Analista Judiciário(Á. Apoio Especializado-Informática-Desenvolvimento)</v>
      </c>
      <c r="E639" s="584">
        <f>'Mapa da Corregedoria'!$AO13</f>
        <v>0</v>
      </c>
      <c r="F639" s="584" t="s">
        <v>159</v>
      </c>
      <c r="G639" s="584" t="s">
        <v>1349</v>
      </c>
    </row>
    <row r="640" spans="1:7" ht="14.25" customHeight="1" x14ac:dyDescent="0.25">
      <c r="A640" s="584" t="str">
        <f>'Mapa da Corregedoria'!AO$6</f>
        <v xml:space="preserve">Subdiretoria do Foro </v>
      </c>
      <c r="B640" s="584" t="s">
        <v>1235</v>
      </c>
      <c r="C640" s="584" t="s">
        <v>3572</v>
      </c>
      <c r="D640" s="584" t="str">
        <f>'Mapa da Corregedoria'!$A$14</f>
        <v>Analista Judiciário(Á. Apoio Especializado-Informática-Infraestrutura)</v>
      </c>
      <c r="E640" s="584">
        <f>'Mapa da Corregedoria'!$AO14</f>
        <v>0</v>
      </c>
      <c r="F640" s="584" t="s">
        <v>159</v>
      </c>
      <c r="G640" s="584" t="s">
        <v>1349</v>
      </c>
    </row>
    <row r="641" spans="1:7" ht="14.25" customHeight="1" x14ac:dyDescent="0.25">
      <c r="A641" s="584" t="str">
        <f>'Mapa da Corregedoria'!AO$6</f>
        <v xml:space="preserve">Subdiretoria do Foro </v>
      </c>
      <c r="B641" s="584" t="s">
        <v>1235</v>
      </c>
      <c r="C641" s="584" t="s">
        <v>3572</v>
      </c>
      <c r="D641" s="584" t="str">
        <f>'Mapa da Corregedoria'!$A$15</f>
        <v>Analista Judiciário(Á. Apoio Especializado-Medicina-Cliníca Médica)</v>
      </c>
      <c r="E641" s="584">
        <f>'Mapa da Corregedoria'!$AO15</f>
        <v>0</v>
      </c>
      <c r="F641" s="584" t="s">
        <v>159</v>
      </c>
      <c r="G641" s="584" t="s">
        <v>1349</v>
      </c>
    </row>
    <row r="642" spans="1:7" ht="14.25" customHeight="1" x14ac:dyDescent="0.25">
      <c r="A642" s="584" t="str">
        <f>'Mapa da Corregedoria'!AO$6</f>
        <v xml:space="preserve">Subdiretoria do Foro </v>
      </c>
      <c r="B642" s="584" t="s">
        <v>1235</v>
      </c>
      <c r="C642" s="584" t="s">
        <v>3572</v>
      </c>
      <c r="D642" s="584" t="str">
        <f>'Mapa da Corregedoria'!$A$16</f>
        <v>Analista Judiciário(Á. Apoio Especializado-Contadoria)</v>
      </c>
      <c r="E642" s="584">
        <f>'Mapa da Corregedoria'!$AO16</f>
        <v>0</v>
      </c>
      <c r="F642" s="584" t="s">
        <v>159</v>
      </c>
      <c r="G642" s="584" t="s">
        <v>1349</v>
      </c>
    </row>
    <row r="643" spans="1:7" ht="14.25" customHeight="1" x14ac:dyDescent="0.25">
      <c r="A643" s="584" t="str">
        <f>'Mapa da Corregedoria'!AO$6</f>
        <v xml:space="preserve">Subdiretoria do Foro </v>
      </c>
      <c r="B643" s="584" t="s">
        <v>1235</v>
      </c>
      <c r="C643" s="584" t="s">
        <v>3572</v>
      </c>
      <c r="D643" s="584" t="str">
        <f>'Mapa da Corregedoria'!$A$17</f>
        <v>Analista Judiciário(Á. Apoio Especializado- Engenharia Civil)</v>
      </c>
      <c r="E643" s="584">
        <f>'Mapa da Corregedoria'!$AO17</f>
        <v>0</v>
      </c>
      <c r="F643" s="584" t="s">
        <v>159</v>
      </c>
      <c r="G643" s="584" t="s">
        <v>1349</v>
      </c>
    </row>
    <row r="644" spans="1:7" ht="14.25" customHeight="1" x14ac:dyDescent="0.25">
      <c r="A644" s="584" t="str">
        <f>'Mapa da Corregedoria'!AO$6</f>
        <v xml:space="preserve">Subdiretoria do Foro </v>
      </c>
      <c r="B644" s="584" t="s">
        <v>1235</v>
      </c>
      <c r="C644" s="584" t="s">
        <v>3572</v>
      </c>
      <c r="D644" s="584" t="str">
        <f>'Mapa da Corregedoria'!$A$20</f>
        <v xml:space="preserve">Técnico Judiciário (Á. Administrativa)-inclusas as Especialidades Serviços de Portaria/Telefonia </v>
      </c>
      <c r="E644" s="584">
        <f>'Mapa da Corregedoria'!$AO20</f>
        <v>1</v>
      </c>
      <c r="F644" s="584" t="s">
        <v>159</v>
      </c>
      <c r="G644" s="584" t="s">
        <v>1349</v>
      </c>
    </row>
    <row r="645" spans="1:7" ht="14.25" customHeight="1" x14ac:dyDescent="0.25">
      <c r="A645" s="584" t="str">
        <f>'Mapa da Corregedoria'!AO$6</f>
        <v xml:space="preserve">Subdiretoria do Foro </v>
      </c>
      <c r="B645" s="584" t="s">
        <v>1235</v>
      </c>
      <c r="C645" s="584" t="s">
        <v>3572</v>
      </c>
      <c r="D645" s="584" t="str">
        <f>'Mapa da Corregedoria'!$A$21</f>
        <v>Técnico Judiciário(Á. Apoio Especializado- Informática)</v>
      </c>
      <c r="E645" s="584">
        <f>'Mapa da Corregedoria'!$AO21</f>
        <v>0</v>
      </c>
      <c r="F645" s="584" t="s">
        <v>159</v>
      </c>
      <c r="G645" s="584" t="s">
        <v>1349</v>
      </c>
    </row>
    <row r="646" spans="1:7" ht="14.25" customHeight="1" x14ac:dyDescent="0.25">
      <c r="A646" s="584" t="str">
        <f>'Mapa da Corregedoria'!AO$6</f>
        <v xml:space="preserve">Subdiretoria do Foro </v>
      </c>
      <c r="B646" s="584" t="s">
        <v>1235</v>
      </c>
      <c r="C646" s="584" t="s">
        <v>3572</v>
      </c>
      <c r="D646" s="584" t="str">
        <f>'Mapa da Corregedoria'!$A$24</f>
        <v>Técnico Judiciário (Á. Segurança e Transporte – Agente de Policia Judicial)</v>
      </c>
      <c r="E646" s="584">
        <f>'Mapa da Corregedoria'!$AO24</f>
        <v>1</v>
      </c>
      <c r="F646" s="584" t="s">
        <v>159</v>
      </c>
      <c r="G646" s="584" t="s">
        <v>1349</v>
      </c>
    </row>
    <row r="647" spans="1:7" ht="14.25" customHeight="1" x14ac:dyDescent="0.25">
      <c r="A647" s="584" t="str">
        <f>'Mapa da Corregedoria'!AO$6</f>
        <v xml:space="preserve">Subdiretoria do Foro </v>
      </c>
      <c r="B647" s="584" t="s">
        <v>1235</v>
      </c>
      <c r="C647" s="584" t="s">
        <v>3572</v>
      </c>
      <c r="D647" s="584" t="str">
        <f>'Mapa da Corregedoria'!$A$25</f>
        <v>Auxiliar Judiciário</v>
      </c>
      <c r="E647" s="584">
        <f>'Mapa da Corregedoria'!$AO25</f>
        <v>0</v>
      </c>
      <c r="F647" s="584" t="s">
        <v>159</v>
      </c>
      <c r="G647" s="584" t="s">
        <v>1349</v>
      </c>
    </row>
    <row r="648" spans="1:7" ht="14.25" customHeight="1" x14ac:dyDescent="0.25">
      <c r="A648" s="584" t="str">
        <f>'Mapa da Corregedoria'!AO$6</f>
        <v xml:space="preserve">Subdiretoria do Foro </v>
      </c>
      <c r="B648" s="584" t="s">
        <v>1235</v>
      </c>
      <c r="C648" s="584" t="s">
        <v>3572</v>
      </c>
      <c r="D648" s="584" t="str">
        <f>'Mapa da Corregedoria'!$A$27</f>
        <v>Requisitados</v>
      </c>
      <c r="E648" s="584">
        <f>'Mapa da Corregedoria'!$AO27</f>
        <v>0</v>
      </c>
      <c r="F648" s="584" t="str">
        <f>D648</f>
        <v>Requisitados</v>
      </c>
      <c r="G648" s="584" t="s">
        <v>1349</v>
      </c>
    </row>
    <row r="649" spans="1:7" ht="14.25" customHeight="1" x14ac:dyDescent="0.25">
      <c r="A649" s="584" t="str">
        <f>'Mapa da Corregedoria'!AO$6</f>
        <v xml:space="preserve">Subdiretoria do Foro </v>
      </c>
      <c r="B649" s="584" t="s">
        <v>1235</v>
      </c>
      <c r="C649" s="584" t="s">
        <v>3572</v>
      </c>
      <c r="D649" s="584" t="str">
        <f>'Mapa da Corregedoria'!$A$28</f>
        <v>Exercício Provisório (de outros órgãos)</v>
      </c>
      <c r="E649" s="584">
        <f>'Mapa da Corregedoria'!$AO28</f>
        <v>0</v>
      </c>
      <c r="F649" s="584" t="str">
        <f>D649</f>
        <v>Exercício Provisório (de outros órgãos)</v>
      </c>
      <c r="G649" s="584" t="s">
        <v>1349</v>
      </c>
    </row>
    <row r="650" spans="1:7" ht="14.25" customHeight="1" x14ac:dyDescent="0.25">
      <c r="A650" s="584" t="str">
        <f>'Mapa da Corregedoria'!AO$6</f>
        <v xml:space="preserve">Subdiretoria do Foro </v>
      </c>
      <c r="B650" s="584" t="s">
        <v>1235</v>
      </c>
      <c r="C650" s="584" t="s">
        <v>3572</v>
      </c>
      <c r="D650" s="584" t="str">
        <f>'Mapa da Corregedoria'!$A$29</f>
        <v>Removidos (de outros órgãos)</v>
      </c>
      <c r="E650" s="584">
        <f>'Mapa da Corregedoria'!$AO29</f>
        <v>0</v>
      </c>
      <c r="F650" s="584" t="str">
        <f>D650</f>
        <v>Removidos (de outros órgãos)</v>
      </c>
      <c r="G650" s="584" t="s">
        <v>1349</v>
      </c>
    </row>
    <row r="651" spans="1:7" ht="14.25" customHeight="1" x14ac:dyDescent="0.25">
      <c r="A651" s="584" t="str">
        <f>'Mapa da Corregedoria'!AO$6</f>
        <v xml:space="preserve">Subdiretoria do Foro </v>
      </c>
      <c r="B651" s="584" t="s">
        <v>1235</v>
      </c>
      <c r="C651" s="584" t="s">
        <v>3572</v>
      </c>
      <c r="D651" s="584" t="str">
        <f>'Mapa da Corregedoria'!$A$30</f>
        <v>Sem Vínculo</v>
      </c>
      <c r="E651" s="584">
        <f>'Mapa da Corregedoria'!$AO30</f>
        <v>0</v>
      </c>
      <c r="F651" s="584" t="str">
        <f>D651</f>
        <v>Sem Vínculo</v>
      </c>
      <c r="G651" s="584" t="s">
        <v>1349</v>
      </c>
    </row>
    <row r="652" spans="1:7" ht="14.25" customHeight="1" x14ac:dyDescent="0.25">
      <c r="A652" s="584" t="str">
        <f>'Mapa da Corregedoria'!AQ$6</f>
        <v>23ª Vara</v>
      </c>
      <c r="B652" s="584" t="s">
        <v>120</v>
      </c>
      <c r="C652" s="584" t="s">
        <v>123</v>
      </c>
      <c r="D652" s="584" t="str">
        <f>'Mapa da Corregedoria'!$A$8</f>
        <v>Analista Judiciário(Á. Judiciária)</v>
      </c>
      <c r="E652" s="584">
        <f>'Mapa da Corregedoria'!$AQ8</f>
        <v>4</v>
      </c>
      <c r="F652" s="584" t="s">
        <v>159</v>
      </c>
      <c r="G652" s="584" t="s">
        <v>1309</v>
      </c>
    </row>
    <row r="653" spans="1:7" ht="14.25" customHeight="1" x14ac:dyDescent="0.25">
      <c r="A653" s="584" t="str">
        <f>'Mapa da Corregedoria'!AQ$6</f>
        <v>23ª Vara</v>
      </c>
      <c r="B653" s="584" t="s">
        <v>120</v>
      </c>
      <c r="C653" s="584" t="s">
        <v>123</v>
      </c>
      <c r="D653" s="584" t="str">
        <f>'Mapa da Corregedoria'!$A$9</f>
        <v>Analista Judiciário(Á. Administrativa)</v>
      </c>
      <c r="E653" s="584">
        <f>'Mapa da Corregedoria'!$AQ9</f>
        <v>1</v>
      </c>
      <c r="F653" s="584" t="s">
        <v>159</v>
      </c>
      <c r="G653" s="584" t="s">
        <v>1309</v>
      </c>
    </row>
    <row r="654" spans="1:7" ht="14.25" customHeight="1" x14ac:dyDescent="0.25">
      <c r="A654" s="584" t="str">
        <f>'Mapa da Corregedoria'!AQ$6</f>
        <v>23ª Vara</v>
      </c>
      <c r="B654" s="584" t="s">
        <v>120</v>
      </c>
      <c r="C654" s="584" t="s">
        <v>123</v>
      </c>
      <c r="D654" s="584" t="str">
        <f>'Mapa da Corregedoria'!$A$10</f>
        <v>Analista Judiciário (Esp.Oficial de Justiça Avaliador Federal)</v>
      </c>
      <c r="E654" s="584">
        <f>'Mapa da Corregedoria'!$AQ10</f>
        <v>2</v>
      </c>
      <c r="F654" s="584" t="s">
        <v>159</v>
      </c>
      <c r="G654" s="584" t="s">
        <v>1309</v>
      </c>
    </row>
    <row r="655" spans="1:7" ht="14.25" customHeight="1" x14ac:dyDescent="0.25">
      <c r="A655" s="584" t="str">
        <f>'Mapa da Corregedoria'!AQ$6</f>
        <v>23ª Vara</v>
      </c>
      <c r="B655" s="584" t="s">
        <v>120</v>
      </c>
      <c r="C655" s="584" t="s">
        <v>123</v>
      </c>
      <c r="D655" s="584" t="str">
        <f>'Mapa da Corregedoria'!$A$11</f>
        <v>Anal.Jud.(Á. Biblioteconomia)</v>
      </c>
      <c r="E655" s="584">
        <f>'Mapa da Corregedoria'!$AQ11</f>
        <v>0</v>
      </c>
      <c r="F655" s="584" t="s">
        <v>159</v>
      </c>
      <c r="G655" s="584" t="s">
        <v>1309</v>
      </c>
    </row>
    <row r="656" spans="1:7" ht="14.25" customHeight="1" x14ac:dyDescent="0.25">
      <c r="A656" s="584" t="str">
        <f>'Mapa da Corregedoria'!AQ$6</f>
        <v>23ª Vara</v>
      </c>
      <c r="B656" s="584" t="s">
        <v>120</v>
      </c>
      <c r="C656" s="584" t="s">
        <v>123</v>
      </c>
      <c r="D656" s="584" t="str">
        <f>'Mapa da Corregedoria'!$A$12</f>
        <v>Analista Judiciário(Á. Apoio Especializado-Informática)</v>
      </c>
      <c r="E656" s="584">
        <f>'Mapa da Corregedoria'!$AQ12</f>
        <v>0</v>
      </c>
      <c r="F656" s="584" t="s">
        <v>159</v>
      </c>
      <c r="G656" s="584" t="s">
        <v>1309</v>
      </c>
    </row>
    <row r="657" spans="1:7" ht="14.25" customHeight="1" x14ac:dyDescent="0.25">
      <c r="A657" s="584" t="str">
        <f>'Mapa da Corregedoria'!AQ$6</f>
        <v>23ª Vara</v>
      </c>
      <c r="B657" s="584" t="s">
        <v>120</v>
      </c>
      <c r="C657" s="584" t="s">
        <v>123</v>
      </c>
      <c r="D657" s="584" t="str">
        <f>'Mapa da Corregedoria'!$A$13</f>
        <v>Analista Judiciário(Á. Apoio Especializado-Informática-Desenvolvimento)</v>
      </c>
      <c r="E657" s="584">
        <f>'Mapa da Corregedoria'!$AQ13</f>
        <v>0</v>
      </c>
      <c r="F657" s="584" t="s">
        <v>159</v>
      </c>
      <c r="G657" s="584" t="s">
        <v>1309</v>
      </c>
    </row>
    <row r="658" spans="1:7" ht="14.25" customHeight="1" x14ac:dyDescent="0.25">
      <c r="A658" s="584" t="str">
        <f>'Mapa da Corregedoria'!AQ$6</f>
        <v>23ª Vara</v>
      </c>
      <c r="B658" s="584" t="s">
        <v>120</v>
      </c>
      <c r="C658" s="584" t="s">
        <v>123</v>
      </c>
      <c r="D658" s="584" t="str">
        <f>'Mapa da Corregedoria'!$A$14</f>
        <v>Analista Judiciário(Á. Apoio Especializado-Informática-Infraestrutura)</v>
      </c>
      <c r="E658" s="584">
        <f>'Mapa da Corregedoria'!$AQ14</f>
        <v>0</v>
      </c>
      <c r="F658" s="584" t="s">
        <v>159</v>
      </c>
      <c r="G658" s="584" t="s">
        <v>1309</v>
      </c>
    </row>
    <row r="659" spans="1:7" ht="14.25" customHeight="1" x14ac:dyDescent="0.25">
      <c r="A659" s="584" t="str">
        <f>'Mapa da Corregedoria'!AQ$6</f>
        <v>23ª Vara</v>
      </c>
      <c r="B659" s="584" t="s">
        <v>120</v>
      </c>
      <c r="C659" s="584" t="s">
        <v>123</v>
      </c>
      <c r="D659" s="584" t="str">
        <f>'Mapa da Corregedoria'!$A$15</f>
        <v>Analista Judiciário(Á. Apoio Especializado-Medicina-Cliníca Médica)</v>
      </c>
      <c r="E659" s="584">
        <f>'Mapa da Corregedoria'!$AQ15</f>
        <v>0</v>
      </c>
      <c r="F659" s="584" t="s">
        <v>159</v>
      </c>
      <c r="G659" s="584" t="s">
        <v>1309</v>
      </c>
    </row>
    <row r="660" spans="1:7" ht="14.25" customHeight="1" x14ac:dyDescent="0.25">
      <c r="A660" s="584" t="str">
        <f>'Mapa da Corregedoria'!AQ$6</f>
        <v>23ª Vara</v>
      </c>
      <c r="B660" s="584" t="s">
        <v>120</v>
      </c>
      <c r="C660" s="584" t="s">
        <v>123</v>
      </c>
      <c r="D660" s="584" t="str">
        <f>'Mapa da Corregedoria'!$A$16</f>
        <v>Analista Judiciário(Á. Apoio Especializado-Contadoria)</v>
      </c>
      <c r="E660" s="584">
        <f>'Mapa da Corregedoria'!$AQ16</f>
        <v>0</v>
      </c>
      <c r="F660" s="584" t="s">
        <v>159</v>
      </c>
      <c r="G660" s="584" t="s">
        <v>1309</v>
      </c>
    </row>
    <row r="661" spans="1:7" ht="14.25" customHeight="1" x14ac:dyDescent="0.25">
      <c r="A661" s="584" t="str">
        <f>'Mapa da Corregedoria'!AQ$6</f>
        <v>23ª Vara</v>
      </c>
      <c r="B661" s="584" t="s">
        <v>120</v>
      </c>
      <c r="C661" s="584" t="s">
        <v>123</v>
      </c>
      <c r="D661" s="584" t="str">
        <f>'Mapa da Corregedoria'!$A$17</f>
        <v>Analista Judiciário(Á. Apoio Especializado- Engenharia Civil)</v>
      </c>
      <c r="E661" s="584">
        <f>'Mapa da Corregedoria'!$AQ17</f>
        <v>0</v>
      </c>
      <c r="F661" s="584" t="s">
        <v>159</v>
      </c>
      <c r="G661" s="584" t="s">
        <v>1309</v>
      </c>
    </row>
    <row r="662" spans="1:7" ht="14.25" customHeight="1" x14ac:dyDescent="0.25">
      <c r="A662" s="584" t="str">
        <f>'Mapa da Corregedoria'!AQ$6</f>
        <v>23ª Vara</v>
      </c>
      <c r="B662" s="584" t="s">
        <v>120</v>
      </c>
      <c r="C662" s="584" t="s">
        <v>123</v>
      </c>
      <c r="D662" s="584" t="str">
        <f>'Mapa da Corregedoria'!$A$20</f>
        <v xml:space="preserve">Técnico Judiciário (Á. Administrativa)-inclusas as Especialidades Serviços de Portaria/Telefonia </v>
      </c>
      <c r="E662" s="584">
        <f>'Mapa da Corregedoria'!$AQ20</f>
        <v>6</v>
      </c>
      <c r="F662" s="584" t="s">
        <v>159</v>
      </c>
      <c r="G662" s="584" t="s">
        <v>1309</v>
      </c>
    </row>
    <row r="663" spans="1:7" ht="14.25" customHeight="1" x14ac:dyDescent="0.25">
      <c r="A663" s="584" t="str">
        <f>'Mapa da Corregedoria'!AQ$6</f>
        <v>23ª Vara</v>
      </c>
      <c r="B663" s="584" t="s">
        <v>120</v>
      </c>
      <c r="C663" s="584" t="s">
        <v>123</v>
      </c>
      <c r="D663" s="584" t="str">
        <f>'Mapa da Corregedoria'!$A$21</f>
        <v>Técnico Judiciário(Á. Apoio Especializado- Informática)</v>
      </c>
      <c r="E663" s="584">
        <f>'Mapa da Corregedoria'!$AQ21</f>
        <v>0</v>
      </c>
      <c r="F663" s="584" t="s">
        <v>159</v>
      </c>
      <c r="G663" s="584" t="s">
        <v>1309</v>
      </c>
    </row>
    <row r="664" spans="1:7" ht="14.25" customHeight="1" x14ac:dyDescent="0.25">
      <c r="A664" s="584" t="str">
        <f>'Mapa da Corregedoria'!AQ$6</f>
        <v>23ª Vara</v>
      </c>
      <c r="B664" s="584" t="s">
        <v>120</v>
      </c>
      <c r="C664" s="584" t="s">
        <v>123</v>
      </c>
      <c r="D664" s="584" t="str">
        <f>'Mapa da Corregedoria'!$A$24</f>
        <v>Técnico Judiciário (Á. Segurança e Transporte – Agente de Policia Judicial)</v>
      </c>
      <c r="E664" s="584">
        <f>'Mapa da Corregedoria'!$AQ24</f>
        <v>1</v>
      </c>
      <c r="F664" s="584" t="s">
        <v>159</v>
      </c>
      <c r="G664" s="584" t="s">
        <v>1309</v>
      </c>
    </row>
    <row r="665" spans="1:7" ht="14.25" customHeight="1" x14ac:dyDescent="0.25">
      <c r="A665" s="584" t="str">
        <f>'Mapa da Corregedoria'!AQ$6</f>
        <v>23ª Vara</v>
      </c>
      <c r="B665" s="584" t="s">
        <v>120</v>
      </c>
      <c r="C665" s="584" t="s">
        <v>123</v>
      </c>
      <c r="D665" s="584" t="str">
        <f>'Mapa da Corregedoria'!$A$25</f>
        <v>Auxiliar Judiciário</v>
      </c>
      <c r="E665" s="584">
        <f>'Mapa da Corregedoria'!$AQ25</f>
        <v>0</v>
      </c>
      <c r="F665" s="584" t="s">
        <v>159</v>
      </c>
      <c r="G665" s="584" t="s">
        <v>1309</v>
      </c>
    </row>
    <row r="666" spans="1:7" ht="14.25" customHeight="1" x14ac:dyDescent="0.25">
      <c r="A666" s="584" t="str">
        <f>'Mapa da Corregedoria'!AQ$6</f>
        <v>23ª Vara</v>
      </c>
      <c r="B666" s="584" t="s">
        <v>120</v>
      </c>
      <c r="C666" s="584" t="s">
        <v>123</v>
      </c>
      <c r="D666" s="584" t="str">
        <f>'Mapa da Corregedoria'!$A$27</f>
        <v>Requisitados</v>
      </c>
      <c r="E666" s="584">
        <f>'Mapa da Corregedoria'!$AQ27</f>
        <v>0</v>
      </c>
      <c r="F666" s="584" t="str">
        <f>D666</f>
        <v>Requisitados</v>
      </c>
      <c r="G666" s="584" t="s">
        <v>1309</v>
      </c>
    </row>
    <row r="667" spans="1:7" ht="14.25" customHeight="1" x14ac:dyDescent="0.25">
      <c r="A667" s="584" t="str">
        <f>'Mapa da Corregedoria'!AQ$6</f>
        <v>23ª Vara</v>
      </c>
      <c r="B667" s="584" t="s">
        <v>120</v>
      </c>
      <c r="C667" s="584" t="s">
        <v>123</v>
      </c>
      <c r="D667" s="584" t="str">
        <f>'Mapa da Corregedoria'!$A$28</f>
        <v>Exercício Provisório (de outros órgãos)</v>
      </c>
      <c r="E667" s="584">
        <f>'Mapa da Corregedoria'!$AQ28</f>
        <v>0</v>
      </c>
      <c r="F667" s="584" t="str">
        <f>D667</f>
        <v>Exercício Provisório (de outros órgãos)</v>
      </c>
      <c r="G667" s="584" t="s">
        <v>1309</v>
      </c>
    </row>
    <row r="668" spans="1:7" ht="14.25" customHeight="1" x14ac:dyDescent="0.25">
      <c r="A668" s="584" t="str">
        <f>'Mapa da Corregedoria'!AQ$6</f>
        <v>23ª Vara</v>
      </c>
      <c r="B668" s="584" t="s">
        <v>120</v>
      </c>
      <c r="C668" s="584" t="s">
        <v>123</v>
      </c>
      <c r="D668" s="584" t="str">
        <f>'Mapa da Corregedoria'!$A$29</f>
        <v>Removidos (de outros órgãos)</v>
      </c>
      <c r="E668" s="584">
        <f>'Mapa da Corregedoria'!$AQ29</f>
        <v>2</v>
      </c>
      <c r="F668" s="584" t="str">
        <f>D668</f>
        <v>Removidos (de outros órgãos)</v>
      </c>
      <c r="G668" s="584" t="s">
        <v>1309</v>
      </c>
    </row>
    <row r="669" spans="1:7" ht="14.25" customHeight="1" x14ac:dyDescent="0.25">
      <c r="A669" s="584" t="str">
        <f>'Mapa da Corregedoria'!AQ$6</f>
        <v>23ª Vara</v>
      </c>
      <c r="B669" s="584" t="s">
        <v>120</v>
      </c>
      <c r="C669" s="584" t="s">
        <v>123</v>
      </c>
      <c r="D669" s="584" t="str">
        <f>'Mapa da Corregedoria'!$A$30</f>
        <v>Sem Vínculo</v>
      </c>
      <c r="E669" s="584">
        <f>'Mapa da Corregedoria'!$AQ30</f>
        <v>1</v>
      </c>
      <c r="F669" s="584" t="str">
        <f>D669</f>
        <v>Sem Vínculo</v>
      </c>
      <c r="G669" s="584" t="s">
        <v>1309</v>
      </c>
    </row>
    <row r="670" spans="1:7" ht="14.25" customHeight="1" x14ac:dyDescent="0.25">
      <c r="A670" s="584" t="str">
        <f>'Mapa da Corregedoria'!AR$6</f>
        <v xml:space="preserve">Subdiretoria do Foro </v>
      </c>
      <c r="B670" s="584" t="s">
        <v>1235</v>
      </c>
      <c r="C670" s="584" t="s">
        <v>3572</v>
      </c>
      <c r="D670" s="584" t="str">
        <f>'Mapa da Corregedoria'!$A$8</f>
        <v>Analista Judiciário(Á. Judiciária)</v>
      </c>
      <c r="E670" s="584">
        <f>'Mapa da Corregedoria'!$AR8</f>
        <v>0</v>
      </c>
      <c r="F670" s="584" t="s">
        <v>159</v>
      </c>
      <c r="G670" s="584" t="s">
        <v>1309</v>
      </c>
    </row>
    <row r="671" spans="1:7" ht="14.25" customHeight="1" x14ac:dyDescent="0.25">
      <c r="A671" s="584" t="str">
        <f>'Mapa da Corregedoria'!AR$6</f>
        <v xml:space="preserve">Subdiretoria do Foro </v>
      </c>
      <c r="B671" s="584" t="s">
        <v>1235</v>
      </c>
      <c r="C671" s="584" t="s">
        <v>3572</v>
      </c>
      <c r="D671" s="584" t="str">
        <f>'Mapa da Corregedoria'!$A$9</f>
        <v>Analista Judiciário(Á. Administrativa)</v>
      </c>
      <c r="E671" s="584">
        <f>'Mapa da Corregedoria'!$AR9</f>
        <v>0</v>
      </c>
      <c r="F671" s="584" t="s">
        <v>159</v>
      </c>
      <c r="G671" s="584" t="s">
        <v>1309</v>
      </c>
    </row>
    <row r="672" spans="1:7" ht="14.25" customHeight="1" x14ac:dyDescent="0.25">
      <c r="A672" s="584" t="str">
        <f>'Mapa da Corregedoria'!AR$6</f>
        <v xml:space="preserve">Subdiretoria do Foro </v>
      </c>
      <c r="B672" s="584" t="s">
        <v>1235</v>
      </c>
      <c r="C672" s="584" t="s">
        <v>3572</v>
      </c>
      <c r="D672" s="584" t="str">
        <f>'Mapa da Corregedoria'!$A$10</f>
        <v>Analista Judiciário (Esp.Oficial de Justiça Avaliador Federal)</v>
      </c>
      <c r="E672" s="584">
        <f>'Mapa da Corregedoria'!$AR10</f>
        <v>0</v>
      </c>
      <c r="F672" s="584" t="s">
        <v>159</v>
      </c>
      <c r="G672" s="584" t="s">
        <v>1309</v>
      </c>
    </row>
    <row r="673" spans="1:7" ht="14.25" customHeight="1" x14ac:dyDescent="0.25">
      <c r="A673" s="584" t="str">
        <f>'Mapa da Corregedoria'!AR$6</f>
        <v xml:space="preserve">Subdiretoria do Foro </v>
      </c>
      <c r="B673" s="584" t="s">
        <v>1235</v>
      </c>
      <c r="C673" s="584" t="s">
        <v>3572</v>
      </c>
      <c r="D673" s="584" t="str">
        <f>'Mapa da Corregedoria'!$A$11</f>
        <v>Anal.Jud.(Á. Biblioteconomia)</v>
      </c>
      <c r="E673" s="584">
        <f>'Mapa da Corregedoria'!$AR11</f>
        <v>0</v>
      </c>
      <c r="F673" s="584" t="s">
        <v>159</v>
      </c>
      <c r="G673" s="584" t="s">
        <v>1309</v>
      </c>
    </row>
    <row r="674" spans="1:7" ht="14.25" customHeight="1" x14ac:dyDescent="0.25">
      <c r="A674" s="584" t="str">
        <f>'Mapa da Corregedoria'!AR$6</f>
        <v xml:space="preserve">Subdiretoria do Foro </v>
      </c>
      <c r="B674" s="584" t="s">
        <v>1235</v>
      </c>
      <c r="C674" s="584" t="s">
        <v>3572</v>
      </c>
      <c r="D674" s="584" t="str">
        <f>'Mapa da Corregedoria'!$A$12</f>
        <v>Analista Judiciário(Á. Apoio Especializado-Informática)</v>
      </c>
      <c r="E674" s="584">
        <f>'Mapa da Corregedoria'!$AR12</f>
        <v>0</v>
      </c>
      <c r="F674" s="584" t="s">
        <v>159</v>
      </c>
      <c r="G674" s="584" t="s">
        <v>1309</v>
      </c>
    </row>
    <row r="675" spans="1:7" ht="14.25" customHeight="1" x14ac:dyDescent="0.25">
      <c r="A675" s="584" t="str">
        <f>'Mapa da Corregedoria'!AR$6</f>
        <v xml:space="preserve">Subdiretoria do Foro </v>
      </c>
      <c r="B675" s="584" t="s">
        <v>1235</v>
      </c>
      <c r="C675" s="584" t="s">
        <v>3572</v>
      </c>
      <c r="D675" s="584" t="str">
        <f>'Mapa da Corregedoria'!$A$13</f>
        <v>Analista Judiciário(Á. Apoio Especializado-Informática-Desenvolvimento)</v>
      </c>
      <c r="E675" s="584">
        <f>'Mapa da Corregedoria'!$AR13</f>
        <v>0</v>
      </c>
      <c r="F675" s="584" t="s">
        <v>159</v>
      </c>
      <c r="G675" s="584" t="s">
        <v>1309</v>
      </c>
    </row>
    <row r="676" spans="1:7" ht="14.25" customHeight="1" x14ac:dyDescent="0.25">
      <c r="A676" s="584" t="str">
        <f>'Mapa da Corregedoria'!AR$6</f>
        <v xml:space="preserve">Subdiretoria do Foro </v>
      </c>
      <c r="B676" s="584" t="s">
        <v>1235</v>
      </c>
      <c r="C676" s="584" t="s">
        <v>3572</v>
      </c>
      <c r="D676" s="584" t="str">
        <f>'Mapa da Corregedoria'!$A$14</f>
        <v>Analista Judiciário(Á. Apoio Especializado-Informática-Infraestrutura)</v>
      </c>
      <c r="E676" s="584">
        <f>'Mapa da Corregedoria'!$AR14</f>
        <v>0</v>
      </c>
      <c r="F676" s="584" t="s">
        <v>159</v>
      </c>
      <c r="G676" s="584" t="s">
        <v>1309</v>
      </c>
    </row>
    <row r="677" spans="1:7" ht="14.25" customHeight="1" x14ac:dyDescent="0.25">
      <c r="A677" s="584" t="str">
        <f>'Mapa da Corregedoria'!AR$6</f>
        <v xml:space="preserve">Subdiretoria do Foro </v>
      </c>
      <c r="B677" s="584" t="s">
        <v>1235</v>
      </c>
      <c r="C677" s="584" t="s">
        <v>3572</v>
      </c>
      <c r="D677" s="584" t="str">
        <f>'Mapa da Corregedoria'!$A$15</f>
        <v>Analista Judiciário(Á. Apoio Especializado-Medicina-Cliníca Médica)</v>
      </c>
      <c r="E677" s="584">
        <f>'Mapa da Corregedoria'!$AR15</f>
        <v>0</v>
      </c>
      <c r="F677" s="584" t="s">
        <v>159</v>
      </c>
      <c r="G677" s="584" t="s">
        <v>1309</v>
      </c>
    </row>
    <row r="678" spans="1:7" ht="14.25" customHeight="1" x14ac:dyDescent="0.25">
      <c r="A678" s="584" t="str">
        <f>'Mapa da Corregedoria'!AR$6</f>
        <v xml:space="preserve">Subdiretoria do Foro </v>
      </c>
      <c r="B678" s="584" t="s">
        <v>1235</v>
      </c>
      <c r="C678" s="584" t="s">
        <v>3572</v>
      </c>
      <c r="D678" s="584" t="str">
        <f>'Mapa da Corregedoria'!$A$16</f>
        <v>Analista Judiciário(Á. Apoio Especializado-Contadoria)</v>
      </c>
      <c r="E678" s="584">
        <f>'Mapa da Corregedoria'!$AR16</f>
        <v>0</v>
      </c>
      <c r="F678" s="584" t="s">
        <v>159</v>
      </c>
      <c r="G678" s="584" t="s">
        <v>1309</v>
      </c>
    </row>
    <row r="679" spans="1:7" ht="14.25" customHeight="1" x14ac:dyDescent="0.25">
      <c r="A679" s="584" t="str">
        <f>'Mapa da Corregedoria'!AR$6</f>
        <v xml:space="preserve">Subdiretoria do Foro </v>
      </c>
      <c r="B679" s="584" t="s">
        <v>1235</v>
      </c>
      <c r="C679" s="584" t="s">
        <v>3572</v>
      </c>
      <c r="D679" s="584" t="str">
        <f>'Mapa da Corregedoria'!$A$17</f>
        <v>Analista Judiciário(Á. Apoio Especializado- Engenharia Civil)</v>
      </c>
      <c r="E679" s="584">
        <f>'Mapa da Corregedoria'!$AR17</f>
        <v>0</v>
      </c>
      <c r="F679" s="584" t="s">
        <v>159</v>
      </c>
      <c r="G679" s="584" t="s">
        <v>1309</v>
      </c>
    </row>
    <row r="680" spans="1:7" ht="14.25" customHeight="1" x14ac:dyDescent="0.25">
      <c r="A680" s="584" t="str">
        <f>'Mapa da Corregedoria'!AR$6</f>
        <v xml:space="preserve">Subdiretoria do Foro </v>
      </c>
      <c r="B680" s="584" t="s">
        <v>1235</v>
      </c>
      <c r="C680" s="584" t="s">
        <v>3572</v>
      </c>
      <c r="D680" s="584" t="str">
        <f>'Mapa da Corregedoria'!$A$20</f>
        <v xml:space="preserve">Técnico Judiciário (Á. Administrativa)-inclusas as Especialidades Serviços de Portaria/Telefonia </v>
      </c>
      <c r="E680" s="584">
        <f>'Mapa da Corregedoria'!$AR20</f>
        <v>1</v>
      </c>
      <c r="F680" s="584" t="s">
        <v>159</v>
      </c>
      <c r="G680" s="584" t="s">
        <v>1309</v>
      </c>
    </row>
    <row r="681" spans="1:7" ht="14.25" customHeight="1" x14ac:dyDescent="0.25">
      <c r="A681" s="584" t="str">
        <f>'Mapa da Corregedoria'!AR$6</f>
        <v xml:space="preserve">Subdiretoria do Foro </v>
      </c>
      <c r="B681" s="584" t="s">
        <v>1235</v>
      </c>
      <c r="C681" s="584" t="s">
        <v>3572</v>
      </c>
      <c r="D681" s="584" t="str">
        <f>'Mapa da Corregedoria'!$A$21</f>
        <v>Técnico Judiciário(Á. Apoio Especializado- Informática)</v>
      </c>
      <c r="E681" s="584">
        <f>'Mapa da Corregedoria'!$AR21</f>
        <v>0</v>
      </c>
      <c r="F681" s="584" t="s">
        <v>159</v>
      </c>
      <c r="G681" s="584" t="s">
        <v>1309</v>
      </c>
    </row>
    <row r="682" spans="1:7" ht="14.25" customHeight="1" x14ac:dyDescent="0.25">
      <c r="A682" s="584" t="str">
        <f>'Mapa da Corregedoria'!AR$6</f>
        <v xml:space="preserve">Subdiretoria do Foro </v>
      </c>
      <c r="B682" s="584" t="s">
        <v>1235</v>
      </c>
      <c r="C682" s="584" t="s">
        <v>3572</v>
      </c>
      <c r="D682" s="584" t="str">
        <f>'Mapa da Corregedoria'!$A$24</f>
        <v>Técnico Judiciário (Á. Segurança e Transporte – Agente de Policia Judicial)</v>
      </c>
      <c r="E682" s="584">
        <f>'Mapa da Corregedoria'!$AR24</f>
        <v>0</v>
      </c>
      <c r="F682" s="584" t="s">
        <v>159</v>
      </c>
      <c r="G682" s="584" t="s">
        <v>1309</v>
      </c>
    </row>
    <row r="683" spans="1:7" ht="14.25" customHeight="1" x14ac:dyDescent="0.25">
      <c r="A683" s="584" t="str">
        <f>'Mapa da Corregedoria'!AR$6</f>
        <v xml:space="preserve">Subdiretoria do Foro </v>
      </c>
      <c r="B683" s="584" t="s">
        <v>1235</v>
      </c>
      <c r="C683" s="584" t="s">
        <v>3572</v>
      </c>
      <c r="D683" s="584" t="str">
        <f>'Mapa da Corregedoria'!$A$25</f>
        <v>Auxiliar Judiciário</v>
      </c>
      <c r="E683" s="584">
        <f>'Mapa da Corregedoria'!$AR25</f>
        <v>0</v>
      </c>
      <c r="F683" s="584" t="s">
        <v>159</v>
      </c>
      <c r="G683" s="584" t="s">
        <v>1309</v>
      </c>
    </row>
    <row r="684" spans="1:7" ht="14.25" customHeight="1" x14ac:dyDescent="0.25">
      <c r="A684" s="584" t="str">
        <f>'Mapa da Corregedoria'!AR$6</f>
        <v xml:space="preserve">Subdiretoria do Foro </v>
      </c>
      <c r="B684" s="584" t="s">
        <v>1235</v>
      </c>
      <c r="C684" s="584" t="s">
        <v>3572</v>
      </c>
      <c r="D684" s="584" t="str">
        <f>'Mapa da Corregedoria'!$A$27</f>
        <v>Requisitados</v>
      </c>
      <c r="E684" s="584">
        <f>'Mapa da Corregedoria'!$AR27</f>
        <v>0</v>
      </c>
      <c r="F684" s="584" t="str">
        <f>D684</f>
        <v>Requisitados</v>
      </c>
      <c r="G684" s="584" t="s">
        <v>1309</v>
      </c>
    </row>
    <row r="685" spans="1:7" ht="14.25" customHeight="1" x14ac:dyDescent="0.25">
      <c r="A685" s="584" t="str">
        <f>'Mapa da Corregedoria'!AR$6</f>
        <v xml:space="preserve">Subdiretoria do Foro </v>
      </c>
      <c r="B685" s="584" t="s">
        <v>1235</v>
      </c>
      <c r="C685" s="584" t="s">
        <v>3572</v>
      </c>
      <c r="D685" s="584" t="str">
        <f>'Mapa da Corregedoria'!$A$28</f>
        <v>Exercício Provisório (de outros órgãos)</v>
      </c>
      <c r="E685" s="584">
        <f>'Mapa da Corregedoria'!$AR28</f>
        <v>0</v>
      </c>
      <c r="F685" s="584" t="str">
        <f>D685</f>
        <v>Exercício Provisório (de outros órgãos)</v>
      </c>
      <c r="G685" s="584" t="s">
        <v>1309</v>
      </c>
    </row>
    <row r="686" spans="1:7" ht="14.25" customHeight="1" x14ac:dyDescent="0.25">
      <c r="A686" s="584" t="str">
        <f>'Mapa da Corregedoria'!AR$6</f>
        <v xml:space="preserve">Subdiretoria do Foro </v>
      </c>
      <c r="B686" s="584" t="s">
        <v>1235</v>
      </c>
      <c r="C686" s="584" t="s">
        <v>3572</v>
      </c>
      <c r="D686" s="584" t="str">
        <f>'Mapa da Corregedoria'!$A$29</f>
        <v>Removidos (de outros órgãos)</v>
      </c>
      <c r="E686" s="584">
        <f>'Mapa da Corregedoria'!$AR29</f>
        <v>0</v>
      </c>
      <c r="F686" s="584" t="str">
        <f>D686</f>
        <v>Removidos (de outros órgãos)</v>
      </c>
      <c r="G686" s="584" t="s">
        <v>1309</v>
      </c>
    </row>
    <row r="687" spans="1:7" ht="14.25" customHeight="1" x14ac:dyDescent="0.25">
      <c r="A687" s="584" t="str">
        <f>'Mapa da Corregedoria'!AR$6</f>
        <v xml:space="preserve">Subdiretoria do Foro </v>
      </c>
      <c r="B687" s="584" t="s">
        <v>1235</v>
      </c>
      <c r="C687" s="584" t="s">
        <v>3572</v>
      </c>
      <c r="D687" s="584" t="str">
        <f>'Mapa da Corregedoria'!$A$30</f>
        <v>Sem Vínculo</v>
      </c>
      <c r="E687" s="584">
        <f>'Mapa da Corregedoria'!$AR30</f>
        <v>0</v>
      </c>
      <c r="F687" s="584" t="str">
        <f>D687</f>
        <v>Sem Vínculo</v>
      </c>
      <c r="G687" s="584" t="s">
        <v>1309</v>
      </c>
    </row>
    <row r="688" spans="1:7" ht="14.25" customHeight="1" x14ac:dyDescent="0.25">
      <c r="A688" s="584" t="str">
        <f>'Mapa da Corregedoria'!AT$6</f>
        <v>24ª Vara</v>
      </c>
      <c r="B688" s="584" t="s">
        <v>120</v>
      </c>
      <c r="C688" s="584" t="s">
        <v>123</v>
      </c>
      <c r="D688" s="584" t="str">
        <f>'Mapa da Corregedoria'!$A$8</f>
        <v>Analista Judiciário(Á. Judiciária)</v>
      </c>
      <c r="E688" s="584">
        <f>'Mapa da Corregedoria'!$AT8</f>
        <v>3</v>
      </c>
      <c r="F688" s="584" t="s">
        <v>159</v>
      </c>
      <c r="G688" s="584" t="s">
        <v>1506</v>
      </c>
    </row>
    <row r="689" spans="1:7" ht="14.25" customHeight="1" x14ac:dyDescent="0.25">
      <c r="A689" s="584" t="str">
        <f>'Mapa da Corregedoria'!AT$6</f>
        <v>24ª Vara</v>
      </c>
      <c r="B689" s="584" t="s">
        <v>120</v>
      </c>
      <c r="C689" s="584" t="s">
        <v>123</v>
      </c>
      <c r="D689" s="584" t="str">
        <f>'Mapa da Corregedoria'!$A$9</f>
        <v>Analista Judiciário(Á. Administrativa)</v>
      </c>
      <c r="E689" s="584">
        <f>'Mapa da Corregedoria'!$AT9</f>
        <v>1</v>
      </c>
      <c r="F689" s="584" t="s">
        <v>159</v>
      </c>
      <c r="G689" s="584" t="s">
        <v>1506</v>
      </c>
    </row>
    <row r="690" spans="1:7" ht="14.25" customHeight="1" x14ac:dyDescent="0.25">
      <c r="A690" s="584" t="str">
        <f>'Mapa da Corregedoria'!AT$6</f>
        <v>24ª Vara</v>
      </c>
      <c r="B690" s="584" t="s">
        <v>120</v>
      </c>
      <c r="C690" s="584" t="s">
        <v>123</v>
      </c>
      <c r="D690" s="584" t="str">
        <f>'Mapa da Corregedoria'!$A$10</f>
        <v>Analista Judiciário (Esp.Oficial de Justiça Avaliador Federal)</v>
      </c>
      <c r="E690" s="584">
        <f>'Mapa da Corregedoria'!$AT10</f>
        <v>2</v>
      </c>
      <c r="F690" s="584" t="s">
        <v>159</v>
      </c>
      <c r="G690" s="584" t="s">
        <v>1506</v>
      </c>
    </row>
    <row r="691" spans="1:7" ht="14.25" customHeight="1" x14ac:dyDescent="0.25">
      <c r="A691" s="584" t="str">
        <f>'Mapa da Corregedoria'!AT$6</f>
        <v>24ª Vara</v>
      </c>
      <c r="B691" s="584" t="s">
        <v>120</v>
      </c>
      <c r="C691" s="584" t="s">
        <v>123</v>
      </c>
      <c r="D691" s="584" t="str">
        <f>'Mapa da Corregedoria'!$A$11</f>
        <v>Anal.Jud.(Á. Biblioteconomia)</v>
      </c>
      <c r="E691" s="584">
        <f>'Mapa da Corregedoria'!$AT11</f>
        <v>0</v>
      </c>
      <c r="F691" s="584" t="s">
        <v>159</v>
      </c>
      <c r="G691" s="584" t="s">
        <v>1506</v>
      </c>
    </row>
    <row r="692" spans="1:7" ht="14.25" customHeight="1" x14ac:dyDescent="0.25">
      <c r="A692" s="584" t="str">
        <f>'Mapa da Corregedoria'!AT$6</f>
        <v>24ª Vara</v>
      </c>
      <c r="B692" s="584" t="s">
        <v>120</v>
      </c>
      <c r="C692" s="584" t="s">
        <v>123</v>
      </c>
      <c r="D692" s="584" t="str">
        <f>'Mapa da Corregedoria'!$A$12</f>
        <v>Analista Judiciário(Á. Apoio Especializado-Informática)</v>
      </c>
      <c r="E692" s="584">
        <f>'Mapa da Corregedoria'!$AT12</f>
        <v>0</v>
      </c>
      <c r="F692" s="584" t="s">
        <v>159</v>
      </c>
      <c r="G692" s="584" t="s">
        <v>1506</v>
      </c>
    </row>
    <row r="693" spans="1:7" ht="14.25" customHeight="1" x14ac:dyDescent="0.25">
      <c r="A693" s="584" t="str">
        <f>'Mapa da Corregedoria'!AT$6</f>
        <v>24ª Vara</v>
      </c>
      <c r="B693" s="584" t="s">
        <v>120</v>
      </c>
      <c r="C693" s="584" t="s">
        <v>123</v>
      </c>
      <c r="D693" s="584" t="str">
        <f>'Mapa da Corregedoria'!$A$13</f>
        <v>Analista Judiciário(Á. Apoio Especializado-Informática-Desenvolvimento)</v>
      </c>
      <c r="E693" s="584">
        <f>'Mapa da Corregedoria'!$AT13</f>
        <v>0</v>
      </c>
      <c r="F693" s="584" t="s">
        <v>159</v>
      </c>
      <c r="G693" s="584" t="s">
        <v>1506</v>
      </c>
    </row>
    <row r="694" spans="1:7" ht="14.25" customHeight="1" x14ac:dyDescent="0.25">
      <c r="A694" s="584" t="str">
        <f>'Mapa da Corregedoria'!AT$6</f>
        <v>24ª Vara</v>
      </c>
      <c r="B694" s="584" t="s">
        <v>120</v>
      </c>
      <c r="C694" s="584" t="s">
        <v>123</v>
      </c>
      <c r="D694" s="584" t="str">
        <f>'Mapa da Corregedoria'!$A$14</f>
        <v>Analista Judiciário(Á. Apoio Especializado-Informática-Infraestrutura)</v>
      </c>
      <c r="E694" s="584">
        <f>'Mapa da Corregedoria'!$AT14</f>
        <v>0</v>
      </c>
      <c r="F694" s="584" t="s">
        <v>159</v>
      </c>
      <c r="G694" s="584" t="s">
        <v>1506</v>
      </c>
    </row>
    <row r="695" spans="1:7" ht="14.25" customHeight="1" x14ac:dyDescent="0.25">
      <c r="A695" s="584" t="str">
        <f>'Mapa da Corregedoria'!AT$6</f>
        <v>24ª Vara</v>
      </c>
      <c r="B695" s="584" t="s">
        <v>120</v>
      </c>
      <c r="C695" s="584" t="s">
        <v>123</v>
      </c>
      <c r="D695" s="584" t="str">
        <f>'Mapa da Corregedoria'!$A$15</f>
        <v>Analista Judiciário(Á. Apoio Especializado-Medicina-Cliníca Médica)</v>
      </c>
      <c r="E695" s="584">
        <f>'Mapa da Corregedoria'!$AT15</f>
        <v>0</v>
      </c>
      <c r="F695" s="584" t="s">
        <v>159</v>
      </c>
      <c r="G695" s="584" t="s">
        <v>1506</v>
      </c>
    </row>
    <row r="696" spans="1:7" ht="14.25" customHeight="1" x14ac:dyDescent="0.25">
      <c r="A696" s="584" t="str">
        <f>'Mapa da Corregedoria'!AT$6</f>
        <v>24ª Vara</v>
      </c>
      <c r="B696" s="584" t="s">
        <v>120</v>
      </c>
      <c r="C696" s="584" t="s">
        <v>123</v>
      </c>
      <c r="D696" s="584" t="str">
        <f>'Mapa da Corregedoria'!$A$16</f>
        <v>Analista Judiciário(Á. Apoio Especializado-Contadoria)</v>
      </c>
      <c r="E696" s="584">
        <f>'Mapa da Corregedoria'!$AT16</f>
        <v>0</v>
      </c>
      <c r="F696" s="584" t="s">
        <v>159</v>
      </c>
      <c r="G696" s="584" t="s">
        <v>1506</v>
      </c>
    </row>
    <row r="697" spans="1:7" ht="14.25" customHeight="1" x14ac:dyDescent="0.25">
      <c r="A697" s="584" t="str">
        <f>'Mapa da Corregedoria'!AT$6</f>
        <v>24ª Vara</v>
      </c>
      <c r="B697" s="584" t="s">
        <v>120</v>
      </c>
      <c r="C697" s="584" t="s">
        <v>123</v>
      </c>
      <c r="D697" s="584" t="str">
        <f>'Mapa da Corregedoria'!$A$17</f>
        <v>Analista Judiciário(Á. Apoio Especializado- Engenharia Civil)</v>
      </c>
      <c r="E697" s="584">
        <f>'Mapa da Corregedoria'!$AT17</f>
        <v>0</v>
      </c>
      <c r="F697" s="584" t="s">
        <v>159</v>
      </c>
      <c r="G697" s="584" t="s">
        <v>1506</v>
      </c>
    </row>
    <row r="698" spans="1:7" ht="14.25" customHeight="1" x14ac:dyDescent="0.25">
      <c r="A698" s="584" t="str">
        <f>'Mapa da Corregedoria'!AT$6</f>
        <v>24ª Vara</v>
      </c>
      <c r="B698" s="584" t="s">
        <v>120</v>
      </c>
      <c r="C698" s="584" t="s">
        <v>123</v>
      </c>
      <c r="D698" s="584" t="str">
        <f>'Mapa da Corregedoria'!$A$20</f>
        <v xml:space="preserve">Técnico Judiciário (Á. Administrativa)-inclusas as Especialidades Serviços de Portaria/Telefonia </v>
      </c>
      <c r="E698" s="584">
        <f>'Mapa da Corregedoria'!$AT20</f>
        <v>8</v>
      </c>
      <c r="F698" s="584" t="s">
        <v>159</v>
      </c>
      <c r="G698" s="584" t="s">
        <v>1506</v>
      </c>
    </row>
    <row r="699" spans="1:7" ht="14.25" customHeight="1" x14ac:dyDescent="0.25">
      <c r="A699" s="584" t="str">
        <f>'Mapa da Corregedoria'!AT$6</f>
        <v>24ª Vara</v>
      </c>
      <c r="B699" s="584" t="s">
        <v>120</v>
      </c>
      <c r="C699" s="584" t="s">
        <v>123</v>
      </c>
      <c r="D699" s="584" t="str">
        <f>'Mapa da Corregedoria'!$A$21</f>
        <v>Técnico Judiciário(Á. Apoio Especializado- Informática)</v>
      </c>
      <c r="E699" s="584">
        <f>'Mapa da Corregedoria'!$AT21</f>
        <v>0</v>
      </c>
      <c r="F699" s="584" t="s">
        <v>159</v>
      </c>
      <c r="G699" s="584" t="s">
        <v>1506</v>
      </c>
    </row>
    <row r="700" spans="1:7" ht="14.25" customHeight="1" x14ac:dyDescent="0.25">
      <c r="A700" s="584" t="str">
        <f>'Mapa da Corregedoria'!AT$6</f>
        <v>24ª Vara</v>
      </c>
      <c r="B700" s="584" t="s">
        <v>120</v>
      </c>
      <c r="C700" s="584" t="s">
        <v>123</v>
      </c>
      <c r="D700" s="584" t="str">
        <f>'Mapa da Corregedoria'!$A$24</f>
        <v>Técnico Judiciário (Á. Segurança e Transporte – Agente de Policia Judicial)</v>
      </c>
      <c r="E700" s="584">
        <f>'Mapa da Corregedoria'!$AT24</f>
        <v>2</v>
      </c>
      <c r="F700" s="584" t="s">
        <v>159</v>
      </c>
      <c r="G700" s="584" t="s">
        <v>1506</v>
      </c>
    </row>
    <row r="701" spans="1:7" ht="14.25" customHeight="1" x14ac:dyDescent="0.25">
      <c r="A701" s="584" t="str">
        <f>'Mapa da Corregedoria'!AT$6</f>
        <v>24ª Vara</v>
      </c>
      <c r="B701" s="584" t="s">
        <v>120</v>
      </c>
      <c r="C701" s="584" t="s">
        <v>123</v>
      </c>
      <c r="D701" s="584" t="str">
        <f>'Mapa da Corregedoria'!$A$25</f>
        <v>Auxiliar Judiciário</v>
      </c>
      <c r="E701" s="584">
        <f>'Mapa da Corregedoria'!$AT25</f>
        <v>0</v>
      </c>
      <c r="F701" s="584" t="s">
        <v>159</v>
      </c>
      <c r="G701" s="584" t="s">
        <v>1506</v>
      </c>
    </row>
    <row r="702" spans="1:7" ht="14.25" customHeight="1" x14ac:dyDescent="0.25">
      <c r="A702" s="584" t="str">
        <f>'Mapa da Corregedoria'!AT$6</f>
        <v>24ª Vara</v>
      </c>
      <c r="B702" s="584" t="s">
        <v>120</v>
      </c>
      <c r="C702" s="584" t="s">
        <v>123</v>
      </c>
      <c r="D702" s="584" t="str">
        <f>'Mapa da Corregedoria'!$A$27</f>
        <v>Requisitados</v>
      </c>
      <c r="E702" s="584">
        <f>'Mapa da Corregedoria'!$AT27</f>
        <v>0</v>
      </c>
      <c r="F702" s="584" t="str">
        <f>D702</f>
        <v>Requisitados</v>
      </c>
      <c r="G702" s="584" t="s">
        <v>1506</v>
      </c>
    </row>
    <row r="703" spans="1:7" ht="14.25" customHeight="1" x14ac:dyDescent="0.25">
      <c r="A703" s="584" t="str">
        <f>'Mapa da Corregedoria'!AT$6</f>
        <v>24ª Vara</v>
      </c>
      <c r="B703" s="584" t="s">
        <v>120</v>
      </c>
      <c r="C703" s="584" t="s">
        <v>123</v>
      </c>
      <c r="D703" s="584" t="str">
        <f>'Mapa da Corregedoria'!$A$28</f>
        <v>Exercício Provisório (de outros órgãos)</v>
      </c>
      <c r="E703" s="584">
        <f>'Mapa da Corregedoria'!$AT28</f>
        <v>0</v>
      </c>
      <c r="F703" s="584" t="str">
        <f>D703</f>
        <v>Exercício Provisório (de outros órgãos)</v>
      </c>
      <c r="G703" s="584" t="s">
        <v>1506</v>
      </c>
    </row>
    <row r="704" spans="1:7" ht="14.25" customHeight="1" x14ac:dyDescent="0.25">
      <c r="A704" s="584" t="str">
        <f>'Mapa da Corregedoria'!AT$6</f>
        <v>24ª Vara</v>
      </c>
      <c r="B704" s="584" t="s">
        <v>120</v>
      </c>
      <c r="C704" s="584" t="s">
        <v>123</v>
      </c>
      <c r="D704" s="584" t="str">
        <f>'Mapa da Corregedoria'!$A$29</f>
        <v>Removidos (de outros órgãos)</v>
      </c>
      <c r="E704" s="584">
        <f>'Mapa da Corregedoria'!$AT29</f>
        <v>1</v>
      </c>
      <c r="F704" s="584" t="str">
        <f>D704</f>
        <v>Removidos (de outros órgãos)</v>
      </c>
      <c r="G704" s="584" t="s">
        <v>1506</v>
      </c>
    </row>
    <row r="705" spans="1:7" ht="14.25" customHeight="1" x14ac:dyDescent="0.25">
      <c r="A705" s="584" t="str">
        <f>'Mapa da Corregedoria'!AT$6</f>
        <v>24ª Vara</v>
      </c>
      <c r="B705" s="584" t="s">
        <v>120</v>
      </c>
      <c r="C705" s="584" t="s">
        <v>123</v>
      </c>
      <c r="D705" s="584" t="str">
        <f>'Mapa da Corregedoria'!$A$30</f>
        <v>Sem Vínculo</v>
      </c>
      <c r="E705" s="584">
        <f>'Mapa da Corregedoria'!$AT30</f>
        <v>1</v>
      </c>
      <c r="F705" s="584" t="str">
        <f>D705</f>
        <v>Sem Vínculo</v>
      </c>
      <c r="G705" s="584" t="s">
        <v>1506</v>
      </c>
    </row>
    <row r="706" spans="1:7" ht="14.25" customHeight="1" x14ac:dyDescent="0.25">
      <c r="A706" s="584" t="str">
        <f>'Mapa da Corregedoria'!AU$6</f>
        <v xml:space="preserve">Subdiretoria do Foro </v>
      </c>
      <c r="B706" s="584" t="s">
        <v>1235</v>
      </c>
      <c r="C706" s="584" t="s">
        <v>3572</v>
      </c>
      <c r="D706" s="584" t="str">
        <f>'Mapa da Corregedoria'!$A$8</f>
        <v>Analista Judiciário(Á. Judiciária)</v>
      </c>
      <c r="E706" s="584">
        <f>'Mapa da Corregedoria'!$AU8</f>
        <v>0</v>
      </c>
      <c r="F706" s="584" t="s">
        <v>159</v>
      </c>
      <c r="G706" s="584" t="s">
        <v>1506</v>
      </c>
    </row>
    <row r="707" spans="1:7" ht="14.25" customHeight="1" x14ac:dyDescent="0.25">
      <c r="A707" s="584" t="str">
        <f>'Mapa da Corregedoria'!AU$6</f>
        <v xml:space="preserve">Subdiretoria do Foro </v>
      </c>
      <c r="B707" s="584" t="s">
        <v>1235</v>
      </c>
      <c r="C707" s="584" t="s">
        <v>3572</v>
      </c>
      <c r="D707" s="584" t="str">
        <f>'Mapa da Corregedoria'!$A$9</f>
        <v>Analista Judiciário(Á. Administrativa)</v>
      </c>
      <c r="E707" s="584">
        <f>'Mapa da Corregedoria'!$AU9</f>
        <v>0</v>
      </c>
      <c r="F707" s="584" t="s">
        <v>159</v>
      </c>
      <c r="G707" s="584" t="s">
        <v>1506</v>
      </c>
    </row>
    <row r="708" spans="1:7" ht="14.25" customHeight="1" x14ac:dyDescent="0.25">
      <c r="A708" s="584" t="str">
        <f>'Mapa da Corregedoria'!AU$6</f>
        <v xml:space="preserve">Subdiretoria do Foro </v>
      </c>
      <c r="B708" s="584" t="s">
        <v>1235</v>
      </c>
      <c r="C708" s="584" t="s">
        <v>3572</v>
      </c>
      <c r="D708" s="584" t="str">
        <f>'Mapa da Corregedoria'!$A$10</f>
        <v>Analista Judiciário (Esp.Oficial de Justiça Avaliador Federal)</v>
      </c>
      <c r="E708" s="584">
        <f>'Mapa da Corregedoria'!$AU10</f>
        <v>0</v>
      </c>
      <c r="F708" s="584" t="s">
        <v>159</v>
      </c>
      <c r="G708" s="584" t="s">
        <v>1506</v>
      </c>
    </row>
    <row r="709" spans="1:7" ht="14.25" customHeight="1" x14ac:dyDescent="0.25">
      <c r="A709" s="584" t="str">
        <f>'Mapa da Corregedoria'!AU$6</f>
        <v xml:space="preserve">Subdiretoria do Foro </v>
      </c>
      <c r="B709" s="584" t="s">
        <v>1235</v>
      </c>
      <c r="C709" s="584" t="s">
        <v>3572</v>
      </c>
      <c r="D709" s="584" t="str">
        <f>'Mapa da Corregedoria'!$A$11</f>
        <v>Anal.Jud.(Á. Biblioteconomia)</v>
      </c>
      <c r="E709" s="584">
        <f>'Mapa da Corregedoria'!$AU11</f>
        <v>0</v>
      </c>
      <c r="F709" s="584" t="s">
        <v>159</v>
      </c>
      <c r="G709" s="584" t="s">
        <v>1506</v>
      </c>
    </row>
    <row r="710" spans="1:7" ht="14.25" customHeight="1" x14ac:dyDescent="0.25">
      <c r="A710" s="584" t="str">
        <f>'Mapa da Corregedoria'!AU$6</f>
        <v xml:space="preserve">Subdiretoria do Foro </v>
      </c>
      <c r="B710" s="584" t="s">
        <v>1235</v>
      </c>
      <c r="C710" s="584" t="s">
        <v>3572</v>
      </c>
      <c r="D710" s="584" t="str">
        <f>'Mapa da Corregedoria'!$A$12</f>
        <v>Analista Judiciário(Á. Apoio Especializado-Informática)</v>
      </c>
      <c r="E710" s="584">
        <f>'Mapa da Corregedoria'!$AU12</f>
        <v>0</v>
      </c>
      <c r="F710" s="584" t="s">
        <v>159</v>
      </c>
      <c r="G710" s="584" t="s">
        <v>1506</v>
      </c>
    </row>
    <row r="711" spans="1:7" ht="14.25" customHeight="1" x14ac:dyDescent="0.25">
      <c r="A711" s="584" t="str">
        <f>'Mapa da Corregedoria'!AU$6</f>
        <v xml:space="preserve">Subdiretoria do Foro </v>
      </c>
      <c r="B711" s="584" t="s">
        <v>1235</v>
      </c>
      <c r="C711" s="584" t="s">
        <v>3572</v>
      </c>
      <c r="D711" s="584" t="str">
        <f>'Mapa da Corregedoria'!$A$13</f>
        <v>Analista Judiciário(Á. Apoio Especializado-Informática-Desenvolvimento)</v>
      </c>
      <c r="E711" s="584">
        <f>'Mapa da Corregedoria'!$AU13</f>
        <v>0</v>
      </c>
      <c r="F711" s="584" t="s">
        <v>159</v>
      </c>
      <c r="G711" s="584" t="s">
        <v>1506</v>
      </c>
    </row>
    <row r="712" spans="1:7" ht="14.25" customHeight="1" x14ac:dyDescent="0.25">
      <c r="A712" s="584" t="str">
        <f>'Mapa da Corregedoria'!AU$6</f>
        <v xml:space="preserve">Subdiretoria do Foro </v>
      </c>
      <c r="B712" s="584" t="s">
        <v>1235</v>
      </c>
      <c r="C712" s="584" t="s">
        <v>3572</v>
      </c>
      <c r="D712" s="584" t="str">
        <f>'Mapa da Corregedoria'!$A$14</f>
        <v>Analista Judiciário(Á. Apoio Especializado-Informática-Infraestrutura)</v>
      </c>
      <c r="E712" s="584">
        <f>'Mapa da Corregedoria'!$AU14</f>
        <v>0</v>
      </c>
      <c r="F712" s="584" t="s">
        <v>159</v>
      </c>
      <c r="G712" s="584" t="s">
        <v>1506</v>
      </c>
    </row>
    <row r="713" spans="1:7" ht="14.25" customHeight="1" x14ac:dyDescent="0.25">
      <c r="A713" s="584" t="str">
        <f>'Mapa da Corregedoria'!AU$6</f>
        <v xml:space="preserve">Subdiretoria do Foro </v>
      </c>
      <c r="B713" s="584" t="s">
        <v>1235</v>
      </c>
      <c r="C713" s="584" t="s">
        <v>3572</v>
      </c>
      <c r="D713" s="584" t="str">
        <f>'Mapa da Corregedoria'!$A$15</f>
        <v>Analista Judiciário(Á. Apoio Especializado-Medicina-Cliníca Médica)</v>
      </c>
      <c r="E713" s="584">
        <f>'Mapa da Corregedoria'!$AU15</f>
        <v>0</v>
      </c>
      <c r="F713" s="584" t="s">
        <v>159</v>
      </c>
      <c r="G713" s="584" t="s">
        <v>1506</v>
      </c>
    </row>
    <row r="714" spans="1:7" ht="14.25" customHeight="1" x14ac:dyDescent="0.25">
      <c r="A714" s="584" t="str">
        <f>'Mapa da Corregedoria'!AU$6</f>
        <v xml:space="preserve">Subdiretoria do Foro </v>
      </c>
      <c r="B714" s="584" t="s">
        <v>1235</v>
      </c>
      <c r="C714" s="584" t="s">
        <v>3572</v>
      </c>
      <c r="D714" s="584" t="str">
        <f>'Mapa da Corregedoria'!$A$16</f>
        <v>Analista Judiciário(Á. Apoio Especializado-Contadoria)</v>
      </c>
      <c r="E714" s="584">
        <f>'Mapa da Corregedoria'!$AU16</f>
        <v>0</v>
      </c>
      <c r="F714" s="584" t="s">
        <v>159</v>
      </c>
      <c r="G714" s="584" t="s">
        <v>1506</v>
      </c>
    </row>
    <row r="715" spans="1:7" ht="14.25" customHeight="1" x14ac:dyDescent="0.25">
      <c r="A715" s="584" t="str">
        <f>'Mapa da Corregedoria'!AU$6</f>
        <v xml:space="preserve">Subdiretoria do Foro </v>
      </c>
      <c r="B715" s="584" t="s">
        <v>1235</v>
      </c>
      <c r="C715" s="584" t="s">
        <v>3572</v>
      </c>
      <c r="D715" s="584" t="str">
        <f>'Mapa da Corregedoria'!$A$17</f>
        <v>Analista Judiciário(Á. Apoio Especializado- Engenharia Civil)</v>
      </c>
      <c r="E715" s="584">
        <f>'Mapa da Corregedoria'!$AU17</f>
        <v>0</v>
      </c>
      <c r="F715" s="584" t="s">
        <v>159</v>
      </c>
      <c r="G715" s="584" t="s">
        <v>1506</v>
      </c>
    </row>
    <row r="716" spans="1:7" ht="14.25" customHeight="1" x14ac:dyDescent="0.25">
      <c r="A716" s="584" t="str">
        <f>'Mapa da Corregedoria'!AU$6</f>
        <v xml:space="preserve">Subdiretoria do Foro </v>
      </c>
      <c r="B716" s="584" t="s">
        <v>1235</v>
      </c>
      <c r="C716" s="584" t="s">
        <v>3572</v>
      </c>
      <c r="D716" s="584" t="str">
        <f>'Mapa da Corregedoria'!$A$20</f>
        <v xml:space="preserve">Técnico Judiciário (Á. Administrativa)-inclusas as Especialidades Serviços de Portaria/Telefonia </v>
      </c>
      <c r="E716" s="584">
        <f>'Mapa da Corregedoria'!$AU20</f>
        <v>0</v>
      </c>
      <c r="F716" s="584" t="s">
        <v>159</v>
      </c>
      <c r="G716" s="584" t="s">
        <v>1506</v>
      </c>
    </row>
    <row r="717" spans="1:7" ht="14.25" customHeight="1" x14ac:dyDescent="0.25">
      <c r="A717" s="584" t="str">
        <f>'Mapa da Corregedoria'!AU$6</f>
        <v xml:space="preserve">Subdiretoria do Foro </v>
      </c>
      <c r="B717" s="584" t="s">
        <v>1235</v>
      </c>
      <c r="C717" s="584" t="s">
        <v>3572</v>
      </c>
      <c r="D717" s="584" t="str">
        <f>'Mapa da Corregedoria'!$A$21</f>
        <v>Técnico Judiciário(Á. Apoio Especializado- Informática)</v>
      </c>
      <c r="E717" s="584">
        <f>'Mapa da Corregedoria'!$AU21</f>
        <v>0</v>
      </c>
      <c r="F717" s="584" t="s">
        <v>159</v>
      </c>
      <c r="G717" s="584" t="s">
        <v>1506</v>
      </c>
    </row>
    <row r="718" spans="1:7" ht="14.25" customHeight="1" x14ac:dyDescent="0.25">
      <c r="A718" s="584" t="str">
        <f>'Mapa da Corregedoria'!AU$6</f>
        <v xml:space="preserve">Subdiretoria do Foro </v>
      </c>
      <c r="B718" s="584" t="s">
        <v>1235</v>
      </c>
      <c r="C718" s="584" t="s">
        <v>3572</v>
      </c>
      <c r="D718" s="584" t="str">
        <f>'Mapa da Corregedoria'!$A$24</f>
        <v>Técnico Judiciário (Á. Segurança e Transporte – Agente de Policia Judicial)</v>
      </c>
      <c r="E718" s="584">
        <f>'Mapa da Corregedoria'!$AU24</f>
        <v>0</v>
      </c>
      <c r="F718" s="584" t="s">
        <v>159</v>
      </c>
      <c r="G718" s="584" t="s">
        <v>1506</v>
      </c>
    </row>
    <row r="719" spans="1:7" ht="14.25" customHeight="1" x14ac:dyDescent="0.25">
      <c r="A719" s="584" t="str">
        <f>'Mapa da Corregedoria'!AU$6</f>
        <v xml:space="preserve">Subdiretoria do Foro </v>
      </c>
      <c r="B719" s="584" t="s">
        <v>1235</v>
      </c>
      <c r="C719" s="584" t="s">
        <v>3572</v>
      </c>
      <c r="D719" s="584" t="str">
        <f>'Mapa da Corregedoria'!$A$25</f>
        <v>Auxiliar Judiciário</v>
      </c>
      <c r="E719" s="584">
        <f>'Mapa da Corregedoria'!$AU25</f>
        <v>0</v>
      </c>
      <c r="F719" s="584" t="s">
        <v>159</v>
      </c>
      <c r="G719" s="584" t="s">
        <v>1506</v>
      </c>
    </row>
    <row r="720" spans="1:7" ht="14.25" customHeight="1" x14ac:dyDescent="0.25">
      <c r="A720" s="584" t="str">
        <f>'Mapa da Corregedoria'!AU$6</f>
        <v xml:space="preserve">Subdiretoria do Foro </v>
      </c>
      <c r="B720" s="584" t="s">
        <v>1235</v>
      </c>
      <c r="C720" s="584" t="s">
        <v>3572</v>
      </c>
      <c r="D720" s="584" t="str">
        <f>'Mapa da Corregedoria'!$A$27</f>
        <v>Requisitados</v>
      </c>
      <c r="E720" s="584">
        <f>'Mapa da Corregedoria'!$AU27</f>
        <v>0</v>
      </c>
      <c r="F720" s="584" t="str">
        <f>D720</f>
        <v>Requisitados</v>
      </c>
      <c r="G720" s="584" t="s">
        <v>1506</v>
      </c>
    </row>
    <row r="721" spans="1:7" ht="14.25" customHeight="1" x14ac:dyDescent="0.25">
      <c r="A721" s="584" t="str">
        <f>'Mapa da Corregedoria'!AU$6</f>
        <v xml:space="preserve">Subdiretoria do Foro </v>
      </c>
      <c r="B721" s="584" t="s">
        <v>1235</v>
      </c>
      <c r="C721" s="584" t="s">
        <v>3572</v>
      </c>
      <c r="D721" s="584" t="str">
        <f>'Mapa da Corregedoria'!$A$28</f>
        <v>Exercício Provisório (de outros órgãos)</v>
      </c>
      <c r="E721" s="584">
        <f>'Mapa da Corregedoria'!$AU28</f>
        <v>0</v>
      </c>
      <c r="F721" s="584" t="str">
        <f>D721</f>
        <v>Exercício Provisório (de outros órgãos)</v>
      </c>
      <c r="G721" s="584" t="s">
        <v>1506</v>
      </c>
    </row>
    <row r="722" spans="1:7" ht="14.25" customHeight="1" x14ac:dyDescent="0.25">
      <c r="A722" s="584" t="str">
        <f>'Mapa da Corregedoria'!AU$6</f>
        <v xml:space="preserve">Subdiretoria do Foro </v>
      </c>
      <c r="B722" s="584" t="s">
        <v>1235</v>
      </c>
      <c r="C722" s="584" t="s">
        <v>3572</v>
      </c>
      <c r="D722" s="584" t="str">
        <f>'Mapa da Corregedoria'!$A$29</f>
        <v>Removidos (de outros órgãos)</v>
      </c>
      <c r="E722" s="584">
        <f>'Mapa da Corregedoria'!$AU29</f>
        <v>0</v>
      </c>
      <c r="F722" s="584" t="str">
        <f>D722</f>
        <v>Removidos (de outros órgãos)</v>
      </c>
      <c r="G722" s="584" t="s">
        <v>1506</v>
      </c>
    </row>
    <row r="723" spans="1:7" ht="14.25" customHeight="1" x14ac:dyDescent="0.25">
      <c r="A723" s="584" t="str">
        <f>'Mapa da Corregedoria'!AU$6</f>
        <v xml:space="preserve">Subdiretoria do Foro </v>
      </c>
      <c r="B723" s="584" t="s">
        <v>1235</v>
      </c>
      <c r="C723" s="584" t="s">
        <v>3572</v>
      </c>
      <c r="D723" s="584" t="str">
        <f>'Mapa da Corregedoria'!$A$30</f>
        <v>Sem Vínculo</v>
      </c>
      <c r="E723" s="584">
        <f>'Mapa da Corregedoria'!$AU30</f>
        <v>0</v>
      </c>
      <c r="F723" s="584" t="str">
        <f>D723</f>
        <v>Sem Vínculo</v>
      </c>
      <c r="G723" s="584" t="s">
        <v>1506</v>
      </c>
    </row>
    <row r="724" spans="1:7" ht="14.25" customHeight="1" x14ac:dyDescent="0.25">
      <c r="A724" s="584" t="str">
        <f>'Mapa da Corregedoria'!AW$6</f>
        <v>25ª Vara</v>
      </c>
      <c r="B724" s="584" t="s">
        <v>120</v>
      </c>
      <c r="C724" s="584" t="s">
        <v>123</v>
      </c>
      <c r="D724" s="584" t="str">
        <f>'Mapa da Corregedoria'!$A$8</f>
        <v>Analista Judiciário(Á. Judiciária)</v>
      </c>
      <c r="E724" s="584">
        <f>'Mapa da Corregedoria'!$AW8</f>
        <v>3</v>
      </c>
      <c r="F724" s="584" t="s">
        <v>159</v>
      </c>
      <c r="G724" s="584" t="s">
        <v>1304</v>
      </c>
    </row>
    <row r="725" spans="1:7" ht="14.25" customHeight="1" x14ac:dyDescent="0.25">
      <c r="A725" s="584" t="str">
        <f>'Mapa da Corregedoria'!AW$6</f>
        <v>25ª Vara</v>
      </c>
      <c r="B725" s="584" t="s">
        <v>120</v>
      </c>
      <c r="C725" s="584" t="s">
        <v>123</v>
      </c>
      <c r="D725" s="584" t="str">
        <f>'Mapa da Corregedoria'!$A$9</f>
        <v>Analista Judiciário(Á. Administrativa)</v>
      </c>
      <c r="E725" s="584">
        <f>'Mapa da Corregedoria'!$AW9</f>
        <v>0</v>
      </c>
      <c r="F725" s="584" t="s">
        <v>159</v>
      </c>
      <c r="G725" s="584" t="s">
        <v>1304</v>
      </c>
    </row>
    <row r="726" spans="1:7" ht="14.25" customHeight="1" x14ac:dyDescent="0.25">
      <c r="A726" s="584" t="str">
        <f>'Mapa da Corregedoria'!AW$6</f>
        <v>25ª Vara</v>
      </c>
      <c r="B726" s="584" t="s">
        <v>120</v>
      </c>
      <c r="C726" s="584" t="s">
        <v>123</v>
      </c>
      <c r="D726" s="584" t="str">
        <f>'Mapa da Corregedoria'!$A$10</f>
        <v>Analista Judiciário (Esp.Oficial de Justiça Avaliador Federal)</v>
      </c>
      <c r="E726" s="584">
        <f>'Mapa da Corregedoria'!$AW10</f>
        <v>2</v>
      </c>
      <c r="F726" s="584" t="s">
        <v>159</v>
      </c>
      <c r="G726" s="584" t="s">
        <v>1304</v>
      </c>
    </row>
    <row r="727" spans="1:7" ht="14.25" customHeight="1" x14ac:dyDescent="0.25">
      <c r="A727" s="584" t="str">
        <f>'Mapa da Corregedoria'!AW$6</f>
        <v>25ª Vara</v>
      </c>
      <c r="B727" s="584" t="s">
        <v>120</v>
      </c>
      <c r="C727" s="584" t="s">
        <v>123</v>
      </c>
      <c r="D727" s="584" t="str">
        <f>'Mapa da Corregedoria'!$A$11</f>
        <v>Anal.Jud.(Á. Biblioteconomia)</v>
      </c>
      <c r="E727" s="584">
        <f>'Mapa da Corregedoria'!$AW11</f>
        <v>0</v>
      </c>
      <c r="F727" s="584" t="s">
        <v>159</v>
      </c>
      <c r="G727" s="584" t="s">
        <v>1304</v>
      </c>
    </row>
    <row r="728" spans="1:7" ht="14.25" customHeight="1" x14ac:dyDescent="0.25">
      <c r="A728" s="584" t="str">
        <f>'Mapa da Corregedoria'!AW$6</f>
        <v>25ª Vara</v>
      </c>
      <c r="B728" s="584" t="s">
        <v>120</v>
      </c>
      <c r="C728" s="584" t="s">
        <v>123</v>
      </c>
      <c r="D728" s="584" t="str">
        <f>'Mapa da Corregedoria'!$A$12</f>
        <v>Analista Judiciário(Á. Apoio Especializado-Informática)</v>
      </c>
      <c r="E728" s="584">
        <f>'Mapa da Corregedoria'!$AW12</f>
        <v>0</v>
      </c>
      <c r="F728" s="584" t="s">
        <v>159</v>
      </c>
      <c r="G728" s="584" t="s">
        <v>1304</v>
      </c>
    </row>
    <row r="729" spans="1:7" ht="14.25" customHeight="1" x14ac:dyDescent="0.25">
      <c r="A729" s="584" t="str">
        <f>'Mapa da Corregedoria'!AW$6</f>
        <v>25ª Vara</v>
      </c>
      <c r="B729" s="584" t="s">
        <v>120</v>
      </c>
      <c r="C729" s="584" t="s">
        <v>123</v>
      </c>
      <c r="D729" s="584" t="str">
        <f>'Mapa da Corregedoria'!$A$13</f>
        <v>Analista Judiciário(Á. Apoio Especializado-Informática-Desenvolvimento)</v>
      </c>
      <c r="E729" s="584">
        <f>'Mapa da Corregedoria'!$AW13</f>
        <v>0</v>
      </c>
      <c r="F729" s="584" t="s">
        <v>159</v>
      </c>
      <c r="G729" s="584" t="s">
        <v>1304</v>
      </c>
    </row>
    <row r="730" spans="1:7" ht="14.25" customHeight="1" x14ac:dyDescent="0.25">
      <c r="A730" s="584" t="str">
        <f>'Mapa da Corregedoria'!AW$6</f>
        <v>25ª Vara</v>
      </c>
      <c r="B730" s="584" t="s">
        <v>120</v>
      </c>
      <c r="C730" s="584" t="s">
        <v>123</v>
      </c>
      <c r="D730" s="584" t="str">
        <f>'Mapa da Corregedoria'!$A$14</f>
        <v>Analista Judiciário(Á. Apoio Especializado-Informática-Infraestrutura)</v>
      </c>
      <c r="E730" s="584">
        <f>'Mapa da Corregedoria'!$AW14</f>
        <v>0</v>
      </c>
      <c r="F730" s="584" t="s">
        <v>159</v>
      </c>
      <c r="G730" s="584" t="s">
        <v>1304</v>
      </c>
    </row>
    <row r="731" spans="1:7" ht="14.25" customHeight="1" x14ac:dyDescent="0.25">
      <c r="A731" s="584" t="str">
        <f>'Mapa da Corregedoria'!AW$6</f>
        <v>25ª Vara</v>
      </c>
      <c r="B731" s="584" t="s">
        <v>120</v>
      </c>
      <c r="C731" s="584" t="s">
        <v>123</v>
      </c>
      <c r="D731" s="584" t="str">
        <f>'Mapa da Corregedoria'!$A$15</f>
        <v>Analista Judiciário(Á. Apoio Especializado-Medicina-Cliníca Médica)</v>
      </c>
      <c r="E731" s="584">
        <f>'Mapa da Corregedoria'!$AW15</f>
        <v>0</v>
      </c>
      <c r="F731" s="584" t="s">
        <v>159</v>
      </c>
      <c r="G731" s="584" t="s">
        <v>1304</v>
      </c>
    </row>
    <row r="732" spans="1:7" ht="14.25" customHeight="1" x14ac:dyDescent="0.25">
      <c r="A732" s="584" t="str">
        <f>'Mapa da Corregedoria'!AW$6</f>
        <v>25ª Vara</v>
      </c>
      <c r="B732" s="584" t="s">
        <v>120</v>
      </c>
      <c r="C732" s="584" t="s">
        <v>123</v>
      </c>
      <c r="D732" s="584" t="str">
        <f>'Mapa da Corregedoria'!$A$16</f>
        <v>Analista Judiciário(Á. Apoio Especializado-Contadoria)</v>
      </c>
      <c r="E732" s="584">
        <f>'Mapa da Corregedoria'!$AW16</f>
        <v>0</v>
      </c>
      <c r="F732" s="584" t="s">
        <v>159</v>
      </c>
      <c r="G732" s="584" t="s">
        <v>1304</v>
      </c>
    </row>
    <row r="733" spans="1:7" ht="14.25" customHeight="1" x14ac:dyDescent="0.25">
      <c r="A733" s="584" t="str">
        <f>'Mapa da Corregedoria'!AW$6</f>
        <v>25ª Vara</v>
      </c>
      <c r="B733" s="584" t="s">
        <v>120</v>
      </c>
      <c r="C733" s="584" t="s">
        <v>123</v>
      </c>
      <c r="D733" s="584" t="str">
        <f>'Mapa da Corregedoria'!$A$17</f>
        <v>Analista Judiciário(Á. Apoio Especializado- Engenharia Civil)</v>
      </c>
      <c r="E733" s="584">
        <f>'Mapa da Corregedoria'!$AW17</f>
        <v>0</v>
      </c>
      <c r="F733" s="584" t="s">
        <v>159</v>
      </c>
      <c r="G733" s="584" t="s">
        <v>1304</v>
      </c>
    </row>
    <row r="734" spans="1:7" ht="14.25" customHeight="1" x14ac:dyDescent="0.25">
      <c r="A734" s="584" t="str">
        <f>'Mapa da Corregedoria'!AW$6</f>
        <v>25ª Vara</v>
      </c>
      <c r="B734" s="584" t="s">
        <v>120</v>
      </c>
      <c r="C734" s="584" t="s">
        <v>123</v>
      </c>
      <c r="D734" s="584" t="str">
        <f>'Mapa da Corregedoria'!$A$20</f>
        <v xml:space="preserve">Técnico Judiciário (Á. Administrativa)-inclusas as Especialidades Serviços de Portaria/Telefonia </v>
      </c>
      <c r="E734" s="584">
        <f>'Mapa da Corregedoria'!$AW20</f>
        <v>7</v>
      </c>
      <c r="F734" s="584" t="s">
        <v>159</v>
      </c>
      <c r="G734" s="584" t="s">
        <v>1304</v>
      </c>
    </row>
    <row r="735" spans="1:7" ht="14.25" customHeight="1" x14ac:dyDescent="0.25">
      <c r="A735" s="584" t="str">
        <f>'Mapa da Corregedoria'!AW$6</f>
        <v>25ª Vara</v>
      </c>
      <c r="B735" s="584" t="s">
        <v>120</v>
      </c>
      <c r="C735" s="584" t="s">
        <v>123</v>
      </c>
      <c r="D735" s="584" t="str">
        <f>'Mapa da Corregedoria'!$A$21</f>
        <v>Técnico Judiciário(Á. Apoio Especializado- Informática)</v>
      </c>
      <c r="E735" s="584">
        <f>'Mapa da Corregedoria'!$AW21</f>
        <v>0</v>
      </c>
      <c r="F735" s="584" t="s">
        <v>159</v>
      </c>
      <c r="G735" s="584" t="s">
        <v>1304</v>
      </c>
    </row>
    <row r="736" spans="1:7" ht="14.25" customHeight="1" x14ac:dyDescent="0.25">
      <c r="A736" s="584" t="str">
        <f>'Mapa da Corregedoria'!AW$6</f>
        <v>25ª Vara</v>
      </c>
      <c r="B736" s="584" t="s">
        <v>120</v>
      </c>
      <c r="C736" s="584" t="s">
        <v>123</v>
      </c>
      <c r="D736" s="584" t="str">
        <f>'Mapa da Corregedoria'!$A$24</f>
        <v>Técnico Judiciário (Á. Segurança e Transporte – Agente de Policia Judicial)</v>
      </c>
      <c r="E736" s="584">
        <f>'Mapa da Corregedoria'!$AW24</f>
        <v>0</v>
      </c>
      <c r="F736" s="584" t="s">
        <v>159</v>
      </c>
      <c r="G736" s="584" t="s">
        <v>1304</v>
      </c>
    </row>
    <row r="737" spans="1:7" ht="14.25" customHeight="1" x14ac:dyDescent="0.25">
      <c r="A737" s="584" t="str">
        <f>'Mapa da Corregedoria'!AW$6</f>
        <v>25ª Vara</v>
      </c>
      <c r="B737" s="584" t="s">
        <v>120</v>
      </c>
      <c r="C737" s="584" t="s">
        <v>123</v>
      </c>
      <c r="D737" s="584" t="str">
        <f>'Mapa da Corregedoria'!$A$25</f>
        <v>Auxiliar Judiciário</v>
      </c>
      <c r="E737" s="584">
        <f>'Mapa da Corregedoria'!$AW25</f>
        <v>0</v>
      </c>
      <c r="F737" s="584" t="s">
        <v>159</v>
      </c>
      <c r="G737" s="584" t="s">
        <v>1304</v>
      </c>
    </row>
    <row r="738" spans="1:7" ht="14.25" customHeight="1" x14ac:dyDescent="0.25">
      <c r="A738" s="584" t="str">
        <f>'Mapa da Corregedoria'!AW$6</f>
        <v>25ª Vara</v>
      </c>
      <c r="B738" s="584" t="s">
        <v>120</v>
      </c>
      <c r="C738" s="584" t="s">
        <v>123</v>
      </c>
      <c r="D738" s="584" t="str">
        <f>'Mapa da Corregedoria'!$A$27</f>
        <v>Requisitados</v>
      </c>
      <c r="E738" s="584">
        <f>'Mapa da Corregedoria'!$AW27</f>
        <v>3</v>
      </c>
      <c r="F738" s="584" t="str">
        <f>D738</f>
        <v>Requisitados</v>
      </c>
      <c r="G738" s="584" t="s">
        <v>1304</v>
      </c>
    </row>
    <row r="739" spans="1:7" ht="14.25" customHeight="1" x14ac:dyDescent="0.25">
      <c r="A739" s="584" t="str">
        <f>'Mapa da Corregedoria'!AW$6</f>
        <v>25ª Vara</v>
      </c>
      <c r="B739" s="584" t="s">
        <v>120</v>
      </c>
      <c r="C739" s="584" t="s">
        <v>123</v>
      </c>
      <c r="D739" s="584" t="str">
        <f>'Mapa da Corregedoria'!$A$28</f>
        <v>Exercício Provisório (de outros órgãos)</v>
      </c>
      <c r="E739" s="584">
        <f>'Mapa da Corregedoria'!$AW28</f>
        <v>0</v>
      </c>
      <c r="F739" s="584" t="str">
        <f>D739</f>
        <v>Exercício Provisório (de outros órgãos)</v>
      </c>
      <c r="G739" s="584" t="s">
        <v>1304</v>
      </c>
    </row>
    <row r="740" spans="1:7" ht="14.25" customHeight="1" x14ac:dyDescent="0.25">
      <c r="A740" s="584" t="str">
        <f>'Mapa da Corregedoria'!AW$6</f>
        <v>25ª Vara</v>
      </c>
      <c r="B740" s="584" t="s">
        <v>120</v>
      </c>
      <c r="C740" s="584" t="s">
        <v>123</v>
      </c>
      <c r="D740" s="584" t="str">
        <f>'Mapa da Corregedoria'!$A$29</f>
        <v>Removidos (de outros órgãos)</v>
      </c>
      <c r="E740" s="584">
        <f>'Mapa da Corregedoria'!$AW29</f>
        <v>1</v>
      </c>
      <c r="F740" s="584" t="str">
        <f>D740</f>
        <v>Removidos (de outros órgãos)</v>
      </c>
      <c r="G740" s="584" t="s">
        <v>1304</v>
      </c>
    </row>
    <row r="741" spans="1:7" ht="14.25" customHeight="1" x14ac:dyDescent="0.25">
      <c r="A741" s="584" t="str">
        <f>'Mapa da Corregedoria'!AW$6</f>
        <v>25ª Vara</v>
      </c>
      <c r="B741" s="584" t="s">
        <v>120</v>
      </c>
      <c r="C741" s="584" t="s">
        <v>123</v>
      </c>
      <c r="D741" s="584" t="str">
        <f>'Mapa da Corregedoria'!$A$30</f>
        <v>Sem Vínculo</v>
      </c>
      <c r="E741" s="584">
        <f>'Mapa da Corregedoria'!$AW30</f>
        <v>0</v>
      </c>
      <c r="F741" s="584" t="str">
        <f>D741</f>
        <v>Sem Vínculo</v>
      </c>
      <c r="G741" s="584" t="s">
        <v>1304</v>
      </c>
    </row>
    <row r="742" spans="1:7" ht="14.25" customHeight="1" x14ac:dyDescent="0.25">
      <c r="A742" s="584" t="str">
        <f>'Mapa da Corregedoria'!AX$6</f>
        <v>Subdiretoria do Foro</v>
      </c>
      <c r="B742" s="584" t="s">
        <v>1235</v>
      </c>
      <c r="C742" s="584" t="s">
        <v>3572</v>
      </c>
      <c r="D742" s="584" t="str">
        <f>'Mapa da Corregedoria'!$A$8</f>
        <v>Analista Judiciário(Á. Judiciária)</v>
      </c>
      <c r="E742" s="584">
        <f>'Mapa da Corregedoria'!$AX8</f>
        <v>1</v>
      </c>
      <c r="F742" s="584" t="s">
        <v>159</v>
      </c>
      <c r="G742" s="584" t="s">
        <v>1304</v>
      </c>
    </row>
    <row r="743" spans="1:7" ht="14.25" customHeight="1" x14ac:dyDescent="0.25">
      <c r="A743" s="584" t="str">
        <f>'Mapa da Corregedoria'!AX$6</f>
        <v>Subdiretoria do Foro</v>
      </c>
      <c r="B743" s="584" t="s">
        <v>1235</v>
      </c>
      <c r="C743" s="584" t="s">
        <v>3572</v>
      </c>
      <c r="D743" s="584" t="str">
        <f>'Mapa da Corregedoria'!$A$9</f>
        <v>Analista Judiciário(Á. Administrativa)</v>
      </c>
      <c r="E743" s="584">
        <f>'Mapa da Corregedoria'!$AX9</f>
        <v>0</v>
      </c>
      <c r="F743" s="584" t="s">
        <v>159</v>
      </c>
      <c r="G743" s="584" t="s">
        <v>1304</v>
      </c>
    </row>
    <row r="744" spans="1:7" ht="14.25" customHeight="1" x14ac:dyDescent="0.25">
      <c r="A744" s="584" t="str">
        <f>'Mapa da Corregedoria'!AX$6</f>
        <v>Subdiretoria do Foro</v>
      </c>
      <c r="B744" s="584" t="s">
        <v>1235</v>
      </c>
      <c r="C744" s="584" t="s">
        <v>3572</v>
      </c>
      <c r="D744" s="584" t="str">
        <f>'Mapa da Corregedoria'!$A$10</f>
        <v>Analista Judiciário (Esp.Oficial de Justiça Avaliador Federal)</v>
      </c>
      <c r="E744" s="584">
        <f>'Mapa da Corregedoria'!$AX10</f>
        <v>0</v>
      </c>
      <c r="F744" s="584" t="s">
        <v>159</v>
      </c>
      <c r="G744" s="584" t="s">
        <v>1304</v>
      </c>
    </row>
    <row r="745" spans="1:7" ht="14.25" customHeight="1" x14ac:dyDescent="0.25">
      <c r="A745" s="584" t="str">
        <f>'Mapa da Corregedoria'!AX$6</f>
        <v>Subdiretoria do Foro</v>
      </c>
      <c r="B745" s="584" t="s">
        <v>1235</v>
      </c>
      <c r="C745" s="584" t="s">
        <v>3572</v>
      </c>
      <c r="D745" s="584" t="str">
        <f>'Mapa da Corregedoria'!$A$11</f>
        <v>Anal.Jud.(Á. Biblioteconomia)</v>
      </c>
      <c r="E745" s="584">
        <f>'Mapa da Corregedoria'!$AX11</f>
        <v>0</v>
      </c>
      <c r="F745" s="584" t="s">
        <v>159</v>
      </c>
      <c r="G745" s="584" t="s">
        <v>1304</v>
      </c>
    </row>
    <row r="746" spans="1:7" ht="14.25" customHeight="1" x14ac:dyDescent="0.25">
      <c r="A746" s="584" t="str">
        <f>'Mapa da Corregedoria'!AX$6</f>
        <v>Subdiretoria do Foro</v>
      </c>
      <c r="B746" s="584" t="s">
        <v>1235</v>
      </c>
      <c r="C746" s="584" t="s">
        <v>3572</v>
      </c>
      <c r="D746" s="584" t="str">
        <f>'Mapa da Corregedoria'!$A$12</f>
        <v>Analista Judiciário(Á. Apoio Especializado-Informática)</v>
      </c>
      <c r="E746" s="584">
        <f>'Mapa da Corregedoria'!$AX12</f>
        <v>0</v>
      </c>
      <c r="F746" s="584" t="s">
        <v>159</v>
      </c>
      <c r="G746" s="584" t="s">
        <v>1304</v>
      </c>
    </row>
    <row r="747" spans="1:7" ht="14.25" customHeight="1" x14ac:dyDescent="0.25">
      <c r="A747" s="584" t="str">
        <f>'Mapa da Corregedoria'!AX$6</f>
        <v>Subdiretoria do Foro</v>
      </c>
      <c r="B747" s="584" t="s">
        <v>1235</v>
      </c>
      <c r="C747" s="584" t="s">
        <v>3572</v>
      </c>
      <c r="D747" s="584" t="str">
        <f>'Mapa da Corregedoria'!$A$13</f>
        <v>Analista Judiciário(Á. Apoio Especializado-Informática-Desenvolvimento)</v>
      </c>
      <c r="E747" s="584">
        <f>'Mapa da Corregedoria'!$AX13</f>
        <v>0</v>
      </c>
      <c r="F747" s="584" t="s">
        <v>159</v>
      </c>
      <c r="G747" s="584" t="s">
        <v>1304</v>
      </c>
    </row>
    <row r="748" spans="1:7" ht="14.25" customHeight="1" x14ac:dyDescent="0.25">
      <c r="A748" s="584" t="str">
        <f>'Mapa da Corregedoria'!AX$6</f>
        <v>Subdiretoria do Foro</v>
      </c>
      <c r="B748" s="584" t="s">
        <v>1235</v>
      </c>
      <c r="C748" s="584" t="s">
        <v>3572</v>
      </c>
      <c r="D748" s="584" t="str">
        <f>'Mapa da Corregedoria'!$A$14</f>
        <v>Analista Judiciário(Á. Apoio Especializado-Informática-Infraestrutura)</v>
      </c>
      <c r="E748" s="584">
        <f>'Mapa da Corregedoria'!$AX14</f>
        <v>0</v>
      </c>
      <c r="F748" s="584" t="s">
        <v>159</v>
      </c>
      <c r="G748" s="584" t="s">
        <v>1304</v>
      </c>
    </row>
    <row r="749" spans="1:7" ht="14.25" customHeight="1" x14ac:dyDescent="0.25">
      <c r="A749" s="584" t="str">
        <f>'Mapa da Corregedoria'!AX$6</f>
        <v>Subdiretoria do Foro</v>
      </c>
      <c r="B749" s="584" t="s">
        <v>1235</v>
      </c>
      <c r="C749" s="584" t="s">
        <v>3572</v>
      </c>
      <c r="D749" s="584" t="str">
        <f>'Mapa da Corregedoria'!$A$15</f>
        <v>Analista Judiciário(Á. Apoio Especializado-Medicina-Cliníca Médica)</v>
      </c>
      <c r="E749" s="584">
        <f>'Mapa da Corregedoria'!$AX15</f>
        <v>0</v>
      </c>
      <c r="F749" s="584" t="s">
        <v>159</v>
      </c>
      <c r="G749" s="584" t="s">
        <v>1304</v>
      </c>
    </row>
    <row r="750" spans="1:7" ht="14.25" customHeight="1" x14ac:dyDescent="0.25">
      <c r="A750" s="584" t="str">
        <f>'Mapa da Corregedoria'!AX$6</f>
        <v>Subdiretoria do Foro</v>
      </c>
      <c r="B750" s="584" t="s">
        <v>1235</v>
      </c>
      <c r="C750" s="584" t="s">
        <v>3572</v>
      </c>
      <c r="D750" s="584" t="str">
        <f>'Mapa da Corregedoria'!$A$16</f>
        <v>Analista Judiciário(Á. Apoio Especializado-Contadoria)</v>
      </c>
      <c r="E750" s="584">
        <f>'Mapa da Corregedoria'!$AX16</f>
        <v>0</v>
      </c>
      <c r="F750" s="584" t="s">
        <v>159</v>
      </c>
      <c r="G750" s="584" t="s">
        <v>1304</v>
      </c>
    </row>
    <row r="751" spans="1:7" ht="14.25" customHeight="1" x14ac:dyDescent="0.25">
      <c r="A751" s="584" t="str">
        <f>'Mapa da Corregedoria'!AX$6</f>
        <v>Subdiretoria do Foro</v>
      </c>
      <c r="B751" s="584" t="s">
        <v>1235</v>
      </c>
      <c r="C751" s="584" t="s">
        <v>3572</v>
      </c>
      <c r="D751" s="584" t="str">
        <f>'Mapa da Corregedoria'!$A$17</f>
        <v>Analista Judiciário(Á. Apoio Especializado- Engenharia Civil)</v>
      </c>
      <c r="E751" s="584">
        <f>'Mapa da Corregedoria'!$AX17</f>
        <v>0</v>
      </c>
      <c r="F751" s="584" t="s">
        <v>159</v>
      </c>
      <c r="G751" s="584" t="s">
        <v>1304</v>
      </c>
    </row>
    <row r="752" spans="1:7" ht="14.25" customHeight="1" x14ac:dyDescent="0.25">
      <c r="A752" s="584" t="str">
        <f>'Mapa da Corregedoria'!AX$6</f>
        <v>Subdiretoria do Foro</v>
      </c>
      <c r="B752" s="584" t="s">
        <v>1235</v>
      </c>
      <c r="C752" s="584" t="s">
        <v>3572</v>
      </c>
      <c r="D752" s="584" t="str">
        <f>'Mapa da Corregedoria'!$A$20</f>
        <v xml:space="preserve">Técnico Judiciário (Á. Administrativa)-inclusas as Especialidades Serviços de Portaria/Telefonia </v>
      </c>
      <c r="E752" s="584">
        <f>'Mapa da Corregedoria'!$AX20</f>
        <v>1</v>
      </c>
      <c r="F752" s="584" t="s">
        <v>159</v>
      </c>
      <c r="G752" s="584" t="s">
        <v>1304</v>
      </c>
    </row>
    <row r="753" spans="1:7" ht="14.25" customHeight="1" x14ac:dyDescent="0.25">
      <c r="A753" s="584" t="str">
        <f>'Mapa da Corregedoria'!AX$6</f>
        <v>Subdiretoria do Foro</v>
      </c>
      <c r="B753" s="584" t="s">
        <v>1235</v>
      </c>
      <c r="C753" s="584" t="s">
        <v>3572</v>
      </c>
      <c r="D753" s="584" t="str">
        <f>'Mapa da Corregedoria'!$A$21</f>
        <v>Técnico Judiciário(Á. Apoio Especializado- Informática)</v>
      </c>
      <c r="E753" s="584">
        <f>'Mapa da Corregedoria'!$AX21</f>
        <v>0</v>
      </c>
      <c r="F753" s="584" t="s">
        <v>159</v>
      </c>
      <c r="G753" s="584" t="s">
        <v>1304</v>
      </c>
    </row>
    <row r="754" spans="1:7" ht="14.25" customHeight="1" x14ac:dyDescent="0.25">
      <c r="A754" s="584" t="str">
        <f>'Mapa da Corregedoria'!AX$6</f>
        <v>Subdiretoria do Foro</v>
      </c>
      <c r="B754" s="584" t="s">
        <v>1235</v>
      </c>
      <c r="C754" s="584" t="s">
        <v>3572</v>
      </c>
      <c r="D754" s="584" t="str">
        <f>'Mapa da Corregedoria'!$A$24</f>
        <v>Técnico Judiciário (Á. Segurança e Transporte – Agente de Policia Judicial)</v>
      </c>
      <c r="E754" s="584">
        <f>'Mapa da Corregedoria'!$AX24</f>
        <v>0</v>
      </c>
      <c r="F754" s="584" t="s">
        <v>159</v>
      </c>
      <c r="G754" s="584" t="s">
        <v>1304</v>
      </c>
    </row>
    <row r="755" spans="1:7" ht="14.25" customHeight="1" x14ac:dyDescent="0.25">
      <c r="A755" s="584" t="str">
        <f>'Mapa da Corregedoria'!AX$6</f>
        <v>Subdiretoria do Foro</v>
      </c>
      <c r="B755" s="584" t="s">
        <v>1235</v>
      </c>
      <c r="C755" s="584" t="s">
        <v>3572</v>
      </c>
      <c r="D755" s="584" t="str">
        <f>'Mapa da Corregedoria'!$A$25</f>
        <v>Auxiliar Judiciário</v>
      </c>
      <c r="E755" s="584">
        <f>'Mapa da Corregedoria'!$AX25</f>
        <v>0</v>
      </c>
      <c r="F755" s="584" t="s">
        <v>159</v>
      </c>
      <c r="G755" s="584" t="s">
        <v>1304</v>
      </c>
    </row>
    <row r="756" spans="1:7" ht="14.25" customHeight="1" x14ac:dyDescent="0.25">
      <c r="A756" s="584" t="str">
        <f>'Mapa da Corregedoria'!AX$6</f>
        <v>Subdiretoria do Foro</v>
      </c>
      <c r="B756" s="584" t="s">
        <v>1235</v>
      </c>
      <c r="C756" s="584" t="s">
        <v>3572</v>
      </c>
      <c r="D756" s="584" t="str">
        <f>'Mapa da Corregedoria'!$A$27</f>
        <v>Requisitados</v>
      </c>
      <c r="E756" s="584">
        <f>'Mapa da Corregedoria'!$AX27</f>
        <v>0</v>
      </c>
      <c r="F756" s="584" t="str">
        <f>D756</f>
        <v>Requisitados</v>
      </c>
      <c r="G756" s="584" t="s">
        <v>1304</v>
      </c>
    </row>
    <row r="757" spans="1:7" ht="14.25" customHeight="1" x14ac:dyDescent="0.25">
      <c r="A757" s="584" t="str">
        <f>'Mapa da Corregedoria'!AX$6</f>
        <v>Subdiretoria do Foro</v>
      </c>
      <c r="B757" s="584" t="s">
        <v>1235</v>
      </c>
      <c r="C757" s="584" t="s">
        <v>3572</v>
      </c>
      <c r="D757" s="584" t="str">
        <f>'Mapa da Corregedoria'!$A$28</f>
        <v>Exercício Provisório (de outros órgãos)</v>
      </c>
      <c r="E757" s="584">
        <f>'Mapa da Corregedoria'!$AX28</f>
        <v>0</v>
      </c>
      <c r="F757" s="584" t="str">
        <f>D757</f>
        <v>Exercício Provisório (de outros órgãos)</v>
      </c>
      <c r="G757" s="584" t="s">
        <v>1304</v>
      </c>
    </row>
    <row r="758" spans="1:7" ht="14.25" customHeight="1" x14ac:dyDescent="0.25">
      <c r="A758" s="584" t="str">
        <f>'Mapa da Corregedoria'!AX$6</f>
        <v>Subdiretoria do Foro</v>
      </c>
      <c r="B758" s="584" t="s">
        <v>1235</v>
      </c>
      <c r="C758" s="584" t="s">
        <v>3572</v>
      </c>
      <c r="D758" s="584" t="str">
        <f>'Mapa da Corregedoria'!$A$29</f>
        <v>Removidos (de outros órgãos)</v>
      </c>
      <c r="E758" s="584">
        <f>'Mapa da Corregedoria'!$AX29</f>
        <v>0</v>
      </c>
      <c r="F758" s="584" t="str">
        <f>D758</f>
        <v>Removidos (de outros órgãos)</v>
      </c>
      <c r="G758" s="584" t="s">
        <v>1304</v>
      </c>
    </row>
    <row r="759" spans="1:7" ht="14.25" customHeight="1" x14ac:dyDescent="0.25">
      <c r="A759" s="584" t="str">
        <f>'Mapa da Corregedoria'!AX$6</f>
        <v>Subdiretoria do Foro</v>
      </c>
      <c r="B759" s="584" t="s">
        <v>1235</v>
      </c>
      <c r="C759" s="584" t="s">
        <v>3572</v>
      </c>
      <c r="D759" s="584" t="str">
        <f>'Mapa da Corregedoria'!$A$30</f>
        <v>Sem Vínculo</v>
      </c>
      <c r="E759" s="584">
        <f>'Mapa da Corregedoria'!$AX30</f>
        <v>0</v>
      </c>
      <c r="F759" s="584" t="str">
        <f>D759</f>
        <v>Sem Vínculo</v>
      </c>
      <c r="G759" s="584" t="s">
        <v>1304</v>
      </c>
    </row>
    <row r="760" spans="1:7" ht="14.25" customHeight="1" x14ac:dyDescent="0.25">
      <c r="A760" s="584" t="str">
        <f>'Mapa da Corregedoria'!AZ$6</f>
        <v>27ª Vara</v>
      </c>
      <c r="B760" s="584" t="s">
        <v>120</v>
      </c>
      <c r="C760" s="584" t="s">
        <v>123</v>
      </c>
      <c r="D760" s="584" t="str">
        <f>'Mapa da Corregedoria'!$A$8</f>
        <v>Analista Judiciário(Á. Judiciária)</v>
      </c>
      <c r="E760" s="584">
        <f>'Mapa da Corregedoria'!$AZ8</f>
        <v>6</v>
      </c>
      <c r="F760" s="584" t="s">
        <v>159</v>
      </c>
      <c r="G760" s="584" t="s">
        <v>1321</v>
      </c>
    </row>
    <row r="761" spans="1:7" ht="14.25" customHeight="1" x14ac:dyDescent="0.25">
      <c r="A761" s="584" t="str">
        <f>'Mapa da Corregedoria'!AZ$6</f>
        <v>27ª Vara</v>
      </c>
      <c r="B761" s="584" t="s">
        <v>120</v>
      </c>
      <c r="C761" s="584" t="s">
        <v>123</v>
      </c>
      <c r="D761" s="584" t="str">
        <f>'Mapa da Corregedoria'!$A$9</f>
        <v>Analista Judiciário(Á. Administrativa)</v>
      </c>
      <c r="E761" s="584">
        <f>'Mapa da Corregedoria'!$AZ9</f>
        <v>1</v>
      </c>
      <c r="F761" s="584" t="s">
        <v>159</v>
      </c>
      <c r="G761" s="584" t="s">
        <v>1321</v>
      </c>
    </row>
    <row r="762" spans="1:7" ht="14.25" customHeight="1" x14ac:dyDescent="0.25">
      <c r="A762" s="584" t="str">
        <f>'Mapa da Corregedoria'!AZ$6</f>
        <v>27ª Vara</v>
      </c>
      <c r="B762" s="584" t="s">
        <v>120</v>
      </c>
      <c r="C762" s="584" t="s">
        <v>123</v>
      </c>
      <c r="D762" s="584" t="str">
        <f>'Mapa da Corregedoria'!$A$10</f>
        <v>Analista Judiciário (Esp.Oficial de Justiça Avaliador Federal)</v>
      </c>
      <c r="E762" s="584">
        <f>'Mapa da Corregedoria'!$AZ10</f>
        <v>2</v>
      </c>
      <c r="F762" s="584" t="s">
        <v>159</v>
      </c>
      <c r="G762" s="584" t="s">
        <v>1321</v>
      </c>
    </row>
    <row r="763" spans="1:7" ht="14.25" customHeight="1" x14ac:dyDescent="0.25">
      <c r="A763" s="584" t="str">
        <f>'Mapa da Corregedoria'!AZ$6</f>
        <v>27ª Vara</v>
      </c>
      <c r="B763" s="584" t="s">
        <v>120</v>
      </c>
      <c r="C763" s="584" t="s">
        <v>123</v>
      </c>
      <c r="D763" s="584" t="str">
        <f>'Mapa da Corregedoria'!$A$11</f>
        <v>Anal.Jud.(Á. Biblioteconomia)</v>
      </c>
      <c r="E763" s="584">
        <f>'Mapa da Corregedoria'!$AZ11</f>
        <v>0</v>
      </c>
      <c r="F763" s="584" t="s">
        <v>159</v>
      </c>
      <c r="G763" s="584" t="s">
        <v>1321</v>
      </c>
    </row>
    <row r="764" spans="1:7" ht="14.25" customHeight="1" x14ac:dyDescent="0.25">
      <c r="A764" s="584" t="str">
        <f>'Mapa da Corregedoria'!AZ$6</f>
        <v>27ª Vara</v>
      </c>
      <c r="B764" s="584" t="s">
        <v>120</v>
      </c>
      <c r="C764" s="584" t="s">
        <v>123</v>
      </c>
      <c r="D764" s="584" t="str">
        <f>'Mapa da Corregedoria'!$A$12</f>
        <v>Analista Judiciário(Á. Apoio Especializado-Informática)</v>
      </c>
      <c r="E764" s="584">
        <f>'Mapa da Corregedoria'!$AZ12</f>
        <v>0</v>
      </c>
      <c r="F764" s="584" t="s">
        <v>159</v>
      </c>
      <c r="G764" s="584" t="s">
        <v>1321</v>
      </c>
    </row>
    <row r="765" spans="1:7" ht="14.25" customHeight="1" x14ac:dyDescent="0.25">
      <c r="A765" s="584" t="str">
        <f>'Mapa da Corregedoria'!AZ$6</f>
        <v>27ª Vara</v>
      </c>
      <c r="B765" s="584" t="s">
        <v>120</v>
      </c>
      <c r="C765" s="584" t="s">
        <v>123</v>
      </c>
      <c r="D765" s="584" t="str">
        <f>'Mapa da Corregedoria'!$A$13</f>
        <v>Analista Judiciário(Á. Apoio Especializado-Informática-Desenvolvimento)</v>
      </c>
      <c r="E765" s="584">
        <f>'Mapa da Corregedoria'!$AZ13</f>
        <v>0</v>
      </c>
      <c r="F765" s="584" t="s">
        <v>159</v>
      </c>
      <c r="G765" s="584" t="s">
        <v>1321</v>
      </c>
    </row>
    <row r="766" spans="1:7" ht="14.25" customHeight="1" x14ac:dyDescent="0.25">
      <c r="A766" s="584" t="str">
        <f>'Mapa da Corregedoria'!AZ$6</f>
        <v>27ª Vara</v>
      </c>
      <c r="B766" s="584" t="s">
        <v>120</v>
      </c>
      <c r="C766" s="584" t="s">
        <v>123</v>
      </c>
      <c r="D766" s="584" t="str">
        <f>'Mapa da Corregedoria'!$A$14</f>
        <v>Analista Judiciário(Á. Apoio Especializado-Informática-Infraestrutura)</v>
      </c>
      <c r="E766" s="584">
        <f>'Mapa da Corregedoria'!$AZ14</f>
        <v>0</v>
      </c>
      <c r="F766" s="584" t="s">
        <v>159</v>
      </c>
      <c r="G766" s="584" t="s">
        <v>1321</v>
      </c>
    </row>
    <row r="767" spans="1:7" ht="14.25" customHeight="1" x14ac:dyDescent="0.25">
      <c r="A767" s="584" t="str">
        <f>'Mapa da Corregedoria'!AZ$6</f>
        <v>27ª Vara</v>
      </c>
      <c r="B767" s="584" t="s">
        <v>120</v>
      </c>
      <c r="C767" s="584" t="s">
        <v>123</v>
      </c>
      <c r="D767" s="584" t="str">
        <f>'Mapa da Corregedoria'!$A$15</f>
        <v>Analista Judiciário(Á. Apoio Especializado-Medicina-Cliníca Médica)</v>
      </c>
      <c r="E767" s="584">
        <f>'Mapa da Corregedoria'!$AZ15</f>
        <v>0</v>
      </c>
      <c r="F767" s="584" t="s">
        <v>159</v>
      </c>
      <c r="G767" s="584" t="s">
        <v>1321</v>
      </c>
    </row>
    <row r="768" spans="1:7" ht="14.25" customHeight="1" x14ac:dyDescent="0.25">
      <c r="A768" s="584" t="str">
        <f>'Mapa da Corregedoria'!AZ$6</f>
        <v>27ª Vara</v>
      </c>
      <c r="B768" s="584" t="s">
        <v>120</v>
      </c>
      <c r="C768" s="584" t="s">
        <v>123</v>
      </c>
      <c r="D768" s="584" t="str">
        <f>'Mapa da Corregedoria'!$A$16</f>
        <v>Analista Judiciário(Á. Apoio Especializado-Contadoria)</v>
      </c>
      <c r="E768" s="584">
        <f>'Mapa da Corregedoria'!$AZ16</f>
        <v>0</v>
      </c>
      <c r="F768" s="584" t="s">
        <v>159</v>
      </c>
      <c r="G768" s="584" t="s">
        <v>1321</v>
      </c>
    </row>
    <row r="769" spans="1:7" ht="14.25" customHeight="1" x14ac:dyDescent="0.25">
      <c r="A769" s="584" t="str">
        <f>'Mapa da Corregedoria'!AZ$6</f>
        <v>27ª Vara</v>
      </c>
      <c r="B769" s="584" t="s">
        <v>120</v>
      </c>
      <c r="C769" s="584" t="s">
        <v>123</v>
      </c>
      <c r="D769" s="584" t="str">
        <f>'Mapa da Corregedoria'!$A$17</f>
        <v>Analista Judiciário(Á. Apoio Especializado- Engenharia Civil)</v>
      </c>
      <c r="E769" s="584">
        <f>'Mapa da Corregedoria'!$AZ17</f>
        <v>0</v>
      </c>
      <c r="F769" s="584" t="s">
        <v>159</v>
      </c>
      <c r="G769" s="584" t="s">
        <v>1321</v>
      </c>
    </row>
    <row r="770" spans="1:7" ht="14.25" customHeight="1" x14ac:dyDescent="0.25">
      <c r="A770" s="584" t="str">
        <f>'Mapa da Corregedoria'!AZ$6</f>
        <v>27ª Vara</v>
      </c>
      <c r="B770" s="584" t="s">
        <v>120</v>
      </c>
      <c r="C770" s="584" t="s">
        <v>123</v>
      </c>
      <c r="D770" s="584" t="str">
        <f>'Mapa da Corregedoria'!$A$20</f>
        <v xml:space="preserve">Técnico Judiciário (Á. Administrativa)-inclusas as Especialidades Serviços de Portaria/Telefonia </v>
      </c>
      <c r="E770" s="584">
        <f>'Mapa da Corregedoria'!$AZ20</f>
        <v>7</v>
      </c>
      <c r="F770" s="584" t="s">
        <v>159</v>
      </c>
      <c r="G770" s="584" t="s">
        <v>1321</v>
      </c>
    </row>
    <row r="771" spans="1:7" ht="14.25" customHeight="1" x14ac:dyDescent="0.25">
      <c r="A771" s="584" t="str">
        <f>'Mapa da Corregedoria'!AZ$6</f>
        <v>27ª Vara</v>
      </c>
      <c r="B771" s="584" t="s">
        <v>120</v>
      </c>
      <c r="C771" s="584" t="s">
        <v>123</v>
      </c>
      <c r="D771" s="584" t="str">
        <f>'Mapa da Corregedoria'!$A$21</f>
        <v>Técnico Judiciário(Á. Apoio Especializado- Informática)</v>
      </c>
      <c r="E771" s="584">
        <f>'Mapa da Corregedoria'!$AZ21</f>
        <v>0</v>
      </c>
      <c r="F771" s="584" t="s">
        <v>159</v>
      </c>
      <c r="G771" s="584" t="s">
        <v>1321</v>
      </c>
    </row>
    <row r="772" spans="1:7" ht="14.25" customHeight="1" x14ac:dyDescent="0.25">
      <c r="A772" s="584" t="str">
        <f>'Mapa da Corregedoria'!AZ$6</f>
        <v>27ª Vara</v>
      </c>
      <c r="B772" s="584" t="s">
        <v>120</v>
      </c>
      <c r="C772" s="584" t="s">
        <v>123</v>
      </c>
      <c r="D772" s="584" t="str">
        <f>'Mapa da Corregedoria'!$A$24</f>
        <v>Técnico Judiciário (Á. Segurança e Transporte – Agente de Policia Judicial)</v>
      </c>
      <c r="E772" s="584">
        <f>'Mapa da Corregedoria'!$AZ24</f>
        <v>2</v>
      </c>
      <c r="F772" s="584" t="s">
        <v>159</v>
      </c>
      <c r="G772" s="584" t="s">
        <v>1321</v>
      </c>
    </row>
    <row r="773" spans="1:7" ht="14.25" customHeight="1" x14ac:dyDescent="0.25">
      <c r="A773" s="584" t="str">
        <f>'Mapa da Corregedoria'!AZ$6</f>
        <v>27ª Vara</v>
      </c>
      <c r="B773" s="584" t="s">
        <v>120</v>
      </c>
      <c r="C773" s="584" t="s">
        <v>123</v>
      </c>
      <c r="D773" s="584" t="str">
        <f>'Mapa da Corregedoria'!$A$25</f>
        <v>Auxiliar Judiciário</v>
      </c>
      <c r="E773" s="584">
        <f>'Mapa da Corregedoria'!$AZ25</f>
        <v>0</v>
      </c>
      <c r="F773" s="584" t="s">
        <v>159</v>
      </c>
      <c r="G773" s="584" t="s">
        <v>1321</v>
      </c>
    </row>
    <row r="774" spans="1:7" ht="14.25" customHeight="1" x14ac:dyDescent="0.25">
      <c r="A774" s="584" t="str">
        <f>'Mapa da Corregedoria'!AZ$6</f>
        <v>27ª Vara</v>
      </c>
      <c r="B774" s="584" t="s">
        <v>120</v>
      </c>
      <c r="C774" s="584" t="s">
        <v>123</v>
      </c>
      <c r="D774" s="584" t="str">
        <f>'Mapa da Corregedoria'!$A$27</f>
        <v>Requisitados</v>
      </c>
      <c r="E774" s="584">
        <f>'Mapa da Corregedoria'!$AZ27</f>
        <v>0</v>
      </c>
      <c r="F774" s="584" t="str">
        <f>D774</f>
        <v>Requisitados</v>
      </c>
      <c r="G774" s="584" t="s">
        <v>1321</v>
      </c>
    </row>
    <row r="775" spans="1:7" ht="14.25" customHeight="1" x14ac:dyDescent="0.25">
      <c r="A775" s="584" t="str">
        <f>'Mapa da Corregedoria'!AZ$6</f>
        <v>27ª Vara</v>
      </c>
      <c r="B775" s="584" t="s">
        <v>120</v>
      </c>
      <c r="C775" s="584" t="s">
        <v>123</v>
      </c>
      <c r="D775" s="584" t="str">
        <f>'Mapa da Corregedoria'!$A$28</f>
        <v>Exercício Provisório (de outros órgãos)</v>
      </c>
      <c r="E775" s="584">
        <f>'Mapa da Corregedoria'!$AZ28</f>
        <v>0</v>
      </c>
      <c r="F775" s="584" t="str">
        <f>D775</f>
        <v>Exercício Provisório (de outros órgãos)</v>
      </c>
      <c r="G775" s="584" t="s">
        <v>1321</v>
      </c>
    </row>
    <row r="776" spans="1:7" ht="14.25" customHeight="1" x14ac:dyDescent="0.25">
      <c r="A776" s="584" t="str">
        <f>'Mapa da Corregedoria'!AZ$6</f>
        <v>27ª Vara</v>
      </c>
      <c r="B776" s="584" t="s">
        <v>120</v>
      </c>
      <c r="C776" s="584" t="s">
        <v>123</v>
      </c>
      <c r="D776" s="584" t="str">
        <f>'Mapa da Corregedoria'!$A$29</f>
        <v>Removidos (de outros órgãos)</v>
      </c>
      <c r="E776" s="584">
        <f>'Mapa da Corregedoria'!$AZ29</f>
        <v>0</v>
      </c>
      <c r="F776" s="584" t="str">
        <f>D776</f>
        <v>Removidos (de outros órgãos)</v>
      </c>
      <c r="G776" s="584" t="s">
        <v>1321</v>
      </c>
    </row>
    <row r="777" spans="1:7" ht="14.25" customHeight="1" x14ac:dyDescent="0.25">
      <c r="A777" s="584" t="str">
        <f>'Mapa da Corregedoria'!AZ$6</f>
        <v>27ª Vara</v>
      </c>
      <c r="B777" s="584" t="s">
        <v>120</v>
      </c>
      <c r="C777" s="584" t="s">
        <v>123</v>
      </c>
      <c r="D777" s="584" t="str">
        <f>'Mapa da Corregedoria'!$A$30</f>
        <v>Sem Vínculo</v>
      </c>
      <c r="E777" s="584">
        <f>'Mapa da Corregedoria'!$AZ30</f>
        <v>0</v>
      </c>
      <c r="F777" s="584" t="str">
        <f>D777</f>
        <v>Sem Vínculo</v>
      </c>
      <c r="G777" s="584" t="s">
        <v>1321</v>
      </c>
    </row>
    <row r="778" spans="1:7" ht="14.25" customHeight="1" x14ac:dyDescent="0.25">
      <c r="A778" s="584" t="str">
        <f>'Mapa da Corregedoria'!BA$6</f>
        <v xml:space="preserve">Subdiretoria do Foro </v>
      </c>
      <c r="B778" s="584" t="s">
        <v>1235</v>
      </c>
      <c r="C778" s="584" t="s">
        <v>3572</v>
      </c>
      <c r="D778" s="584" t="str">
        <f>'Mapa da Corregedoria'!$A$8</f>
        <v>Analista Judiciário(Á. Judiciária)</v>
      </c>
      <c r="E778" s="584">
        <f>'Mapa da Corregedoria'!$BA8</f>
        <v>0</v>
      </c>
      <c r="F778" s="584" t="s">
        <v>159</v>
      </c>
      <c r="G778" s="584" t="s">
        <v>1321</v>
      </c>
    </row>
    <row r="779" spans="1:7" ht="14.25" customHeight="1" x14ac:dyDescent="0.25">
      <c r="A779" s="584" t="str">
        <f>'Mapa da Corregedoria'!BA$6</f>
        <v xml:space="preserve">Subdiretoria do Foro </v>
      </c>
      <c r="B779" s="584" t="s">
        <v>1235</v>
      </c>
      <c r="C779" s="584" t="s">
        <v>3572</v>
      </c>
      <c r="D779" s="584" t="str">
        <f>'Mapa da Corregedoria'!$A$9</f>
        <v>Analista Judiciário(Á. Administrativa)</v>
      </c>
      <c r="E779" s="584">
        <f>'Mapa da Corregedoria'!$BA9</f>
        <v>0</v>
      </c>
      <c r="F779" s="584" t="s">
        <v>159</v>
      </c>
      <c r="G779" s="584" t="s">
        <v>1321</v>
      </c>
    </row>
    <row r="780" spans="1:7" ht="14.25" customHeight="1" x14ac:dyDescent="0.25">
      <c r="A780" s="584" t="str">
        <f>'Mapa da Corregedoria'!BA$6</f>
        <v xml:space="preserve">Subdiretoria do Foro </v>
      </c>
      <c r="B780" s="584" t="s">
        <v>1235</v>
      </c>
      <c r="C780" s="584" t="s">
        <v>3572</v>
      </c>
      <c r="D780" s="584" t="str">
        <f>'Mapa da Corregedoria'!$A$10</f>
        <v>Analista Judiciário (Esp.Oficial de Justiça Avaliador Federal)</v>
      </c>
      <c r="E780" s="584">
        <f>'Mapa da Corregedoria'!$BA10</f>
        <v>0</v>
      </c>
      <c r="F780" s="584" t="s">
        <v>159</v>
      </c>
      <c r="G780" s="584" t="s">
        <v>1321</v>
      </c>
    </row>
    <row r="781" spans="1:7" ht="14.25" customHeight="1" x14ac:dyDescent="0.25">
      <c r="A781" s="584" t="str">
        <f>'Mapa da Corregedoria'!BA$6</f>
        <v xml:space="preserve">Subdiretoria do Foro </v>
      </c>
      <c r="B781" s="584" t="s">
        <v>1235</v>
      </c>
      <c r="C781" s="584" t="s">
        <v>3572</v>
      </c>
      <c r="D781" s="584" t="str">
        <f>'Mapa da Corregedoria'!$A$11</f>
        <v>Anal.Jud.(Á. Biblioteconomia)</v>
      </c>
      <c r="E781" s="584">
        <f>'Mapa da Corregedoria'!$BA11</f>
        <v>0</v>
      </c>
      <c r="F781" s="584" t="s">
        <v>159</v>
      </c>
      <c r="G781" s="584" t="s">
        <v>1321</v>
      </c>
    </row>
    <row r="782" spans="1:7" ht="14.25" customHeight="1" x14ac:dyDescent="0.25">
      <c r="A782" s="584" t="str">
        <f>'Mapa da Corregedoria'!BA$6</f>
        <v xml:space="preserve">Subdiretoria do Foro </v>
      </c>
      <c r="B782" s="584" t="s">
        <v>1235</v>
      </c>
      <c r="C782" s="584" t="s">
        <v>3572</v>
      </c>
      <c r="D782" s="584" t="str">
        <f>'Mapa da Corregedoria'!$A$12</f>
        <v>Analista Judiciário(Á. Apoio Especializado-Informática)</v>
      </c>
      <c r="E782" s="584">
        <f>'Mapa da Corregedoria'!$BA12</f>
        <v>0</v>
      </c>
      <c r="F782" s="584" t="s">
        <v>159</v>
      </c>
      <c r="G782" s="584" t="s">
        <v>1321</v>
      </c>
    </row>
    <row r="783" spans="1:7" ht="14.25" customHeight="1" x14ac:dyDescent="0.25">
      <c r="A783" s="584" t="str">
        <f>'Mapa da Corregedoria'!BA$6</f>
        <v xml:space="preserve">Subdiretoria do Foro </v>
      </c>
      <c r="B783" s="584" t="s">
        <v>1235</v>
      </c>
      <c r="C783" s="584" t="s">
        <v>3572</v>
      </c>
      <c r="D783" s="584" t="str">
        <f>'Mapa da Corregedoria'!$A$13</f>
        <v>Analista Judiciário(Á. Apoio Especializado-Informática-Desenvolvimento)</v>
      </c>
      <c r="E783" s="584">
        <f>'Mapa da Corregedoria'!$BA13</f>
        <v>0</v>
      </c>
      <c r="F783" s="584" t="s">
        <v>159</v>
      </c>
      <c r="G783" s="584" t="s">
        <v>1321</v>
      </c>
    </row>
    <row r="784" spans="1:7" ht="14.25" customHeight="1" x14ac:dyDescent="0.25">
      <c r="A784" s="584" t="str">
        <f>'Mapa da Corregedoria'!BA$6</f>
        <v xml:space="preserve">Subdiretoria do Foro </v>
      </c>
      <c r="B784" s="584" t="s">
        <v>1235</v>
      </c>
      <c r="C784" s="584" t="s">
        <v>3572</v>
      </c>
      <c r="D784" s="584" t="str">
        <f>'Mapa da Corregedoria'!$A$14</f>
        <v>Analista Judiciário(Á. Apoio Especializado-Informática-Infraestrutura)</v>
      </c>
      <c r="E784" s="584">
        <f>'Mapa da Corregedoria'!$BA14</f>
        <v>0</v>
      </c>
      <c r="F784" s="584" t="s">
        <v>159</v>
      </c>
      <c r="G784" s="584" t="s">
        <v>1321</v>
      </c>
    </row>
    <row r="785" spans="1:7" ht="14.25" customHeight="1" x14ac:dyDescent="0.25">
      <c r="A785" s="584" t="str">
        <f>'Mapa da Corregedoria'!BA$6</f>
        <v xml:space="preserve">Subdiretoria do Foro </v>
      </c>
      <c r="B785" s="584" t="s">
        <v>1235</v>
      </c>
      <c r="C785" s="584" t="s">
        <v>3572</v>
      </c>
      <c r="D785" s="584" t="str">
        <f>'Mapa da Corregedoria'!$A$15</f>
        <v>Analista Judiciário(Á. Apoio Especializado-Medicina-Cliníca Médica)</v>
      </c>
      <c r="E785" s="584">
        <f>'Mapa da Corregedoria'!$BA15</f>
        <v>0</v>
      </c>
      <c r="F785" s="584" t="s">
        <v>159</v>
      </c>
      <c r="G785" s="584" t="s">
        <v>1321</v>
      </c>
    </row>
    <row r="786" spans="1:7" ht="14.25" customHeight="1" x14ac:dyDescent="0.25">
      <c r="A786" s="584" t="str">
        <f>'Mapa da Corregedoria'!BA$6</f>
        <v xml:space="preserve">Subdiretoria do Foro </v>
      </c>
      <c r="B786" s="584" t="s">
        <v>1235</v>
      </c>
      <c r="C786" s="584" t="s">
        <v>3572</v>
      </c>
      <c r="D786" s="584" t="str">
        <f>'Mapa da Corregedoria'!$A$16</f>
        <v>Analista Judiciário(Á. Apoio Especializado-Contadoria)</v>
      </c>
      <c r="E786" s="584">
        <f>'Mapa da Corregedoria'!$BA16</f>
        <v>0</v>
      </c>
      <c r="F786" s="584" t="s">
        <v>159</v>
      </c>
      <c r="G786" s="584" t="s">
        <v>1321</v>
      </c>
    </row>
    <row r="787" spans="1:7" ht="14.25" customHeight="1" x14ac:dyDescent="0.25">
      <c r="A787" s="584" t="str">
        <f>'Mapa da Corregedoria'!BA$6</f>
        <v xml:space="preserve">Subdiretoria do Foro </v>
      </c>
      <c r="B787" s="584" t="s">
        <v>1235</v>
      </c>
      <c r="C787" s="584" t="s">
        <v>3572</v>
      </c>
      <c r="D787" s="584" t="str">
        <f>'Mapa da Corregedoria'!$A$17</f>
        <v>Analista Judiciário(Á. Apoio Especializado- Engenharia Civil)</v>
      </c>
      <c r="E787" s="584">
        <f>'Mapa da Corregedoria'!$BA17</f>
        <v>0</v>
      </c>
      <c r="F787" s="584" t="s">
        <v>159</v>
      </c>
      <c r="G787" s="584" t="s">
        <v>1321</v>
      </c>
    </row>
    <row r="788" spans="1:7" ht="14.25" customHeight="1" x14ac:dyDescent="0.25">
      <c r="A788" s="584" t="str">
        <f>'Mapa da Corregedoria'!BA$6</f>
        <v xml:space="preserve">Subdiretoria do Foro </v>
      </c>
      <c r="B788" s="584" t="s">
        <v>1235</v>
      </c>
      <c r="C788" s="584" t="s">
        <v>3572</v>
      </c>
      <c r="D788" s="584" t="str">
        <f>'Mapa da Corregedoria'!$A$20</f>
        <v xml:space="preserve">Técnico Judiciário (Á. Administrativa)-inclusas as Especialidades Serviços de Portaria/Telefonia </v>
      </c>
      <c r="E788" s="584">
        <f>'Mapa da Corregedoria'!$BA20</f>
        <v>1</v>
      </c>
      <c r="F788" s="584" t="s">
        <v>159</v>
      </c>
      <c r="G788" s="584" t="s">
        <v>1321</v>
      </c>
    </row>
    <row r="789" spans="1:7" ht="14.25" customHeight="1" x14ac:dyDescent="0.25">
      <c r="A789" s="584" t="str">
        <f>'Mapa da Corregedoria'!BA$6</f>
        <v xml:space="preserve">Subdiretoria do Foro </v>
      </c>
      <c r="B789" s="584" t="s">
        <v>1235</v>
      </c>
      <c r="C789" s="584" t="s">
        <v>3572</v>
      </c>
      <c r="D789" s="584" t="str">
        <f>'Mapa da Corregedoria'!$A$21</f>
        <v>Técnico Judiciário(Á. Apoio Especializado- Informática)</v>
      </c>
      <c r="E789" s="584">
        <f>'Mapa da Corregedoria'!$BA21</f>
        <v>0</v>
      </c>
      <c r="F789" s="584" t="s">
        <v>159</v>
      </c>
      <c r="G789" s="584" t="s">
        <v>1321</v>
      </c>
    </row>
    <row r="790" spans="1:7" ht="14.25" customHeight="1" x14ac:dyDescent="0.25">
      <c r="A790" s="584" t="str">
        <f>'Mapa da Corregedoria'!BA$6</f>
        <v xml:space="preserve">Subdiretoria do Foro </v>
      </c>
      <c r="B790" s="584" t="s">
        <v>1235</v>
      </c>
      <c r="C790" s="584" t="s">
        <v>3572</v>
      </c>
      <c r="D790" s="584" t="str">
        <f>'Mapa da Corregedoria'!$A$24</f>
        <v>Técnico Judiciário (Á. Segurança e Transporte – Agente de Policia Judicial)</v>
      </c>
      <c r="E790" s="584">
        <f>'Mapa da Corregedoria'!$BA24</f>
        <v>0</v>
      </c>
      <c r="F790" s="584" t="s">
        <v>159</v>
      </c>
      <c r="G790" s="584" t="s">
        <v>1321</v>
      </c>
    </row>
    <row r="791" spans="1:7" ht="14.25" customHeight="1" x14ac:dyDescent="0.25">
      <c r="A791" s="584" t="str">
        <f>'Mapa da Corregedoria'!BA$6</f>
        <v xml:space="preserve">Subdiretoria do Foro </v>
      </c>
      <c r="B791" s="584" t="s">
        <v>1235</v>
      </c>
      <c r="C791" s="584" t="s">
        <v>3572</v>
      </c>
      <c r="D791" s="584" t="str">
        <f>'Mapa da Corregedoria'!$A$25</f>
        <v>Auxiliar Judiciário</v>
      </c>
      <c r="E791" s="584">
        <f>'Mapa da Corregedoria'!$BA25</f>
        <v>0</v>
      </c>
      <c r="F791" s="584" t="s">
        <v>159</v>
      </c>
      <c r="G791" s="584" t="s">
        <v>1321</v>
      </c>
    </row>
    <row r="792" spans="1:7" ht="14.25" customHeight="1" x14ac:dyDescent="0.25">
      <c r="A792" s="584" t="str">
        <f>'Mapa da Corregedoria'!BA$6</f>
        <v xml:space="preserve">Subdiretoria do Foro </v>
      </c>
      <c r="B792" s="584" t="s">
        <v>1235</v>
      </c>
      <c r="C792" s="584" t="s">
        <v>3572</v>
      </c>
      <c r="D792" s="584" t="str">
        <f>'Mapa da Corregedoria'!$A$27</f>
        <v>Requisitados</v>
      </c>
      <c r="E792" s="584">
        <f>'Mapa da Corregedoria'!$BA27</f>
        <v>0</v>
      </c>
      <c r="F792" s="584" t="str">
        <f>D792</f>
        <v>Requisitados</v>
      </c>
      <c r="G792" s="584" t="s">
        <v>1321</v>
      </c>
    </row>
    <row r="793" spans="1:7" ht="14.25" customHeight="1" x14ac:dyDescent="0.25">
      <c r="A793" s="584" t="str">
        <f>'Mapa da Corregedoria'!BA$6</f>
        <v xml:space="preserve">Subdiretoria do Foro </v>
      </c>
      <c r="B793" s="584" t="s">
        <v>1235</v>
      </c>
      <c r="C793" s="584" t="s">
        <v>3572</v>
      </c>
      <c r="D793" s="584" t="str">
        <f>'Mapa da Corregedoria'!$A$28</f>
        <v>Exercício Provisório (de outros órgãos)</v>
      </c>
      <c r="E793" s="584">
        <f>'Mapa da Corregedoria'!$BA28</f>
        <v>1</v>
      </c>
      <c r="F793" s="584" t="str">
        <f>D793</f>
        <v>Exercício Provisório (de outros órgãos)</v>
      </c>
      <c r="G793" s="584" t="s">
        <v>1321</v>
      </c>
    </row>
    <row r="794" spans="1:7" ht="14.25" customHeight="1" x14ac:dyDescent="0.25">
      <c r="A794" s="584" t="str">
        <f>'Mapa da Corregedoria'!BA$6</f>
        <v xml:space="preserve">Subdiretoria do Foro </v>
      </c>
      <c r="B794" s="584" t="s">
        <v>1235</v>
      </c>
      <c r="C794" s="584" t="s">
        <v>3572</v>
      </c>
      <c r="D794" s="584" t="str">
        <f>'Mapa da Corregedoria'!$A$29</f>
        <v>Removidos (de outros órgãos)</v>
      </c>
      <c r="E794" s="584">
        <f>'Mapa da Corregedoria'!$BA29</f>
        <v>0</v>
      </c>
      <c r="F794" s="584" t="str">
        <f>D794</f>
        <v>Removidos (de outros órgãos)</v>
      </c>
      <c r="G794" s="584" t="s">
        <v>1321</v>
      </c>
    </row>
    <row r="795" spans="1:7" ht="14.25" customHeight="1" x14ac:dyDescent="0.25">
      <c r="A795" s="584" t="str">
        <f>'Mapa da Corregedoria'!BA$6</f>
        <v xml:space="preserve">Subdiretoria do Foro </v>
      </c>
      <c r="B795" s="584" t="s">
        <v>1235</v>
      </c>
      <c r="C795" s="584" t="s">
        <v>3572</v>
      </c>
      <c r="D795" s="584" t="str">
        <f>'Mapa da Corregedoria'!$A$30</f>
        <v>Sem Vínculo</v>
      </c>
      <c r="E795" s="584">
        <f>'Mapa da Corregedoria'!$BA30</f>
        <v>0</v>
      </c>
      <c r="F795" s="584" t="str">
        <f>D795</f>
        <v>Sem Vínculo</v>
      </c>
      <c r="G795" s="584" t="s">
        <v>1321</v>
      </c>
    </row>
    <row r="796" spans="1:7" ht="14.25" customHeight="1" x14ac:dyDescent="0.25">
      <c r="A796" s="584" t="str">
        <f>'Mapa da Corregedoria'!BC$6</f>
        <v>34ª Vara</v>
      </c>
      <c r="B796" s="584" t="s">
        <v>120</v>
      </c>
      <c r="C796" s="584" t="s">
        <v>123</v>
      </c>
      <c r="D796" s="584" t="str">
        <f>'Mapa da Corregedoria'!$A$8</f>
        <v>Analista Judiciário(Á. Judiciária)</v>
      </c>
      <c r="E796" s="584">
        <f>'Mapa da Corregedoria'!$BC8</f>
        <v>4</v>
      </c>
      <c r="F796" s="584" t="s">
        <v>159</v>
      </c>
      <c r="G796" s="584" t="s">
        <v>1516</v>
      </c>
    </row>
    <row r="797" spans="1:7" ht="14.25" customHeight="1" x14ac:dyDescent="0.25">
      <c r="A797" s="584" t="str">
        <f>'Mapa da Corregedoria'!BC$6</f>
        <v>34ª Vara</v>
      </c>
      <c r="B797" s="584" t="s">
        <v>120</v>
      </c>
      <c r="C797" s="584" t="s">
        <v>123</v>
      </c>
      <c r="D797" s="584" t="str">
        <f>'Mapa da Corregedoria'!$A$9</f>
        <v>Analista Judiciário(Á. Administrativa)</v>
      </c>
      <c r="E797" s="584">
        <f>'Mapa da Corregedoria'!$BC9</f>
        <v>2</v>
      </c>
      <c r="F797" s="584" t="s">
        <v>159</v>
      </c>
      <c r="G797" s="584" t="s">
        <v>1516</v>
      </c>
    </row>
    <row r="798" spans="1:7" ht="14.25" customHeight="1" x14ac:dyDescent="0.25">
      <c r="A798" s="584" t="str">
        <f>'Mapa da Corregedoria'!BC$6</f>
        <v>34ª Vara</v>
      </c>
      <c r="B798" s="584" t="s">
        <v>120</v>
      </c>
      <c r="C798" s="584" t="s">
        <v>123</v>
      </c>
      <c r="D798" s="584" t="str">
        <f>'Mapa da Corregedoria'!$A$10</f>
        <v>Analista Judiciário (Esp.Oficial de Justiça Avaliador Federal)</v>
      </c>
      <c r="E798" s="584">
        <f>'Mapa da Corregedoria'!$BC10</f>
        <v>2</v>
      </c>
      <c r="F798" s="584" t="s">
        <v>159</v>
      </c>
      <c r="G798" s="584" t="s">
        <v>1516</v>
      </c>
    </row>
    <row r="799" spans="1:7" ht="14.25" customHeight="1" x14ac:dyDescent="0.25">
      <c r="A799" s="584" t="str">
        <f>'Mapa da Corregedoria'!BC$6</f>
        <v>34ª Vara</v>
      </c>
      <c r="B799" s="584" t="s">
        <v>120</v>
      </c>
      <c r="C799" s="584" t="s">
        <v>123</v>
      </c>
      <c r="D799" s="584" t="str">
        <f>'Mapa da Corregedoria'!$A$11</f>
        <v>Anal.Jud.(Á. Biblioteconomia)</v>
      </c>
      <c r="E799" s="584">
        <f>'Mapa da Corregedoria'!$BC11</f>
        <v>0</v>
      </c>
      <c r="F799" s="584" t="s">
        <v>159</v>
      </c>
      <c r="G799" s="584" t="s">
        <v>1516</v>
      </c>
    </row>
    <row r="800" spans="1:7" ht="14.25" customHeight="1" x14ac:dyDescent="0.25">
      <c r="A800" s="584" t="str">
        <f>'Mapa da Corregedoria'!BC$6</f>
        <v>34ª Vara</v>
      </c>
      <c r="B800" s="584" t="s">
        <v>120</v>
      </c>
      <c r="C800" s="584" t="s">
        <v>123</v>
      </c>
      <c r="D800" s="584" t="str">
        <f>'Mapa da Corregedoria'!$A$12</f>
        <v>Analista Judiciário(Á. Apoio Especializado-Informática)</v>
      </c>
      <c r="E800" s="584">
        <f>'Mapa da Corregedoria'!$BC12</f>
        <v>0</v>
      </c>
      <c r="F800" s="584" t="s">
        <v>159</v>
      </c>
      <c r="G800" s="584" t="s">
        <v>1516</v>
      </c>
    </row>
    <row r="801" spans="1:7" ht="14.25" customHeight="1" x14ac:dyDescent="0.25">
      <c r="A801" s="584" t="str">
        <f>'Mapa da Corregedoria'!BC$6</f>
        <v>34ª Vara</v>
      </c>
      <c r="B801" s="584" t="s">
        <v>120</v>
      </c>
      <c r="C801" s="584" t="s">
        <v>123</v>
      </c>
      <c r="D801" s="584" t="str">
        <f>'Mapa da Corregedoria'!$A$13</f>
        <v>Analista Judiciário(Á. Apoio Especializado-Informática-Desenvolvimento)</v>
      </c>
      <c r="E801" s="584">
        <f>'Mapa da Corregedoria'!$BC13</f>
        <v>0</v>
      </c>
      <c r="F801" s="584" t="s">
        <v>159</v>
      </c>
      <c r="G801" s="584" t="s">
        <v>1516</v>
      </c>
    </row>
    <row r="802" spans="1:7" ht="14.25" customHeight="1" x14ac:dyDescent="0.25">
      <c r="A802" s="584" t="str">
        <f>'Mapa da Corregedoria'!BC$6</f>
        <v>34ª Vara</v>
      </c>
      <c r="B802" s="584" t="s">
        <v>120</v>
      </c>
      <c r="C802" s="584" t="s">
        <v>123</v>
      </c>
      <c r="D802" s="584" t="str">
        <f>'Mapa da Corregedoria'!$A$14</f>
        <v>Analista Judiciário(Á. Apoio Especializado-Informática-Infraestrutura)</v>
      </c>
      <c r="E802" s="584">
        <f>'Mapa da Corregedoria'!$BC14</f>
        <v>0</v>
      </c>
      <c r="F802" s="584" t="s">
        <v>159</v>
      </c>
      <c r="G802" s="584" t="s">
        <v>1516</v>
      </c>
    </row>
    <row r="803" spans="1:7" ht="14.25" customHeight="1" x14ac:dyDescent="0.25">
      <c r="A803" s="584" t="str">
        <f>'Mapa da Corregedoria'!BC$6</f>
        <v>34ª Vara</v>
      </c>
      <c r="B803" s="584" t="s">
        <v>120</v>
      </c>
      <c r="C803" s="584" t="s">
        <v>123</v>
      </c>
      <c r="D803" s="584" t="str">
        <f>'Mapa da Corregedoria'!$A$15</f>
        <v>Analista Judiciário(Á. Apoio Especializado-Medicina-Cliníca Médica)</v>
      </c>
      <c r="E803" s="584">
        <f>'Mapa da Corregedoria'!$BC15</f>
        <v>0</v>
      </c>
      <c r="F803" s="584" t="s">
        <v>159</v>
      </c>
      <c r="G803" s="584" t="s">
        <v>1516</v>
      </c>
    </row>
    <row r="804" spans="1:7" ht="14.25" customHeight="1" x14ac:dyDescent="0.25">
      <c r="A804" s="584" t="str">
        <f>'Mapa da Corregedoria'!BC$6</f>
        <v>34ª Vara</v>
      </c>
      <c r="B804" s="584" t="s">
        <v>120</v>
      </c>
      <c r="C804" s="584" t="s">
        <v>123</v>
      </c>
      <c r="D804" s="584" t="str">
        <f>'Mapa da Corregedoria'!$A$16</f>
        <v>Analista Judiciário(Á. Apoio Especializado-Contadoria)</v>
      </c>
      <c r="E804" s="584">
        <f>'Mapa da Corregedoria'!$BC16</f>
        <v>0</v>
      </c>
      <c r="F804" s="584" t="s">
        <v>159</v>
      </c>
      <c r="G804" s="584" t="s">
        <v>1516</v>
      </c>
    </row>
    <row r="805" spans="1:7" ht="14.25" customHeight="1" x14ac:dyDescent="0.25">
      <c r="A805" s="584" t="str">
        <f>'Mapa da Corregedoria'!BC$6</f>
        <v>34ª Vara</v>
      </c>
      <c r="B805" s="584" t="s">
        <v>120</v>
      </c>
      <c r="C805" s="584" t="s">
        <v>123</v>
      </c>
      <c r="D805" s="584" t="str">
        <f>'Mapa da Corregedoria'!$A$17</f>
        <v>Analista Judiciário(Á. Apoio Especializado- Engenharia Civil)</v>
      </c>
      <c r="E805" s="584">
        <f>'Mapa da Corregedoria'!$BC17</f>
        <v>0</v>
      </c>
      <c r="F805" s="584" t="s">
        <v>159</v>
      </c>
      <c r="G805" s="584" t="s">
        <v>1516</v>
      </c>
    </row>
    <row r="806" spans="1:7" ht="14.25" customHeight="1" x14ac:dyDescent="0.25">
      <c r="A806" s="584" t="str">
        <f>'Mapa da Corregedoria'!BC$6</f>
        <v>34ª Vara</v>
      </c>
      <c r="B806" s="584" t="s">
        <v>120</v>
      </c>
      <c r="C806" s="584" t="s">
        <v>123</v>
      </c>
      <c r="D806" s="584" t="str">
        <f>'Mapa da Corregedoria'!$A$20</f>
        <v xml:space="preserve">Técnico Judiciário (Á. Administrativa)-inclusas as Especialidades Serviços de Portaria/Telefonia </v>
      </c>
      <c r="E806" s="584">
        <f>'Mapa da Corregedoria'!$BC20</f>
        <v>6</v>
      </c>
      <c r="F806" s="584" t="s">
        <v>159</v>
      </c>
      <c r="G806" s="584" t="s">
        <v>1516</v>
      </c>
    </row>
    <row r="807" spans="1:7" ht="14.25" customHeight="1" x14ac:dyDescent="0.25">
      <c r="A807" s="584" t="str">
        <f>'Mapa da Corregedoria'!BC$6</f>
        <v>34ª Vara</v>
      </c>
      <c r="B807" s="584" t="s">
        <v>120</v>
      </c>
      <c r="C807" s="584" t="s">
        <v>123</v>
      </c>
      <c r="D807" s="584" t="str">
        <f>'Mapa da Corregedoria'!$A$21</f>
        <v>Técnico Judiciário(Á. Apoio Especializado- Informática)</v>
      </c>
      <c r="E807" s="584">
        <f>'Mapa da Corregedoria'!$BC21</f>
        <v>0</v>
      </c>
      <c r="F807" s="584" t="s">
        <v>159</v>
      </c>
      <c r="G807" s="584" t="s">
        <v>1516</v>
      </c>
    </row>
    <row r="808" spans="1:7" ht="14.25" customHeight="1" x14ac:dyDescent="0.25">
      <c r="A808" s="584" t="str">
        <f>'Mapa da Corregedoria'!BC$6</f>
        <v>34ª Vara</v>
      </c>
      <c r="B808" s="584" t="s">
        <v>120</v>
      </c>
      <c r="C808" s="584" t="s">
        <v>123</v>
      </c>
      <c r="D808" s="584" t="str">
        <f>'Mapa da Corregedoria'!$A$24</f>
        <v>Técnico Judiciário (Á. Segurança e Transporte – Agente de Policia Judicial)</v>
      </c>
      <c r="E808" s="584">
        <f>'Mapa da Corregedoria'!$BC24</f>
        <v>2</v>
      </c>
      <c r="F808" s="584" t="s">
        <v>159</v>
      </c>
      <c r="G808" s="584" t="s">
        <v>1516</v>
      </c>
    </row>
    <row r="809" spans="1:7" ht="14.25" customHeight="1" x14ac:dyDescent="0.25">
      <c r="A809" s="584" t="str">
        <f>'Mapa da Corregedoria'!BC$6</f>
        <v>34ª Vara</v>
      </c>
      <c r="B809" s="584" t="s">
        <v>120</v>
      </c>
      <c r="C809" s="584" t="s">
        <v>123</v>
      </c>
      <c r="D809" s="584" t="str">
        <f>'Mapa da Corregedoria'!$A$25</f>
        <v>Auxiliar Judiciário</v>
      </c>
      <c r="E809" s="584">
        <f>'Mapa da Corregedoria'!$BC25</f>
        <v>0</v>
      </c>
      <c r="F809" s="584" t="s">
        <v>159</v>
      </c>
      <c r="G809" s="584" t="s">
        <v>1516</v>
      </c>
    </row>
    <row r="810" spans="1:7" ht="14.25" customHeight="1" x14ac:dyDescent="0.25">
      <c r="A810" s="584" t="str">
        <f>'Mapa da Corregedoria'!BC$6</f>
        <v>34ª Vara</v>
      </c>
      <c r="B810" s="584" t="s">
        <v>120</v>
      </c>
      <c r="C810" s="584" t="s">
        <v>123</v>
      </c>
      <c r="D810" s="584" t="str">
        <f>'Mapa da Corregedoria'!$A$27</f>
        <v>Requisitados</v>
      </c>
      <c r="E810" s="584">
        <f>'Mapa da Corregedoria'!$BC27</f>
        <v>1</v>
      </c>
      <c r="F810" s="584" t="str">
        <f>D810</f>
        <v>Requisitados</v>
      </c>
      <c r="G810" s="584" t="s">
        <v>1516</v>
      </c>
    </row>
    <row r="811" spans="1:7" ht="14.25" customHeight="1" x14ac:dyDescent="0.25">
      <c r="A811" s="584" t="str">
        <f>'Mapa da Corregedoria'!BC$6</f>
        <v>34ª Vara</v>
      </c>
      <c r="B811" s="584" t="s">
        <v>120</v>
      </c>
      <c r="C811" s="584" t="s">
        <v>123</v>
      </c>
      <c r="D811" s="584" t="str">
        <f>'Mapa da Corregedoria'!$A$28</f>
        <v>Exercício Provisório (de outros órgãos)</v>
      </c>
      <c r="E811" s="584">
        <f>'Mapa da Corregedoria'!$BC28</f>
        <v>0</v>
      </c>
      <c r="F811" s="584" t="str">
        <f>D811</f>
        <v>Exercício Provisório (de outros órgãos)</v>
      </c>
      <c r="G811" s="584" t="s">
        <v>1516</v>
      </c>
    </row>
    <row r="812" spans="1:7" ht="14.25" customHeight="1" x14ac:dyDescent="0.25">
      <c r="A812" s="584" t="str">
        <f>'Mapa da Corregedoria'!BC$6</f>
        <v>34ª Vara</v>
      </c>
      <c r="B812" s="584" t="s">
        <v>120</v>
      </c>
      <c r="C812" s="584" t="s">
        <v>123</v>
      </c>
      <c r="D812" s="584" t="str">
        <f>'Mapa da Corregedoria'!$A$29</f>
        <v>Removidos (de outros órgãos)</v>
      </c>
      <c r="E812" s="584">
        <f>'Mapa da Corregedoria'!$BC29</f>
        <v>1</v>
      </c>
      <c r="F812" s="584" t="str">
        <f>D812</f>
        <v>Removidos (de outros órgãos)</v>
      </c>
      <c r="G812" s="584" t="s">
        <v>1516</v>
      </c>
    </row>
    <row r="813" spans="1:7" ht="14.25" customHeight="1" x14ac:dyDescent="0.25">
      <c r="A813" s="584" t="str">
        <f>'Mapa da Corregedoria'!BC$6</f>
        <v>34ª Vara</v>
      </c>
      <c r="B813" s="584" t="s">
        <v>120</v>
      </c>
      <c r="C813" s="584" t="s">
        <v>123</v>
      </c>
      <c r="D813" s="584" t="str">
        <f>'Mapa da Corregedoria'!$A$30</f>
        <v>Sem Vínculo</v>
      </c>
      <c r="E813" s="584">
        <f>'Mapa da Corregedoria'!$BC30</f>
        <v>0</v>
      </c>
      <c r="F813" s="584" t="str">
        <f>D813</f>
        <v>Sem Vínculo</v>
      </c>
      <c r="G813" s="584" t="s">
        <v>1516</v>
      </c>
    </row>
    <row r="814" spans="1:7" ht="14.25" customHeight="1" x14ac:dyDescent="0.25">
      <c r="A814" s="584" t="str">
        <f>'Mapa da Corregedoria'!BD$6</f>
        <v>35ª Vara</v>
      </c>
      <c r="B814" s="584" t="s">
        <v>120</v>
      </c>
      <c r="C814" s="584" t="s">
        <v>123</v>
      </c>
      <c r="D814" s="584" t="str">
        <f>'Mapa da Corregedoria'!$A$8</f>
        <v>Analista Judiciário(Á. Judiciária)</v>
      </c>
      <c r="E814" s="584">
        <f>'Mapa da Corregedoria'!$BD8</f>
        <v>4</v>
      </c>
      <c r="F814" s="584" t="s">
        <v>159</v>
      </c>
      <c r="G814" s="584" t="s">
        <v>1516</v>
      </c>
    </row>
    <row r="815" spans="1:7" ht="14.25" customHeight="1" x14ac:dyDescent="0.25">
      <c r="A815" s="584" t="str">
        <f>'Mapa da Corregedoria'!BD$6</f>
        <v>35ª Vara</v>
      </c>
      <c r="B815" s="584" t="s">
        <v>120</v>
      </c>
      <c r="C815" s="584" t="s">
        <v>123</v>
      </c>
      <c r="D815" s="584" t="str">
        <f>'Mapa da Corregedoria'!$A$9</f>
        <v>Analista Judiciário(Á. Administrativa)</v>
      </c>
      <c r="E815" s="584">
        <f>'Mapa da Corregedoria'!$BD9</f>
        <v>0</v>
      </c>
      <c r="F815" s="584" t="s">
        <v>159</v>
      </c>
      <c r="G815" s="584" t="s">
        <v>1516</v>
      </c>
    </row>
    <row r="816" spans="1:7" ht="14.25" customHeight="1" x14ac:dyDescent="0.25">
      <c r="A816" s="584" t="str">
        <f>'Mapa da Corregedoria'!BD$6</f>
        <v>35ª Vara</v>
      </c>
      <c r="B816" s="584" t="s">
        <v>120</v>
      </c>
      <c r="C816" s="584" t="s">
        <v>123</v>
      </c>
      <c r="D816" s="584" t="str">
        <f>'Mapa da Corregedoria'!$A$10</f>
        <v>Analista Judiciário (Esp.Oficial de Justiça Avaliador Federal)</v>
      </c>
      <c r="E816" s="584">
        <f>'Mapa da Corregedoria'!$BD10</f>
        <v>1</v>
      </c>
      <c r="F816" s="584" t="s">
        <v>159</v>
      </c>
      <c r="G816" s="584" t="s">
        <v>1516</v>
      </c>
    </row>
    <row r="817" spans="1:7" ht="14.25" customHeight="1" x14ac:dyDescent="0.25">
      <c r="A817" s="584" t="str">
        <f>'Mapa da Corregedoria'!BD$6</f>
        <v>35ª Vara</v>
      </c>
      <c r="B817" s="584" t="s">
        <v>120</v>
      </c>
      <c r="C817" s="584" t="s">
        <v>123</v>
      </c>
      <c r="D817" s="584" t="str">
        <f>'Mapa da Corregedoria'!$A$11</f>
        <v>Anal.Jud.(Á. Biblioteconomia)</v>
      </c>
      <c r="E817" s="584">
        <f>'Mapa da Corregedoria'!$BD11</f>
        <v>0</v>
      </c>
      <c r="F817" s="584" t="s">
        <v>159</v>
      </c>
      <c r="G817" s="584" t="s">
        <v>1516</v>
      </c>
    </row>
    <row r="818" spans="1:7" ht="14.25" customHeight="1" x14ac:dyDescent="0.25">
      <c r="A818" s="584" t="str">
        <f>'Mapa da Corregedoria'!BD$6</f>
        <v>35ª Vara</v>
      </c>
      <c r="B818" s="584" t="s">
        <v>120</v>
      </c>
      <c r="C818" s="584" t="s">
        <v>123</v>
      </c>
      <c r="D818" s="584" t="str">
        <f>'Mapa da Corregedoria'!$A$12</f>
        <v>Analista Judiciário(Á. Apoio Especializado-Informática)</v>
      </c>
      <c r="E818" s="584">
        <f>'Mapa da Corregedoria'!$BD12</f>
        <v>0</v>
      </c>
      <c r="F818" s="584" t="s">
        <v>159</v>
      </c>
      <c r="G818" s="584" t="s">
        <v>1516</v>
      </c>
    </row>
    <row r="819" spans="1:7" ht="14.25" customHeight="1" x14ac:dyDescent="0.25">
      <c r="A819" s="584" t="str">
        <f>'Mapa da Corregedoria'!BD$6</f>
        <v>35ª Vara</v>
      </c>
      <c r="B819" s="584" t="s">
        <v>120</v>
      </c>
      <c r="C819" s="584" t="s">
        <v>123</v>
      </c>
      <c r="D819" s="584" t="str">
        <f>'Mapa da Corregedoria'!$A$13</f>
        <v>Analista Judiciário(Á. Apoio Especializado-Informática-Desenvolvimento)</v>
      </c>
      <c r="E819" s="584">
        <f>'Mapa da Corregedoria'!$BD13</f>
        <v>0</v>
      </c>
      <c r="F819" s="584" t="s">
        <v>159</v>
      </c>
      <c r="G819" s="584" t="s">
        <v>1516</v>
      </c>
    </row>
    <row r="820" spans="1:7" ht="14.25" customHeight="1" x14ac:dyDescent="0.25">
      <c r="A820" s="584" t="str">
        <f>'Mapa da Corregedoria'!BD$6</f>
        <v>35ª Vara</v>
      </c>
      <c r="B820" s="584" t="s">
        <v>120</v>
      </c>
      <c r="C820" s="584" t="s">
        <v>123</v>
      </c>
      <c r="D820" s="584" t="str">
        <f>'Mapa da Corregedoria'!$A$14</f>
        <v>Analista Judiciário(Á. Apoio Especializado-Informática-Infraestrutura)</v>
      </c>
      <c r="E820" s="584">
        <f>'Mapa da Corregedoria'!$BD14</f>
        <v>0</v>
      </c>
      <c r="F820" s="584" t="s">
        <v>159</v>
      </c>
      <c r="G820" s="584" t="s">
        <v>1516</v>
      </c>
    </row>
    <row r="821" spans="1:7" ht="14.25" customHeight="1" x14ac:dyDescent="0.25">
      <c r="A821" s="584" t="str">
        <f>'Mapa da Corregedoria'!BD$6</f>
        <v>35ª Vara</v>
      </c>
      <c r="B821" s="584" t="s">
        <v>120</v>
      </c>
      <c r="C821" s="584" t="s">
        <v>123</v>
      </c>
      <c r="D821" s="584" t="str">
        <f>'Mapa da Corregedoria'!$A$15</f>
        <v>Analista Judiciário(Á. Apoio Especializado-Medicina-Cliníca Médica)</v>
      </c>
      <c r="E821" s="584">
        <f>'Mapa da Corregedoria'!$BD15</f>
        <v>0</v>
      </c>
      <c r="F821" s="584" t="s">
        <v>159</v>
      </c>
      <c r="G821" s="584" t="s">
        <v>1516</v>
      </c>
    </row>
    <row r="822" spans="1:7" ht="14.25" customHeight="1" x14ac:dyDescent="0.25">
      <c r="A822" s="584" t="str">
        <f>'Mapa da Corregedoria'!BD$6</f>
        <v>35ª Vara</v>
      </c>
      <c r="B822" s="584" t="s">
        <v>120</v>
      </c>
      <c r="C822" s="584" t="s">
        <v>123</v>
      </c>
      <c r="D822" s="584" t="str">
        <f>'Mapa da Corregedoria'!$A$16</f>
        <v>Analista Judiciário(Á. Apoio Especializado-Contadoria)</v>
      </c>
      <c r="E822" s="584">
        <f>'Mapa da Corregedoria'!$BD16</f>
        <v>0</v>
      </c>
      <c r="F822" s="584" t="s">
        <v>159</v>
      </c>
      <c r="G822" s="584" t="s">
        <v>1516</v>
      </c>
    </row>
    <row r="823" spans="1:7" ht="14.25" customHeight="1" x14ac:dyDescent="0.25">
      <c r="A823" s="584" t="str">
        <f>'Mapa da Corregedoria'!BD$6</f>
        <v>35ª Vara</v>
      </c>
      <c r="B823" s="584" t="s">
        <v>120</v>
      </c>
      <c r="C823" s="584" t="s">
        <v>123</v>
      </c>
      <c r="D823" s="584" t="str">
        <f>'Mapa da Corregedoria'!$A$17</f>
        <v>Analista Judiciário(Á. Apoio Especializado- Engenharia Civil)</v>
      </c>
      <c r="E823" s="584">
        <f>'Mapa da Corregedoria'!$BD17</f>
        <v>0</v>
      </c>
      <c r="F823" s="584" t="s">
        <v>159</v>
      </c>
      <c r="G823" s="584" t="s">
        <v>1516</v>
      </c>
    </row>
    <row r="824" spans="1:7" ht="14.25" customHeight="1" x14ac:dyDescent="0.25">
      <c r="A824" s="584" t="str">
        <f>'Mapa da Corregedoria'!BD$6</f>
        <v>35ª Vara</v>
      </c>
      <c r="B824" s="584" t="s">
        <v>120</v>
      </c>
      <c r="C824" s="584" t="s">
        <v>123</v>
      </c>
      <c r="D824" s="584" t="str">
        <f>'Mapa da Corregedoria'!$A$20</f>
        <v xml:space="preserve">Técnico Judiciário (Á. Administrativa)-inclusas as Especialidades Serviços de Portaria/Telefonia </v>
      </c>
      <c r="E824" s="584">
        <f>'Mapa da Corregedoria'!$BD20</f>
        <v>9</v>
      </c>
      <c r="F824" s="584" t="s">
        <v>159</v>
      </c>
      <c r="G824" s="584" t="s">
        <v>1516</v>
      </c>
    </row>
    <row r="825" spans="1:7" ht="14.25" customHeight="1" x14ac:dyDescent="0.25">
      <c r="A825" s="584" t="str">
        <f>'Mapa da Corregedoria'!BD$6</f>
        <v>35ª Vara</v>
      </c>
      <c r="B825" s="584" t="s">
        <v>120</v>
      </c>
      <c r="C825" s="584" t="s">
        <v>123</v>
      </c>
      <c r="D825" s="584" t="str">
        <f>'Mapa da Corregedoria'!$A$21</f>
        <v>Técnico Judiciário(Á. Apoio Especializado- Informática)</v>
      </c>
      <c r="E825" s="584">
        <f>'Mapa da Corregedoria'!$BD21</f>
        <v>0</v>
      </c>
      <c r="F825" s="584" t="s">
        <v>159</v>
      </c>
      <c r="G825" s="584" t="s">
        <v>1516</v>
      </c>
    </row>
    <row r="826" spans="1:7" ht="14.25" customHeight="1" x14ac:dyDescent="0.25">
      <c r="A826" s="584" t="str">
        <f>'Mapa da Corregedoria'!BD$6</f>
        <v>35ª Vara</v>
      </c>
      <c r="B826" s="584" t="s">
        <v>120</v>
      </c>
      <c r="C826" s="584" t="s">
        <v>123</v>
      </c>
      <c r="D826" s="584" t="str">
        <f>'Mapa da Corregedoria'!$A$24</f>
        <v>Técnico Judiciário (Á. Segurança e Transporte – Agente de Policia Judicial)</v>
      </c>
      <c r="E826" s="584">
        <f>'Mapa da Corregedoria'!$BD24</f>
        <v>2</v>
      </c>
      <c r="F826" s="584" t="s">
        <v>159</v>
      </c>
      <c r="G826" s="584" t="s">
        <v>1516</v>
      </c>
    </row>
    <row r="827" spans="1:7" ht="14.25" customHeight="1" x14ac:dyDescent="0.25">
      <c r="A827" s="584" t="str">
        <f>'Mapa da Corregedoria'!BD$6</f>
        <v>35ª Vara</v>
      </c>
      <c r="B827" s="584" t="s">
        <v>120</v>
      </c>
      <c r="C827" s="584" t="s">
        <v>123</v>
      </c>
      <c r="D827" s="584" t="str">
        <f>'Mapa da Corregedoria'!$A$25</f>
        <v>Auxiliar Judiciário</v>
      </c>
      <c r="E827" s="584">
        <f>'Mapa da Corregedoria'!$BD25</f>
        <v>0</v>
      </c>
      <c r="F827" s="584" t="s">
        <v>159</v>
      </c>
      <c r="G827" s="584" t="s">
        <v>1516</v>
      </c>
    </row>
    <row r="828" spans="1:7" ht="14.25" customHeight="1" x14ac:dyDescent="0.25">
      <c r="A828" s="584" t="str">
        <f>'Mapa da Corregedoria'!BD$6</f>
        <v>35ª Vara</v>
      </c>
      <c r="B828" s="584" t="s">
        <v>120</v>
      </c>
      <c r="C828" s="584" t="s">
        <v>123</v>
      </c>
      <c r="D828" s="584" t="str">
        <f>'Mapa da Corregedoria'!$A$27</f>
        <v>Requisitados</v>
      </c>
      <c r="E828" s="584">
        <f>'Mapa da Corregedoria'!$BD27</f>
        <v>0</v>
      </c>
      <c r="F828" s="584" t="str">
        <f>D828</f>
        <v>Requisitados</v>
      </c>
      <c r="G828" s="584" t="s">
        <v>1516</v>
      </c>
    </row>
    <row r="829" spans="1:7" ht="14.25" customHeight="1" x14ac:dyDescent="0.25">
      <c r="A829" s="584" t="str">
        <f>'Mapa da Corregedoria'!BD$6</f>
        <v>35ª Vara</v>
      </c>
      <c r="B829" s="584" t="s">
        <v>120</v>
      </c>
      <c r="C829" s="584" t="s">
        <v>123</v>
      </c>
      <c r="D829" s="584" t="str">
        <f>'Mapa da Corregedoria'!$A$28</f>
        <v>Exercício Provisório (de outros órgãos)</v>
      </c>
      <c r="E829" s="584">
        <f>'Mapa da Corregedoria'!$BD28</f>
        <v>0</v>
      </c>
      <c r="F829" s="584" t="str">
        <f>D829</f>
        <v>Exercício Provisório (de outros órgãos)</v>
      </c>
      <c r="G829" s="584" t="s">
        <v>1516</v>
      </c>
    </row>
    <row r="830" spans="1:7" ht="14.25" customHeight="1" x14ac:dyDescent="0.25">
      <c r="A830" s="584" t="str">
        <f>'Mapa da Corregedoria'!BD$6</f>
        <v>35ª Vara</v>
      </c>
      <c r="B830" s="584" t="s">
        <v>120</v>
      </c>
      <c r="C830" s="584" t="s">
        <v>123</v>
      </c>
      <c r="D830" s="584" t="str">
        <f>'Mapa da Corregedoria'!$A$29</f>
        <v>Removidos (de outros órgãos)</v>
      </c>
      <c r="E830" s="584">
        <f>'Mapa da Corregedoria'!$BD29</f>
        <v>1</v>
      </c>
      <c r="F830" s="584" t="str">
        <f>D830</f>
        <v>Removidos (de outros órgãos)</v>
      </c>
      <c r="G830" s="584" t="s">
        <v>1516</v>
      </c>
    </row>
    <row r="831" spans="1:7" ht="14.25" customHeight="1" x14ac:dyDescent="0.25">
      <c r="A831" s="584" t="str">
        <f>'Mapa da Corregedoria'!BD$6</f>
        <v>35ª Vara</v>
      </c>
      <c r="B831" s="584" t="s">
        <v>120</v>
      </c>
      <c r="C831" s="584" t="s">
        <v>123</v>
      </c>
      <c r="D831" s="584" t="str">
        <f>'Mapa da Corregedoria'!$A$30</f>
        <v>Sem Vínculo</v>
      </c>
      <c r="E831" s="584">
        <f>'Mapa da Corregedoria'!$BD30</f>
        <v>0</v>
      </c>
      <c r="F831" s="584" t="str">
        <f>D831</f>
        <v>Sem Vínculo</v>
      </c>
      <c r="G831" s="584" t="s">
        <v>1516</v>
      </c>
    </row>
    <row r="832" spans="1:7" ht="14.25" customHeight="1" x14ac:dyDescent="0.25">
      <c r="A832" s="584" t="str">
        <f>'Mapa da Corregedoria'!BE$6</f>
        <v>Subdiretoria do Foro</v>
      </c>
      <c r="B832" s="584" t="s">
        <v>1235</v>
      </c>
      <c r="C832" s="584" t="s">
        <v>3572</v>
      </c>
      <c r="D832" s="584" t="str">
        <f>'Mapa da Corregedoria'!$A$8</f>
        <v>Analista Judiciário(Á. Judiciária)</v>
      </c>
      <c r="E832" s="584">
        <f>'Mapa da Corregedoria'!$BE8</f>
        <v>0</v>
      </c>
      <c r="F832" s="584" t="s">
        <v>159</v>
      </c>
      <c r="G832" s="584" t="s">
        <v>1516</v>
      </c>
    </row>
    <row r="833" spans="1:7" ht="14.25" customHeight="1" x14ac:dyDescent="0.25">
      <c r="A833" s="584" t="str">
        <f>'Mapa da Corregedoria'!BE$6</f>
        <v>Subdiretoria do Foro</v>
      </c>
      <c r="B833" s="584" t="s">
        <v>1235</v>
      </c>
      <c r="C833" s="584" t="s">
        <v>3572</v>
      </c>
      <c r="D833" s="584" t="str">
        <f>'Mapa da Corregedoria'!$A$9</f>
        <v>Analista Judiciário(Á. Administrativa)</v>
      </c>
      <c r="E833" s="584">
        <f>'Mapa da Corregedoria'!$BE9</f>
        <v>0</v>
      </c>
      <c r="F833" s="584" t="s">
        <v>159</v>
      </c>
      <c r="G833" s="584" t="s">
        <v>1516</v>
      </c>
    </row>
    <row r="834" spans="1:7" ht="14.25" customHeight="1" x14ac:dyDescent="0.25">
      <c r="A834" s="584" t="str">
        <f>'Mapa da Corregedoria'!BE$6</f>
        <v>Subdiretoria do Foro</v>
      </c>
      <c r="B834" s="584" t="s">
        <v>1235</v>
      </c>
      <c r="C834" s="584" t="s">
        <v>3572</v>
      </c>
      <c r="D834" s="584" t="str">
        <f>'Mapa da Corregedoria'!$A$10</f>
        <v>Analista Judiciário (Esp.Oficial de Justiça Avaliador Federal)</v>
      </c>
      <c r="E834" s="584">
        <f>'Mapa da Corregedoria'!$BE10</f>
        <v>0</v>
      </c>
      <c r="F834" s="584" t="s">
        <v>159</v>
      </c>
      <c r="G834" s="584" t="s">
        <v>1516</v>
      </c>
    </row>
    <row r="835" spans="1:7" ht="14.25" customHeight="1" x14ac:dyDescent="0.25">
      <c r="A835" s="584" t="str">
        <f>'Mapa da Corregedoria'!BE$6</f>
        <v>Subdiretoria do Foro</v>
      </c>
      <c r="B835" s="584" t="s">
        <v>1235</v>
      </c>
      <c r="C835" s="584" t="s">
        <v>3572</v>
      </c>
      <c r="D835" s="584" t="str">
        <f>'Mapa da Corregedoria'!$A$11</f>
        <v>Anal.Jud.(Á. Biblioteconomia)</v>
      </c>
      <c r="E835" s="584">
        <f>'Mapa da Corregedoria'!$BE11</f>
        <v>0</v>
      </c>
      <c r="F835" s="584" t="s">
        <v>159</v>
      </c>
      <c r="G835" s="584" t="s">
        <v>1516</v>
      </c>
    </row>
    <row r="836" spans="1:7" ht="14.25" customHeight="1" x14ac:dyDescent="0.25">
      <c r="A836" s="584" t="str">
        <f>'Mapa da Corregedoria'!BE$6</f>
        <v>Subdiretoria do Foro</v>
      </c>
      <c r="B836" s="584" t="s">
        <v>1235</v>
      </c>
      <c r="C836" s="584" t="s">
        <v>3572</v>
      </c>
      <c r="D836" s="584" t="str">
        <f>'Mapa da Corregedoria'!$A$12</f>
        <v>Analista Judiciário(Á. Apoio Especializado-Informática)</v>
      </c>
      <c r="E836" s="584">
        <f>'Mapa da Corregedoria'!$BE12</f>
        <v>0</v>
      </c>
      <c r="F836" s="584" t="s">
        <v>159</v>
      </c>
      <c r="G836" s="584" t="s">
        <v>1516</v>
      </c>
    </row>
    <row r="837" spans="1:7" ht="14.25" customHeight="1" x14ac:dyDescent="0.25">
      <c r="A837" s="584" t="str">
        <f>'Mapa da Corregedoria'!BE$6</f>
        <v>Subdiretoria do Foro</v>
      </c>
      <c r="B837" s="584" t="s">
        <v>1235</v>
      </c>
      <c r="C837" s="584" t="s">
        <v>3572</v>
      </c>
      <c r="D837" s="584" t="str">
        <f>'Mapa da Corregedoria'!$A$13</f>
        <v>Analista Judiciário(Á. Apoio Especializado-Informática-Desenvolvimento)</v>
      </c>
      <c r="E837" s="584">
        <f>'Mapa da Corregedoria'!$BE13</f>
        <v>0</v>
      </c>
      <c r="F837" s="584" t="s">
        <v>159</v>
      </c>
      <c r="G837" s="584" t="s">
        <v>1516</v>
      </c>
    </row>
    <row r="838" spans="1:7" ht="14.25" customHeight="1" x14ac:dyDescent="0.25">
      <c r="A838" s="584" t="str">
        <f>'Mapa da Corregedoria'!BE$6</f>
        <v>Subdiretoria do Foro</v>
      </c>
      <c r="B838" s="584" t="s">
        <v>1235</v>
      </c>
      <c r="C838" s="584" t="s">
        <v>3572</v>
      </c>
      <c r="D838" s="584" t="str">
        <f>'Mapa da Corregedoria'!$A$14</f>
        <v>Analista Judiciário(Á. Apoio Especializado-Informática-Infraestrutura)</v>
      </c>
      <c r="E838" s="584">
        <f>'Mapa da Corregedoria'!$BE14</f>
        <v>0</v>
      </c>
      <c r="F838" s="584" t="s">
        <v>159</v>
      </c>
      <c r="G838" s="584" t="s">
        <v>1516</v>
      </c>
    </row>
    <row r="839" spans="1:7" ht="14.25" customHeight="1" x14ac:dyDescent="0.25">
      <c r="A839" s="584" t="str">
        <f>'Mapa da Corregedoria'!BE$6</f>
        <v>Subdiretoria do Foro</v>
      </c>
      <c r="B839" s="584" t="s">
        <v>1235</v>
      </c>
      <c r="C839" s="584" t="s">
        <v>3572</v>
      </c>
      <c r="D839" s="584" t="str">
        <f>'Mapa da Corregedoria'!$A$15</f>
        <v>Analista Judiciário(Á. Apoio Especializado-Medicina-Cliníca Médica)</v>
      </c>
      <c r="E839" s="584">
        <f>'Mapa da Corregedoria'!$BE15</f>
        <v>0</v>
      </c>
      <c r="F839" s="584" t="s">
        <v>159</v>
      </c>
      <c r="G839" s="584" t="s">
        <v>1516</v>
      </c>
    </row>
    <row r="840" spans="1:7" ht="14.25" customHeight="1" x14ac:dyDescent="0.25">
      <c r="A840" s="584" t="str">
        <f>'Mapa da Corregedoria'!BE$6</f>
        <v>Subdiretoria do Foro</v>
      </c>
      <c r="B840" s="584" t="s">
        <v>1235</v>
      </c>
      <c r="C840" s="584" t="s">
        <v>3572</v>
      </c>
      <c r="D840" s="584" t="str">
        <f>'Mapa da Corregedoria'!$A$16</f>
        <v>Analista Judiciário(Á. Apoio Especializado-Contadoria)</v>
      </c>
      <c r="E840" s="584">
        <f>'Mapa da Corregedoria'!$BE16</f>
        <v>0</v>
      </c>
      <c r="F840" s="584" t="s">
        <v>159</v>
      </c>
      <c r="G840" s="584" t="s">
        <v>1516</v>
      </c>
    </row>
    <row r="841" spans="1:7" ht="14.25" customHeight="1" x14ac:dyDescent="0.25">
      <c r="A841" s="584" t="str">
        <f>'Mapa da Corregedoria'!BE$6</f>
        <v>Subdiretoria do Foro</v>
      </c>
      <c r="B841" s="584" t="s">
        <v>1235</v>
      </c>
      <c r="C841" s="584" t="s">
        <v>3572</v>
      </c>
      <c r="D841" s="584" t="str">
        <f>'Mapa da Corregedoria'!$A$17</f>
        <v>Analista Judiciário(Á. Apoio Especializado- Engenharia Civil)</v>
      </c>
      <c r="E841" s="584">
        <f>'Mapa da Corregedoria'!$BE17</f>
        <v>0</v>
      </c>
      <c r="F841" s="584" t="s">
        <v>159</v>
      </c>
      <c r="G841" s="584" t="s">
        <v>1516</v>
      </c>
    </row>
    <row r="842" spans="1:7" ht="14.25" customHeight="1" x14ac:dyDescent="0.25">
      <c r="A842" s="584" t="str">
        <f>'Mapa da Corregedoria'!BE$6</f>
        <v>Subdiretoria do Foro</v>
      </c>
      <c r="B842" s="584" t="s">
        <v>1235</v>
      </c>
      <c r="C842" s="584" t="s">
        <v>3572</v>
      </c>
      <c r="D842" s="584" t="str">
        <f>'Mapa da Corregedoria'!$A$20</f>
        <v xml:space="preserve">Técnico Judiciário (Á. Administrativa)-inclusas as Especialidades Serviços de Portaria/Telefonia </v>
      </c>
      <c r="E842" s="584">
        <f>'Mapa da Corregedoria'!$BE20</f>
        <v>2</v>
      </c>
      <c r="F842" s="584" t="s">
        <v>159</v>
      </c>
      <c r="G842" s="584" t="s">
        <v>1516</v>
      </c>
    </row>
    <row r="843" spans="1:7" ht="14.25" customHeight="1" x14ac:dyDescent="0.25">
      <c r="A843" s="584" t="str">
        <f>'Mapa da Corregedoria'!BE$6</f>
        <v>Subdiretoria do Foro</v>
      </c>
      <c r="B843" s="584" t="s">
        <v>1235</v>
      </c>
      <c r="C843" s="584" t="s">
        <v>3572</v>
      </c>
      <c r="D843" s="584" t="str">
        <f>'Mapa da Corregedoria'!$A$21</f>
        <v>Técnico Judiciário(Á. Apoio Especializado- Informática)</v>
      </c>
      <c r="E843" s="584">
        <f>'Mapa da Corregedoria'!$BE21</f>
        <v>0</v>
      </c>
      <c r="F843" s="584" t="s">
        <v>159</v>
      </c>
      <c r="G843" s="584" t="s">
        <v>1516</v>
      </c>
    </row>
    <row r="844" spans="1:7" ht="14.25" customHeight="1" x14ac:dyDescent="0.25">
      <c r="A844" s="584" t="str">
        <f>'Mapa da Corregedoria'!BE$6</f>
        <v>Subdiretoria do Foro</v>
      </c>
      <c r="B844" s="584" t="s">
        <v>1235</v>
      </c>
      <c r="C844" s="584" t="s">
        <v>3572</v>
      </c>
      <c r="D844" s="584" t="str">
        <f>'Mapa da Corregedoria'!$A$24</f>
        <v>Técnico Judiciário (Á. Segurança e Transporte – Agente de Policia Judicial)</v>
      </c>
      <c r="E844" s="584">
        <f>'Mapa da Corregedoria'!$BE24</f>
        <v>1</v>
      </c>
      <c r="F844" s="584" t="s">
        <v>159</v>
      </c>
      <c r="G844" s="584" t="s">
        <v>1516</v>
      </c>
    </row>
    <row r="845" spans="1:7" ht="14.25" customHeight="1" x14ac:dyDescent="0.25">
      <c r="A845" s="584" t="str">
        <f>'Mapa da Corregedoria'!BE$6</f>
        <v>Subdiretoria do Foro</v>
      </c>
      <c r="B845" s="584" t="s">
        <v>1235</v>
      </c>
      <c r="C845" s="584" t="s">
        <v>3572</v>
      </c>
      <c r="D845" s="584" t="str">
        <f>'Mapa da Corregedoria'!$A$25</f>
        <v>Auxiliar Judiciário</v>
      </c>
      <c r="E845" s="584">
        <f>'Mapa da Corregedoria'!$BE25</f>
        <v>0</v>
      </c>
      <c r="F845" s="584" t="s">
        <v>159</v>
      </c>
      <c r="G845" s="584" t="s">
        <v>1516</v>
      </c>
    </row>
    <row r="846" spans="1:7" ht="14.25" customHeight="1" x14ac:dyDescent="0.25">
      <c r="A846" s="584" t="str">
        <f>'Mapa da Corregedoria'!BE$6</f>
        <v>Subdiretoria do Foro</v>
      </c>
      <c r="B846" s="584" t="s">
        <v>1235</v>
      </c>
      <c r="C846" s="584" t="s">
        <v>3572</v>
      </c>
      <c r="D846" s="584" t="str">
        <f>'Mapa da Corregedoria'!$A$27</f>
        <v>Requisitados</v>
      </c>
      <c r="E846" s="584">
        <f>'Mapa da Corregedoria'!$BE27</f>
        <v>0</v>
      </c>
      <c r="F846" s="584" t="str">
        <f>D846</f>
        <v>Requisitados</v>
      </c>
      <c r="G846" s="584" t="s">
        <v>1516</v>
      </c>
    </row>
    <row r="847" spans="1:7" ht="14.25" customHeight="1" x14ac:dyDescent="0.25">
      <c r="A847" s="584" t="str">
        <f>'Mapa da Corregedoria'!BE$6</f>
        <v>Subdiretoria do Foro</v>
      </c>
      <c r="B847" s="584" t="s">
        <v>1235</v>
      </c>
      <c r="C847" s="584" t="s">
        <v>3572</v>
      </c>
      <c r="D847" s="584" t="str">
        <f>'Mapa da Corregedoria'!$A$28</f>
        <v>Exercício Provisório (de outros órgãos)</v>
      </c>
      <c r="E847" s="584">
        <f>'Mapa da Corregedoria'!$BE28</f>
        <v>0</v>
      </c>
      <c r="F847" s="584" t="str">
        <f>D847</f>
        <v>Exercício Provisório (de outros órgãos)</v>
      </c>
      <c r="G847" s="584" t="s">
        <v>1516</v>
      </c>
    </row>
    <row r="848" spans="1:7" ht="14.25" customHeight="1" x14ac:dyDescent="0.25">
      <c r="A848" s="584" t="str">
        <f>'Mapa da Corregedoria'!BE$6</f>
        <v>Subdiretoria do Foro</v>
      </c>
      <c r="B848" s="584" t="s">
        <v>1235</v>
      </c>
      <c r="C848" s="584" t="s">
        <v>3572</v>
      </c>
      <c r="D848" s="584" t="str">
        <f>'Mapa da Corregedoria'!$A$29</f>
        <v>Removidos (de outros órgãos)</v>
      </c>
      <c r="E848" s="584">
        <f>'Mapa da Corregedoria'!$BE29</f>
        <v>0</v>
      </c>
      <c r="F848" s="584" t="str">
        <f>D848</f>
        <v>Removidos (de outros órgãos)</v>
      </c>
      <c r="G848" s="584" t="s">
        <v>1516</v>
      </c>
    </row>
    <row r="849" spans="1:7" ht="14.25" customHeight="1" x14ac:dyDescent="0.25">
      <c r="A849" s="584" t="str">
        <f>'Mapa da Corregedoria'!BE$6</f>
        <v>Subdiretoria do Foro</v>
      </c>
      <c r="B849" s="584" t="s">
        <v>1235</v>
      </c>
      <c r="C849" s="584" t="s">
        <v>3572</v>
      </c>
      <c r="D849" s="584" t="str">
        <f>'Mapa da Corregedoria'!$A$30</f>
        <v>Sem Vínculo</v>
      </c>
      <c r="E849" s="584">
        <f>'Mapa da Corregedoria'!$BE30</f>
        <v>0</v>
      </c>
      <c r="F849" s="584" t="str">
        <f>D849</f>
        <v>Sem Vínculo</v>
      </c>
      <c r="G849" s="584" t="s">
        <v>1516</v>
      </c>
    </row>
  </sheetData>
  <autoFilter ref="A3:G849" xr:uid="{00000000-0009-0000-0000-00002E000000}"/>
  <dataValidations count="3">
    <dataValidation type="list" allowBlank="1" showInputMessage="1" showErrorMessage="1" prompt="Clique e insira um valor de a lista de itens" sqref="G4:G849" xr:uid="{00000000-0002-0000-2E00-000000000000}">
      <formula1>"FORTALEZA,ITAPIPOCA,QUIXADÁ,LIMOEIRO DO NORTE,SOBRAL,IGUATU,TAUÁ,CRATEÚS,JUAZEIRO DO NORTE,MARACANAÚ"</formula1>
      <formula2>0</formula2>
    </dataValidation>
    <dataValidation type="list" allowBlank="1" showInputMessage="1" showErrorMessage="1" prompt="Clique e insira um valor de a lista de itens" sqref="B4:B849" xr:uid="{00000000-0002-0000-2E00-000001000000}">
      <formula1>"JUDICIÁRIA,ADMINISTRATIVA"</formula1>
      <formula2>0</formula2>
    </dataValidation>
    <dataValidation type="list" allowBlank="1" showInputMessage="1" showErrorMessage="1" prompt="Clique e insira um valor de a lista de itens" sqref="C4:C849" xr:uid="{00000000-0002-0000-2E00-000002000000}">
      <formula1>"CIVIL,CRIMINAL,EXECUÇÃO FISCAL,COMUM COM JEF,COMUM SEM JEF,JUIZADO ESPECIAL,ADMINISTRATIVO"</formula1>
      <formula2>0</formula2>
    </dataValidation>
  </dataValidations>
  <pageMargins left="0.51180555555555596" right="0.51180555555555596" top="0.78749999999999998" bottom="0.78749999999999998" header="0.511811023622047" footer="0.511811023622047"/>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I998"/>
  <sheetViews>
    <sheetView topLeftCell="C1" zoomScale="110" zoomScaleNormal="110" workbookViewId="0">
      <selection activeCell="C1" activeCellId="1" sqref="B9 C1"/>
    </sheetView>
  </sheetViews>
  <sheetFormatPr defaultColWidth="12.6328125" defaultRowHeight="14.25" customHeight="1" x14ac:dyDescent="0.25"/>
  <cols>
    <col min="4" max="4" width="35.90625" customWidth="1"/>
    <col min="6" max="6" width="25.36328125" customWidth="1"/>
    <col min="7" max="7" width="28.6328125" customWidth="1"/>
    <col min="8" max="8" width="45.7265625" customWidth="1"/>
    <col min="9" max="9" width="13.90625" customWidth="1"/>
  </cols>
  <sheetData>
    <row r="1" spans="2:9" ht="13.45" x14ac:dyDescent="0.25">
      <c r="C1" s="18"/>
      <c r="D1" s="18"/>
      <c r="E1" s="18"/>
      <c r="F1" s="301"/>
      <c r="G1" s="301"/>
      <c r="H1" s="319"/>
      <c r="I1" s="18"/>
    </row>
    <row r="2" spans="2:9" ht="13.45" x14ac:dyDescent="0.25">
      <c r="C2" s="18"/>
      <c r="D2" s="18"/>
      <c r="E2" s="18"/>
      <c r="F2" s="301"/>
      <c r="G2" s="301"/>
      <c r="H2" s="319"/>
      <c r="I2" s="18"/>
    </row>
    <row r="3" spans="2:9" ht="15.05" customHeight="1" x14ac:dyDescent="0.25">
      <c r="C3" s="212" t="s">
        <v>149</v>
      </c>
      <c r="D3" s="212" t="s">
        <v>150</v>
      </c>
      <c r="E3" s="212" t="s">
        <v>118</v>
      </c>
      <c r="F3" s="210" t="s">
        <v>151</v>
      </c>
      <c r="G3" s="210" t="s">
        <v>152</v>
      </c>
      <c r="H3" s="210" t="s">
        <v>153</v>
      </c>
      <c r="I3" s="212" t="s">
        <v>970</v>
      </c>
    </row>
    <row r="4" spans="2:9" ht="55.9" x14ac:dyDescent="0.3">
      <c r="B4" s="16"/>
      <c r="C4" s="212" t="s">
        <v>971</v>
      </c>
      <c r="D4" s="320" t="s">
        <v>972</v>
      </c>
      <c r="E4" s="320" t="s">
        <v>178</v>
      </c>
      <c r="F4" s="320" t="s">
        <v>973</v>
      </c>
      <c r="G4" s="321" t="s">
        <v>974</v>
      </c>
      <c r="H4" s="322"/>
      <c r="I4" s="323" t="s">
        <v>159</v>
      </c>
    </row>
    <row r="5" spans="2:9" ht="27.95" x14ac:dyDescent="0.3">
      <c r="B5" s="16"/>
      <c r="C5" s="212" t="s">
        <v>975</v>
      </c>
      <c r="D5" s="320" t="s">
        <v>976</v>
      </c>
      <c r="E5" s="320" t="s">
        <v>171</v>
      </c>
      <c r="F5" s="320" t="s">
        <v>973</v>
      </c>
      <c r="G5" s="321" t="s">
        <v>977</v>
      </c>
      <c r="H5" s="322"/>
      <c r="I5" s="323" t="s">
        <v>159</v>
      </c>
    </row>
    <row r="6" spans="2:9" ht="29.95" customHeight="1" x14ac:dyDescent="0.25">
      <c r="C6" s="212" t="s">
        <v>978</v>
      </c>
      <c r="D6" s="320" t="s">
        <v>979</v>
      </c>
      <c r="E6" s="320" t="s">
        <v>178</v>
      </c>
      <c r="F6" s="320" t="s">
        <v>973</v>
      </c>
      <c r="G6" s="321" t="s">
        <v>980</v>
      </c>
      <c r="H6" s="322"/>
      <c r="I6" s="323" t="s">
        <v>159</v>
      </c>
    </row>
    <row r="7" spans="2:9" ht="14" x14ac:dyDescent="0.3">
      <c r="B7" s="16"/>
      <c r="C7" s="212" t="s">
        <v>204</v>
      </c>
      <c r="D7" s="324" t="s">
        <v>205</v>
      </c>
      <c r="E7" s="324"/>
      <c r="F7" s="324" t="s">
        <v>200</v>
      </c>
      <c r="G7" s="325" t="s">
        <v>981</v>
      </c>
      <c r="H7" s="326"/>
      <c r="I7" s="327" t="s">
        <v>164</v>
      </c>
    </row>
    <row r="8" spans="2:9" ht="14" x14ac:dyDescent="0.3">
      <c r="B8" s="16"/>
      <c r="C8" s="212" t="s">
        <v>950</v>
      </c>
      <c r="D8" s="324" t="s">
        <v>982</v>
      </c>
      <c r="E8" s="324" t="s">
        <v>171</v>
      </c>
      <c r="F8" s="324" t="s">
        <v>200</v>
      </c>
      <c r="G8" s="325" t="s">
        <v>981</v>
      </c>
      <c r="H8" s="326"/>
      <c r="I8" s="327" t="s">
        <v>168</v>
      </c>
    </row>
    <row r="9" spans="2:9" ht="27.95" x14ac:dyDescent="0.3">
      <c r="B9" s="16"/>
      <c r="C9" s="212" t="s">
        <v>947</v>
      </c>
      <c r="D9" s="324" t="s">
        <v>948</v>
      </c>
      <c r="E9" s="324"/>
      <c r="F9" s="324" t="s">
        <v>200</v>
      </c>
      <c r="G9" s="325" t="s">
        <v>981</v>
      </c>
      <c r="H9" s="325" t="s">
        <v>983</v>
      </c>
      <c r="I9" s="326" t="s">
        <v>164</v>
      </c>
    </row>
    <row r="10" spans="2:9" ht="14" x14ac:dyDescent="0.3">
      <c r="B10" s="16"/>
      <c r="C10" s="212" t="s">
        <v>207</v>
      </c>
      <c r="D10" s="324" t="s">
        <v>208</v>
      </c>
      <c r="E10" s="324"/>
      <c r="F10" s="324" t="s">
        <v>200</v>
      </c>
      <c r="G10" s="325" t="s">
        <v>981</v>
      </c>
      <c r="H10" s="324" t="s">
        <v>984</v>
      </c>
      <c r="I10" s="326" t="s">
        <v>164</v>
      </c>
    </row>
    <row r="11" spans="2:9" ht="27.95" x14ac:dyDescent="0.3">
      <c r="B11" s="16"/>
      <c r="C11" s="212" t="s">
        <v>985</v>
      </c>
      <c r="D11" s="324" t="s">
        <v>986</v>
      </c>
      <c r="E11" s="324" t="s">
        <v>171</v>
      </c>
      <c r="F11" s="324" t="s">
        <v>200</v>
      </c>
      <c r="G11" s="325" t="s">
        <v>987</v>
      </c>
      <c r="H11" s="326"/>
      <c r="I11" s="327" t="s">
        <v>159</v>
      </c>
    </row>
    <row r="12" spans="2:9" ht="27.95" x14ac:dyDescent="0.3">
      <c r="B12" s="16"/>
      <c r="C12" s="212" t="s">
        <v>209</v>
      </c>
      <c r="D12" s="324" t="s">
        <v>210</v>
      </c>
      <c r="E12" s="324" t="s">
        <v>171</v>
      </c>
      <c r="F12" s="324" t="s">
        <v>200</v>
      </c>
      <c r="G12" s="325"/>
      <c r="H12" s="326" t="s">
        <v>988</v>
      </c>
      <c r="I12" s="327" t="s">
        <v>159</v>
      </c>
    </row>
    <row r="13" spans="2:9" ht="14" x14ac:dyDescent="0.3">
      <c r="B13" s="16"/>
      <c r="C13" s="212" t="s">
        <v>198</v>
      </c>
      <c r="D13" s="324" t="s">
        <v>199</v>
      </c>
      <c r="E13" s="324" t="s">
        <v>178</v>
      </c>
      <c r="F13" s="324" t="s">
        <v>200</v>
      </c>
      <c r="G13" s="325" t="s">
        <v>989</v>
      </c>
      <c r="H13" s="326"/>
      <c r="I13" s="327" t="s">
        <v>159</v>
      </c>
    </row>
    <row r="14" spans="2:9" ht="14" x14ac:dyDescent="0.25">
      <c r="C14" s="212" t="s">
        <v>202</v>
      </c>
      <c r="D14" s="324" t="s">
        <v>203</v>
      </c>
      <c r="E14" s="324" t="s">
        <v>178</v>
      </c>
      <c r="F14" s="324" t="s">
        <v>200</v>
      </c>
      <c r="G14" s="325" t="s">
        <v>989</v>
      </c>
      <c r="H14" s="326"/>
      <c r="I14" s="327" t="s">
        <v>159</v>
      </c>
    </row>
    <row r="15" spans="2:9" ht="14" x14ac:dyDescent="0.25">
      <c r="C15" s="212" t="s">
        <v>196</v>
      </c>
      <c r="D15" s="324" t="s">
        <v>197</v>
      </c>
      <c r="E15" s="324" t="s">
        <v>178</v>
      </c>
      <c r="F15" s="324" t="s">
        <v>200</v>
      </c>
      <c r="G15" s="325" t="s">
        <v>989</v>
      </c>
      <c r="H15" s="326"/>
      <c r="I15" s="327" t="s">
        <v>159</v>
      </c>
    </row>
    <row r="16" spans="2:9" ht="14" x14ac:dyDescent="0.3">
      <c r="B16" s="16"/>
      <c r="C16" s="212"/>
      <c r="D16" s="328"/>
      <c r="E16" s="328"/>
      <c r="F16" s="329"/>
      <c r="G16" s="329"/>
      <c r="H16" s="330"/>
      <c r="I16" s="329"/>
    </row>
    <row r="17" spans="2:9" ht="41.95" x14ac:dyDescent="0.3">
      <c r="B17" s="16"/>
      <c r="C17" s="212" t="s">
        <v>990</v>
      </c>
      <c r="D17" s="328" t="s">
        <v>991</v>
      </c>
      <c r="E17" s="328" t="s">
        <v>171</v>
      </c>
      <c r="F17" s="329" t="s">
        <v>597</v>
      </c>
      <c r="G17" s="329" t="s">
        <v>992</v>
      </c>
      <c r="H17" s="330"/>
      <c r="I17" s="329" t="s">
        <v>159</v>
      </c>
    </row>
    <row r="18" spans="2:9" ht="27.95" x14ac:dyDescent="0.25">
      <c r="C18" s="212" t="s">
        <v>993</v>
      </c>
      <c r="D18" s="328" t="s">
        <v>994</v>
      </c>
      <c r="E18" s="328" t="s">
        <v>213</v>
      </c>
      <c r="F18" s="329" t="s">
        <v>597</v>
      </c>
      <c r="G18" s="329" t="s">
        <v>995</v>
      </c>
      <c r="H18" s="330" t="s">
        <v>996</v>
      </c>
      <c r="I18" s="331" t="s">
        <v>159</v>
      </c>
    </row>
    <row r="19" spans="2:9" ht="27.95" x14ac:dyDescent="0.25">
      <c r="C19" s="212" t="s">
        <v>607</v>
      </c>
      <c r="D19" s="328" t="s">
        <v>997</v>
      </c>
      <c r="E19" s="328" t="s">
        <v>171</v>
      </c>
      <c r="F19" s="329" t="s">
        <v>597</v>
      </c>
      <c r="G19" s="329" t="s">
        <v>995</v>
      </c>
      <c r="H19" s="330" t="s">
        <v>602</v>
      </c>
      <c r="I19" s="331" t="s">
        <v>168</v>
      </c>
    </row>
    <row r="20" spans="2:9" ht="27.95" x14ac:dyDescent="0.25">
      <c r="C20" s="212" t="s">
        <v>599</v>
      </c>
      <c r="D20" s="328" t="s">
        <v>600</v>
      </c>
      <c r="E20" s="328"/>
      <c r="F20" s="329" t="s">
        <v>597</v>
      </c>
      <c r="G20" s="329" t="s">
        <v>995</v>
      </c>
      <c r="H20" s="330" t="s">
        <v>602</v>
      </c>
      <c r="I20" s="331" t="s">
        <v>164</v>
      </c>
    </row>
    <row r="21" spans="2:9" ht="13.45" x14ac:dyDescent="0.25">
      <c r="C21" s="18"/>
      <c r="D21" s="18"/>
      <c r="E21" s="18"/>
      <c r="F21" s="18"/>
      <c r="G21" s="18"/>
      <c r="H21" s="319"/>
      <c r="I21" s="18"/>
    </row>
    <row r="22" spans="2:9" ht="14" x14ac:dyDescent="0.25">
      <c r="C22" s="18"/>
      <c r="D22" s="164" t="s">
        <v>998</v>
      </c>
      <c r="E22" s="18"/>
      <c r="F22" s="301"/>
      <c r="G22" s="301"/>
      <c r="H22" s="319"/>
      <c r="I22" s="18"/>
    </row>
    <row r="23" spans="2:9" ht="14" x14ac:dyDescent="0.25">
      <c r="C23" s="18"/>
      <c r="D23" s="164" t="s">
        <v>999</v>
      </c>
      <c r="E23" s="18"/>
      <c r="F23" s="301"/>
      <c r="G23" s="301"/>
      <c r="H23" s="319"/>
      <c r="I23" s="18"/>
    </row>
    <row r="24" spans="2:9" ht="13.45" x14ac:dyDescent="0.25">
      <c r="C24" s="18"/>
      <c r="D24" s="18"/>
      <c r="E24" s="18"/>
      <c r="F24" s="301"/>
      <c r="G24" s="301"/>
      <c r="H24" s="319"/>
      <c r="I24" s="18"/>
    </row>
    <row r="25" spans="2:9" ht="14" x14ac:dyDescent="0.25">
      <c r="C25" s="18"/>
      <c r="D25" s="164" t="s">
        <v>1000</v>
      </c>
      <c r="E25" s="18"/>
      <c r="F25" s="301"/>
      <c r="G25" s="301"/>
      <c r="H25" s="319"/>
      <c r="I25" s="18"/>
    </row>
    <row r="26" spans="2:9" ht="14" x14ac:dyDescent="0.25">
      <c r="C26" s="18"/>
      <c r="D26" s="164" t="s">
        <v>1001</v>
      </c>
      <c r="E26" s="18"/>
      <c r="F26" s="301"/>
      <c r="G26" s="301"/>
      <c r="H26" s="319"/>
      <c r="I26" s="18"/>
    </row>
    <row r="27" spans="2:9" ht="13.45" x14ac:dyDescent="0.25">
      <c r="C27" s="18"/>
      <c r="D27" s="18"/>
      <c r="E27" s="18"/>
      <c r="F27" s="301"/>
      <c r="G27" s="301"/>
      <c r="H27" s="319"/>
      <c r="I27" s="18"/>
    </row>
    <row r="28" spans="2:9" ht="14" x14ac:dyDescent="0.25">
      <c r="C28" s="18"/>
      <c r="D28" s="164" t="s">
        <v>1002</v>
      </c>
      <c r="E28" s="18"/>
      <c r="F28" s="301"/>
      <c r="G28" s="301"/>
      <c r="H28" s="319"/>
      <c r="I28" s="18"/>
    </row>
    <row r="29" spans="2:9" ht="14" x14ac:dyDescent="0.25">
      <c r="B29" s="332"/>
      <c r="C29" s="333"/>
      <c r="D29" s="334" t="s">
        <v>1003</v>
      </c>
      <c r="E29" s="333"/>
      <c r="F29" s="335"/>
      <c r="G29" s="301"/>
      <c r="H29" s="319"/>
      <c r="I29" s="18"/>
    </row>
    <row r="30" spans="2:9" ht="13.45" x14ac:dyDescent="0.25">
      <c r="C30" s="18"/>
      <c r="D30" s="18"/>
      <c r="E30" s="18"/>
      <c r="F30" s="301"/>
      <c r="G30" s="301"/>
      <c r="H30" s="319"/>
      <c r="I30" s="18"/>
    </row>
    <row r="31" spans="2:9" ht="13.45" x14ac:dyDescent="0.25">
      <c r="C31" s="18"/>
      <c r="D31" s="18"/>
      <c r="E31" s="18"/>
      <c r="F31" s="301"/>
      <c r="G31" s="301"/>
      <c r="H31" s="319"/>
      <c r="I31" s="18"/>
    </row>
    <row r="32" spans="2:9" ht="14" x14ac:dyDescent="0.25">
      <c r="C32" s="18"/>
      <c r="D32" s="336">
        <v>44287</v>
      </c>
      <c r="E32" s="18"/>
      <c r="F32" s="301"/>
      <c r="G32" s="301"/>
      <c r="H32" s="319"/>
      <c r="I32" s="18"/>
    </row>
    <row r="33" spans="3:9" ht="14" x14ac:dyDescent="0.25">
      <c r="C33" s="18"/>
      <c r="D33" s="164" t="s">
        <v>1004</v>
      </c>
      <c r="E33" s="18"/>
      <c r="F33" s="301"/>
      <c r="G33" s="301"/>
      <c r="H33" s="319"/>
      <c r="I33" s="18"/>
    </row>
    <row r="34" spans="3:9" ht="13.45" x14ac:dyDescent="0.25">
      <c r="C34" s="18"/>
      <c r="D34" s="18"/>
      <c r="E34" s="18"/>
      <c r="F34" s="301"/>
      <c r="G34" s="301"/>
      <c r="H34" s="319"/>
      <c r="I34" s="18"/>
    </row>
    <row r="35" spans="3:9" ht="14" x14ac:dyDescent="0.25">
      <c r="C35" s="18"/>
      <c r="D35" s="336">
        <v>44317</v>
      </c>
      <c r="E35" s="18"/>
      <c r="F35" s="301"/>
      <c r="G35" s="301"/>
      <c r="H35" s="319"/>
      <c r="I35" s="18"/>
    </row>
    <row r="36" spans="3:9" ht="14" x14ac:dyDescent="0.25">
      <c r="C36" s="18"/>
      <c r="D36" s="164" t="s">
        <v>1005</v>
      </c>
      <c r="E36" s="18"/>
      <c r="F36" s="301"/>
      <c r="G36" s="301"/>
      <c r="H36" s="319"/>
      <c r="I36" s="18"/>
    </row>
    <row r="37" spans="3:9" ht="13.45" x14ac:dyDescent="0.25">
      <c r="C37" s="18"/>
      <c r="D37" s="18"/>
      <c r="E37" s="18"/>
      <c r="F37" s="301"/>
      <c r="G37" s="301"/>
      <c r="H37" s="319"/>
      <c r="I37" s="18"/>
    </row>
    <row r="38" spans="3:9" ht="14" x14ac:dyDescent="0.25">
      <c r="C38" s="18"/>
      <c r="D38" s="336">
        <v>44562</v>
      </c>
      <c r="E38" s="18"/>
      <c r="F38" s="301"/>
      <c r="G38" s="301"/>
      <c r="H38" s="319"/>
      <c r="I38" s="18"/>
    </row>
    <row r="39" spans="3:9" ht="83.85" x14ac:dyDescent="0.25">
      <c r="C39" s="18"/>
      <c r="D39" s="306" t="s">
        <v>1006</v>
      </c>
      <c r="E39" s="18"/>
      <c r="F39" s="301"/>
      <c r="G39" s="301"/>
      <c r="H39" s="319"/>
      <c r="I39" s="18"/>
    </row>
    <row r="40" spans="3:9" ht="13.45" x14ac:dyDescent="0.25">
      <c r="C40" s="18"/>
      <c r="D40" s="18"/>
      <c r="E40" s="18"/>
      <c r="F40" s="301"/>
      <c r="G40" s="301"/>
      <c r="H40" s="319"/>
      <c r="I40" s="18"/>
    </row>
    <row r="41" spans="3:9" ht="15.05" customHeight="1" x14ac:dyDescent="0.25">
      <c r="C41" s="18"/>
      <c r="D41" s="18" t="s">
        <v>883</v>
      </c>
      <c r="E41" s="18"/>
      <c r="F41" s="301"/>
      <c r="G41" s="301"/>
      <c r="H41" s="319"/>
      <c r="I41" s="18"/>
    </row>
    <row r="42" spans="3:9" ht="69.849999999999994" x14ac:dyDescent="0.25">
      <c r="C42" s="18"/>
      <c r="D42" s="306" t="s">
        <v>1007</v>
      </c>
      <c r="E42" s="18"/>
      <c r="F42" s="301"/>
      <c r="G42" s="301"/>
      <c r="H42" s="319"/>
      <c r="I42" s="18"/>
    </row>
    <row r="43" spans="3:9" ht="69.849999999999994" x14ac:dyDescent="0.25">
      <c r="C43" s="18"/>
      <c r="D43" s="306" t="s">
        <v>1008</v>
      </c>
      <c r="E43" s="18"/>
      <c r="F43" s="301"/>
      <c r="G43" s="301"/>
      <c r="H43" s="319"/>
      <c r="I43" s="18"/>
    </row>
    <row r="44" spans="3:9" ht="111.8" x14ac:dyDescent="0.25">
      <c r="C44" s="18"/>
      <c r="D44" s="306" t="s">
        <v>1009</v>
      </c>
      <c r="E44" s="18"/>
      <c r="F44" s="301"/>
      <c r="G44" s="301"/>
      <c r="H44" s="319"/>
      <c r="I44" s="18"/>
    </row>
    <row r="45" spans="3:9" ht="13.45" x14ac:dyDescent="0.25">
      <c r="C45" s="18"/>
      <c r="D45" s="18"/>
      <c r="E45" s="18"/>
      <c r="F45" s="301"/>
      <c r="G45" s="301"/>
      <c r="H45" s="319"/>
      <c r="I45" s="18"/>
    </row>
    <row r="46" spans="3:9" ht="13.45" x14ac:dyDescent="0.25">
      <c r="C46" s="18"/>
      <c r="D46" s="18" t="s">
        <v>899</v>
      </c>
      <c r="E46" s="18"/>
      <c r="F46" s="301"/>
      <c r="G46" s="301"/>
      <c r="H46" s="319"/>
      <c r="I46" s="18"/>
    </row>
    <row r="47" spans="3:9" ht="13.45" x14ac:dyDescent="0.25">
      <c r="C47" s="18"/>
      <c r="D47" s="18" t="s">
        <v>1010</v>
      </c>
      <c r="E47" s="18"/>
      <c r="F47" s="301"/>
      <c r="G47" s="301"/>
      <c r="H47" s="319"/>
      <c r="I47" s="18"/>
    </row>
    <row r="48" spans="3:9" ht="13.45" x14ac:dyDescent="0.25">
      <c r="C48" s="18"/>
      <c r="D48" s="18"/>
      <c r="E48" s="18"/>
      <c r="F48" s="301"/>
      <c r="G48" s="301"/>
      <c r="H48" s="319"/>
      <c r="I48" s="18"/>
    </row>
    <row r="49" spans="2:9" ht="13.45" x14ac:dyDescent="0.25">
      <c r="C49" s="18"/>
      <c r="D49" s="18" t="s">
        <v>901</v>
      </c>
      <c r="E49" s="18"/>
      <c r="F49" s="301"/>
      <c r="G49" s="301"/>
      <c r="H49" s="319"/>
      <c r="I49" s="18"/>
    </row>
    <row r="50" spans="2:9" ht="13.45" x14ac:dyDescent="0.25">
      <c r="C50" s="18"/>
      <c r="D50" s="18" t="s">
        <v>1011</v>
      </c>
      <c r="E50" s="18"/>
      <c r="F50" s="301"/>
      <c r="G50" s="301"/>
      <c r="H50" s="319"/>
      <c r="I50" s="18"/>
    </row>
    <row r="51" spans="2:9" ht="13.45" x14ac:dyDescent="0.25">
      <c r="C51" s="18"/>
      <c r="D51" s="18"/>
      <c r="E51" s="18"/>
      <c r="F51" s="301"/>
      <c r="G51" s="301"/>
      <c r="H51" s="319"/>
      <c r="I51" s="18"/>
    </row>
    <row r="52" spans="2:9" ht="13.45" x14ac:dyDescent="0.25">
      <c r="B52" s="312">
        <v>44743</v>
      </c>
      <c r="C52" s="18"/>
      <c r="D52" s="312"/>
      <c r="E52" s="18"/>
      <c r="F52" s="301"/>
      <c r="G52" s="301"/>
      <c r="H52" s="319"/>
      <c r="I52" s="18"/>
    </row>
    <row r="53" spans="2:9" ht="13.45" x14ac:dyDescent="0.25">
      <c r="B53" t="s">
        <v>1012</v>
      </c>
      <c r="C53" s="18"/>
      <c r="D53" s="18"/>
      <c r="E53" s="18"/>
      <c r="F53" s="301"/>
      <c r="G53" s="301"/>
      <c r="H53" s="319"/>
      <c r="I53" s="18"/>
    </row>
    <row r="54" spans="2:9" ht="13.45" x14ac:dyDescent="0.25">
      <c r="B54" t="s">
        <v>1013</v>
      </c>
      <c r="C54" s="18"/>
      <c r="D54" s="18"/>
      <c r="E54" s="18"/>
      <c r="F54" s="301"/>
      <c r="G54" s="301"/>
      <c r="H54" s="319"/>
      <c r="I54" s="18"/>
    </row>
    <row r="55" spans="2:9" ht="13.45" x14ac:dyDescent="0.25">
      <c r="C55" s="18"/>
      <c r="D55" s="18"/>
      <c r="E55" s="18"/>
      <c r="F55" s="301"/>
      <c r="G55" s="301"/>
      <c r="H55" s="319"/>
      <c r="I55" s="18"/>
    </row>
    <row r="56" spans="2:9" ht="13.45" x14ac:dyDescent="0.25">
      <c r="B56" s="18" t="s">
        <v>1014</v>
      </c>
      <c r="C56" s="18"/>
      <c r="D56" s="18"/>
      <c r="E56" s="18"/>
      <c r="F56" s="301"/>
      <c r="G56" s="301"/>
      <c r="H56" s="319"/>
      <c r="I56" s="18"/>
    </row>
    <row r="57" spans="2:9" ht="13.45" x14ac:dyDescent="0.25">
      <c r="B57" t="s">
        <v>1015</v>
      </c>
      <c r="C57" s="18"/>
      <c r="D57" s="18"/>
      <c r="E57" s="18"/>
      <c r="F57" s="301"/>
      <c r="G57" s="301"/>
      <c r="H57" s="319"/>
      <c r="I57" s="18"/>
    </row>
    <row r="58" spans="2:9" ht="13.45" x14ac:dyDescent="0.25">
      <c r="C58" s="18"/>
      <c r="D58" s="18"/>
      <c r="E58" s="18"/>
      <c r="F58" s="301"/>
      <c r="G58" s="301"/>
      <c r="H58" s="319"/>
      <c r="I58" s="18"/>
    </row>
    <row r="59" spans="2:9" ht="13.45" x14ac:dyDescent="0.25">
      <c r="B59" s="18" t="s">
        <v>1016</v>
      </c>
      <c r="C59" s="18"/>
      <c r="D59" s="18"/>
      <c r="E59" s="18"/>
      <c r="F59" s="301"/>
      <c r="G59" s="301"/>
      <c r="H59" s="319"/>
      <c r="I59" s="18"/>
    </row>
    <row r="60" spans="2:9" ht="13.45" x14ac:dyDescent="0.25">
      <c r="B60" t="s">
        <v>1017</v>
      </c>
      <c r="C60" s="18"/>
      <c r="D60" s="18"/>
      <c r="E60" s="18"/>
      <c r="F60" s="301"/>
      <c r="G60" s="301"/>
      <c r="H60" s="319"/>
      <c r="I60" s="18"/>
    </row>
    <row r="61" spans="2:9" ht="13.45" x14ac:dyDescent="0.25">
      <c r="B61" t="s">
        <v>1018</v>
      </c>
      <c r="C61" s="18"/>
      <c r="D61" s="18"/>
      <c r="E61" s="18"/>
      <c r="F61" s="301"/>
      <c r="G61" s="301"/>
      <c r="H61" s="319"/>
      <c r="I61" s="18"/>
    </row>
    <row r="62" spans="2:9" ht="13.45" x14ac:dyDescent="0.25">
      <c r="C62" s="18"/>
      <c r="D62" s="18"/>
      <c r="E62" s="18"/>
      <c r="F62" s="301"/>
      <c r="G62" s="301"/>
      <c r="H62" s="319"/>
      <c r="I62" s="18"/>
    </row>
    <row r="63" spans="2:9" ht="13.45" x14ac:dyDescent="0.25">
      <c r="B63" s="312">
        <v>44986</v>
      </c>
      <c r="C63" s="18"/>
      <c r="D63" s="18"/>
      <c r="E63" s="18"/>
      <c r="F63" s="301"/>
      <c r="G63" s="301"/>
      <c r="H63" s="319"/>
      <c r="I63" s="18"/>
    </row>
    <row r="64" spans="2:9" ht="13.45" x14ac:dyDescent="0.25">
      <c r="B64" s="608" t="s">
        <v>924</v>
      </c>
      <c r="C64" s="608"/>
      <c r="D64" s="608"/>
      <c r="E64" s="608"/>
      <c r="F64" s="301"/>
      <c r="G64" s="301"/>
      <c r="H64" s="319"/>
      <c r="I64" s="18"/>
    </row>
    <row r="65" spans="2:9" ht="13.45" x14ac:dyDescent="0.25">
      <c r="B65" s="605" t="s">
        <v>925</v>
      </c>
      <c r="C65" s="605"/>
      <c r="D65" s="605"/>
      <c r="E65" s="605"/>
      <c r="F65" s="301"/>
      <c r="G65" s="301"/>
      <c r="H65" s="319"/>
      <c r="I65" s="18"/>
    </row>
    <row r="66" spans="2:9" ht="13.45" x14ac:dyDescent="0.25">
      <c r="C66" s="18"/>
      <c r="D66" s="18"/>
      <c r="E66" s="18"/>
      <c r="F66" s="301"/>
      <c r="G66" s="301"/>
      <c r="H66" s="319"/>
      <c r="I66" s="18"/>
    </row>
    <row r="67" spans="2:9" ht="13.45" x14ac:dyDescent="0.25">
      <c r="B67" s="337">
        <v>45047</v>
      </c>
      <c r="C67" s="18"/>
      <c r="D67" s="18"/>
      <c r="E67" s="18"/>
      <c r="F67" s="301"/>
      <c r="G67" s="301"/>
      <c r="H67" s="319"/>
      <c r="I67" s="18"/>
    </row>
    <row r="68" spans="2:9" ht="13.45" x14ac:dyDescent="0.25">
      <c r="B68" t="s">
        <v>1019</v>
      </c>
      <c r="C68" s="18"/>
      <c r="D68" s="18"/>
      <c r="E68" s="18"/>
      <c r="F68" s="301"/>
      <c r="G68" s="301"/>
      <c r="H68" s="319"/>
      <c r="I68" s="18"/>
    </row>
    <row r="69" spans="2:9" ht="13.45" x14ac:dyDescent="0.25">
      <c r="C69" s="18"/>
      <c r="D69" s="18"/>
      <c r="E69" s="18"/>
      <c r="F69" s="301"/>
      <c r="G69" s="301"/>
      <c r="H69" s="319"/>
      <c r="I69" s="18"/>
    </row>
    <row r="70" spans="2:9" ht="13.45" x14ac:dyDescent="0.25">
      <c r="B70" s="337">
        <v>45108</v>
      </c>
      <c r="C70" s="18"/>
      <c r="D70" s="18"/>
      <c r="E70" s="18"/>
      <c r="F70" s="301"/>
      <c r="G70" s="301"/>
      <c r="H70" s="319"/>
      <c r="I70" s="18"/>
    </row>
    <row r="71" spans="2:9" ht="13.45" x14ac:dyDescent="0.25">
      <c r="B71" t="s">
        <v>1020</v>
      </c>
      <c r="C71" s="18"/>
      <c r="D71" s="18"/>
      <c r="E71" s="18"/>
      <c r="F71" s="301"/>
      <c r="G71" s="301"/>
      <c r="H71" s="319"/>
      <c r="I71" s="18"/>
    </row>
    <row r="72" spans="2:9" ht="13.45" x14ac:dyDescent="0.25">
      <c r="C72" s="18"/>
      <c r="D72" s="18"/>
      <c r="E72" s="18"/>
      <c r="F72" s="301"/>
      <c r="G72" s="301"/>
      <c r="H72" s="319"/>
      <c r="I72" s="18"/>
    </row>
    <row r="73" spans="2:9" ht="13.45" x14ac:dyDescent="0.25">
      <c r="C73" s="18"/>
      <c r="D73" s="18"/>
      <c r="E73" s="18"/>
      <c r="F73" s="301"/>
      <c r="G73" s="301"/>
      <c r="H73" s="319"/>
      <c r="I73" s="18"/>
    </row>
    <row r="74" spans="2:9" ht="13.45" x14ac:dyDescent="0.25">
      <c r="C74" s="18"/>
      <c r="D74" s="18"/>
      <c r="E74" s="18"/>
      <c r="F74" s="301"/>
      <c r="G74" s="301"/>
      <c r="H74" s="319"/>
      <c r="I74" s="18"/>
    </row>
    <row r="75" spans="2:9" ht="13.45" x14ac:dyDescent="0.25">
      <c r="C75" s="18"/>
      <c r="D75" s="18"/>
      <c r="E75" s="18"/>
      <c r="F75" s="301"/>
      <c r="G75" s="301"/>
      <c r="H75" s="319"/>
      <c r="I75" s="18"/>
    </row>
    <row r="76" spans="2:9" ht="13.45" x14ac:dyDescent="0.25">
      <c r="C76" s="18"/>
      <c r="D76" s="18"/>
      <c r="E76" s="18"/>
      <c r="F76" s="301"/>
      <c r="G76" s="301"/>
      <c r="H76" s="319"/>
      <c r="I76" s="18"/>
    </row>
    <row r="77" spans="2:9" ht="13.45" x14ac:dyDescent="0.25">
      <c r="C77" s="18"/>
      <c r="D77" s="18"/>
      <c r="E77" s="18"/>
      <c r="F77" s="301"/>
      <c r="G77" s="301"/>
      <c r="H77" s="319"/>
      <c r="I77" s="18"/>
    </row>
    <row r="78" spans="2:9" ht="13.45" x14ac:dyDescent="0.25">
      <c r="C78" s="18"/>
      <c r="D78" s="18"/>
      <c r="E78" s="18"/>
      <c r="F78" s="301"/>
      <c r="G78" s="301"/>
      <c r="H78" s="319"/>
      <c r="I78" s="18"/>
    </row>
    <row r="79" spans="2:9" ht="13.45" x14ac:dyDescent="0.25">
      <c r="C79" s="18"/>
      <c r="D79" s="18"/>
      <c r="E79" s="18"/>
      <c r="F79" s="301"/>
      <c r="G79" s="301"/>
      <c r="H79" s="319"/>
      <c r="I79" s="18"/>
    </row>
    <row r="80" spans="2:9" ht="13.45" x14ac:dyDescent="0.25">
      <c r="C80" s="18"/>
      <c r="D80" s="18"/>
      <c r="E80" s="18"/>
      <c r="F80" s="301"/>
      <c r="G80" s="301"/>
      <c r="H80" s="319"/>
      <c r="I80" s="18"/>
    </row>
    <row r="81" spans="3:9" ht="13.45" x14ac:dyDescent="0.25">
      <c r="C81" s="18"/>
      <c r="D81" s="18"/>
      <c r="E81" s="18"/>
      <c r="F81" s="301"/>
      <c r="G81" s="301"/>
      <c r="H81" s="319"/>
      <c r="I81" s="18"/>
    </row>
    <row r="82" spans="3:9" ht="13.45" x14ac:dyDescent="0.25">
      <c r="C82" s="18"/>
      <c r="D82" s="18"/>
      <c r="E82" s="18"/>
      <c r="F82" s="301"/>
      <c r="G82" s="301"/>
      <c r="H82" s="319"/>
      <c r="I82" s="18"/>
    </row>
    <row r="83" spans="3:9" ht="13.45" x14ac:dyDescent="0.25">
      <c r="C83" s="18"/>
      <c r="D83" s="18"/>
      <c r="E83" s="18"/>
      <c r="F83" s="301"/>
      <c r="G83" s="301"/>
      <c r="H83" s="319"/>
      <c r="I83" s="18"/>
    </row>
    <row r="84" spans="3:9" ht="13.45" x14ac:dyDescent="0.25">
      <c r="C84" s="18"/>
      <c r="D84" s="18"/>
      <c r="E84" s="18"/>
      <c r="F84" s="301"/>
      <c r="G84" s="301"/>
      <c r="H84" s="319"/>
      <c r="I84" s="18"/>
    </row>
    <row r="85" spans="3:9" ht="13.45" x14ac:dyDescent="0.25">
      <c r="C85" s="18"/>
      <c r="D85" s="18"/>
      <c r="E85" s="18"/>
      <c r="F85" s="301"/>
      <c r="G85" s="301"/>
      <c r="H85" s="319"/>
      <c r="I85" s="18"/>
    </row>
    <row r="86" spans="3:9" ht="13.45" x14ac:dyDescent="0.25">
      <c r="C86" s="18"/>
      <c r="D86" s="18"/>
      <c r="E86" s="18"/>
      <c r="F86" s="301"/>
      <c r="G86" s="301"/>
      <c r="H86" s="319"/>
      <c r="I86" s="18"/>
    </row>
    <row r="87" spans="3:9" ht="13.45" x14ac:dyDescent="0.25">
      <c r="C87" s="18"/>
      <c r="D87" s="18"/>
      <c r="E87" s="18"/>
      <c r="F87" s="301"/>
      <c r="G87" s="301"/>
      <c r="H87" s="319"/>
      <c r="I87" s="18"/>
    </row>
    <row r="88" spans="3:9" ht="13.45" x14ac:dyDescent="0.25">
      <c r="C88" s="18"/>
      <c r="D88" s="18"/>
      <c r="E88" s="18"/>
      <c r="F88" s="301"/>
      <c r="G88" s="301"/>
      <c r="H88" s="319"/>
      <c r="I88" s="18"/>
    </row>
    <row r="89" spans="3:9" ht="13.45" x14ac:dyDescent="0.25">
      <c r="C89" s="18"/>
      <c r="D89" s="18"/>
      <c r="E89" s="18"/>
      <c r="F89" s="301"/>
      <c r="G89" s="301"/>
      <c r="H89" s="319"/>
      <c r="I89" s="18"/>
    </row>
    <row r="90" spans="3:9" ht="13.45" x14ac:dyDescent="0.25">
      <c r="C90" s="18"/>
      <c r="D90" s="18"/>
      <c r="E90" s="18"/>
      <c r="F90" s="301"/>
      <c r="G90" s="301"/>
      <c r="H90" s="319"/>
      <c r="I90" s="18"/>
    </row>
    <row r="91" spans="3:9" ht="13.45" x14ac:dyDescent="0.25">
      <c r="C91" s="18"/>
      <c r="D91" s="18"/>
      <c r="E91" s="18"/>
      <c r="F91" s="301"/>
      <c r="G91" s="301"/>
      <c r="H91" s="319"/>
      <c r="I91" s="18"/>
    </row>
    <row r="92" spans="3:9" ht="13.45" x14ac:dyDescent="0.25">
      <c r="C92" s="18"/>
      <c r="D92" s="18"/>
      <c r="E92" s="18"/>
      <c r="F92" s="301"/>
      <c r="G92" s="301"/>
      <c r="H92" s="319"/>
      <c r="I92" s="18"/>
    </row>
    <row r="93" spans="3:9" ht="13.45" x14ac:dyDescent="0.25">
      <c r="C93" s="18"/>
      <c r="D93" s="18"/>
      <c r="E93" s="18"/>
      <c r="F93" s="301"/>
      <c r="G93" s="301"/>
      <c r="H93" s="319"/>
      <c r="I93" s="18"/>
    </row>
    <row r="94" spans="3:9" ht="13.45" x14ac:dyDescent="0.25">
      <c r="C94" s="18"/>
      <c r="D94" s="18"/>
      <c r="E94" s="18"/>
      <c r="F94" s="301"/>
      <c r="G94" s="301"/>
      <c r="H94" s="319"/>
      <c r="I94" s="18"/>
    </row>
    <row r="95" spans="3:9" ht="13.45" x14ac:dyDescent="0.25">
      <c r="C95" s="18"/>
      <c r="D95" s="18"/>
      <c r="E95" s="18"/>
      <c r="F95" s="301"/>
      <c r="G95" s="301"/>
      <c r="H95" s="319"/>
      <c r="I95" s="18"/>
    </row>
    <row r="96" spans="3:9" ht="13.45" x14ac:dyDescent="0.25">
      <c r="C96" s="18"/>
      <c r="D96" s="18"/>
      <c r="E96" s="18"/>
      <c r="F96" s="301"/>
      <c r="G96" s="301"/>
      <c r="H96" s="319"/>
      <c r="I96" s="18"/>
    </row>
    <row r="97" spans="3:9" ht="13.45" x14ac:dyDescent="0.25">
      <c r="C97" s="18"/>
      <c r="D97" s="18"/>
      <c r="E97" s="18"/>
      <c r="F97" s="301"/>
      <c r="G97" s="301"/>
      <c r="H97" s="319"/>
      <c r="I97" s="18"/>
    </row>
    <row r="98" spans="3:9" ht="13.45" x14ac:dyDescent="0.25">
      <c r="C98" s="18"/>
      <c r="D98" s="18"/>
      <c r="E98" s="18"/>
      <c r="F98" s="301"/>
      <c r="G98" s="301"/>
      <c r="H98" s="319"/>
      <c r="I98" s="18"/>
    </row>
    <row r="99" spans="3:9" ht="13.45" x14ac:dyDescent="0.25">
      <c r="C99" s="18"/>
      <c r="D99" s="18"/>
      <c r="E99" s="18"/>
      <c r="F99" s="301"/>
      <c r="G99" s="301"/>
      <c r="H99" s="319"/>
      <c r="I99" s="18"/>
    </row>
    <row r="100" spans="3:9" ht="13.45" x14ac:dyDescent="0.25">
      <c r="C100" s="18"/>
      <c r="D100" s="18"/>
      <c r="E100" s="18"/>
      <c r="F100" s="301"/>
      <c r="G100" s="301"/>
      <c r="H100" s="319"/>
      <c r="I100" s="18"/>
    </row>
    <row r="101" spans="3:9" ht="13.45" x14ac:dyDescent="0.25">
      <c r="C101" s="18"/>
      <c r="D101" s="18"/>
      <c r="E101" s="18"/>
      <c r="F101" s="301"/>
      <c r="G101" s="301"/>
      <c r="H101" s="319"/>
      <c r="I101" s="18"/>
    </row>
    <row r="102" spans="3:9" ht="13.45" x14ac:dyDescent="0.25">
      <c r="C102" s="18"/>
      <c r="D102" s="18"/>
      <c r="E102" s="18"/>
      <c r="F102" s="301"/>
      <c r="G102" s="301"/>
      <c r="H102" s="319"/>
      <c r="I102" s="18"/>
    </row>
    <row r="103" spans="3:9" ht="13.45" x14ac:dyDescent="0.25">
      <c r="C103" s="18"/>
      <c r="D103" s="18"/>
      <c r="E103" s="18"/>
      <c r="F103" s="301"/>
      <c r="G103" s="301"/>
      <c r="H103" s="319"/>
      <c r="I103" s="18"/>
    </row>
    <row r="104" spans="3:9" ht="13.45" x14ac:dyDescent="0.25">
      <c r="C104" s="18"/>
      <c r="D104" s="18"/>
      <c r="E104" s="18"/>
      <c r="F104" s="301"/>
      <c r="G104" s="301"/>
      <c r="H104" s="319"/>
      <c r="I104" s="18"/>
    </row>
    <row r="105" spans="3:9" ht="13.45" x14ac:dyDescent="0.25">
      <c r="C105" s="18"/>
      <c r="D105" s="18"/>
      <c r="E105" s="18"/>
      <c r="F105" s="301"/>
      <c r="G105" s="301"/>
      <c r="H105" s="319"/>
      <c r="I105" s="18"/>
    </row>
    <row r="106" spans="3:9" ht="13.45" x14ac:dyDescent="0.25">
      <c r="C106" s="18"/>
      <c r="D106" s="18"/>
      <c r="E106" s="18"/>
      <c r="F106" s="301"/>
      <c r="G106" s="301"/>
      <c r="H106" s="319"/>
      <c r="I106" s="18"/>
    </row>
    <row r="107" spans="3:9" ht="13.45" x14ac:dyDescent="0.25">
      <c r="C107" s="18"/>
      <c r="D107" s="18"/>
      <c r="E107" s="18"/>
      <c r="F107" s="301"/>
      <c r="G107" s="301"/>
      <c r="H107" s="319"/>
      <c r="I107" s="18"/>
    </row>
    <row r="108" spans="3:9" ht="13.45" x14ac:dyDescent="0.25">
      <c r="C108" s="18"/>
      <c r="D108" s="18"/>
      <c r="E108" s="18"/>
      <c r="F108" s="301"/>
      <c r="G108" s="301"/>
      <c r="H108" s="319"/>
      <c r="I108" s="18"/>
    </row>
    <row r="109" spans="3:9" ht="13.45" x14ac:dyDescent="0.25">
      <c r="C109" s="18"/>
      <c r="D109" s="18"/>
      <c r="E109" s="18"/>
      <c r="F109" s="301"/>
      <c r="G109" s="301"/>
      <c r="H109" s="319"/>
      <c r="I109" s="18"/>
    </row>
    <row r="110" spans="3:9" ht="13.45" x14ac:dyDescent="0.25">
      <c r="C110" s="18"/>
      <c r="D110" s="18"/>
      <c r="E110" s="18"/>
      <c r="F110" s="301"/>
      <c r="G110" s="301"/>
      <c r="H110" s="319"/>
      <c r="I110" s="18"/>
    </row>
    <row r="111" spans="3:9" ht="13.45" x14ac:dyDescent="0.25">
      <c r="C111" s="18"/>
      <c r="D111" s="18"/>
      <c r="E111" s="18"/>
      <c r="F111" s="301"/>
      <c r="G111" s="301"/>
      <c r="H111" s="319"/>
      <c r="I111" s="18"/>
    </row>
    <row r="112" spans="3:9" ht="13.45" x14ac:dyDescent="0.25">
      <c r="C112" s="18"/>
      <c r="D112" s="18"/>
      <c r="E112" s="18"/>
      <c r="F112" s="301"/>
      <c r="G112" s="301"/>
      <c r="H112" s="319"/>
      <c r="I112" s="18"/>
    </row>
    <row r="113" spans="3:9" ht="13.45" x14ac:dyDescent="0.25">
      <c r="C113" s="18"/>
      <c r="D113" s="18"/>
      <c r="E113" s="18"/>
      <c r="F113" s="301"/>
      <c r="G113" s="301"/>
      <c r="H113" s="319"/>
      <c r="I113" s="18"/>
    </row>
    <row r="114" spans="3:9" ht="13.45" x14ac:dyDescent="0.25">
      <c r="C114" s="18"/>
      <c r="D114" s="18"/>
      <c r="E114" s="18"/>
      <c r="F114" s="301"/>
      <c r="G114" s="301"/>
      <c r="H114" s="319"/>
      <c r="I114" s="18"/>
    </row>
    <row r="115" spans="3:9" ht="13.45" x14ac:dyDescent="0.25">
      <c r="C115" s="18"/>
      <c r="D115" s="18"/>
      <c r="E115" s="18"/>
      <c r="F115" s="301"/>
      <c r="G115" s="301"/>
      <c r="H115" s="319"/>
      <c r="I115" s="18"/>
    </row>
    <row r="116" spans="3:9" ht="13.45" x14ac:dyDescent="0.25">
      <c r="C116" s="18"/>
      <c r="D116" s="18"/>
      <c r="E116" s="18"/>
      <c r="F116" s="301"/>
      <c r="G116" s="301"/>
      <c r="H116" s="319"/>
      <c r="I116" s="18"/>
    </row>
    <row r="117" spans="3:9" ht="13.45" x14ac:dyDescent="0.25">
      <c r="C117" s="18"/>
      <c r="D117" s="18"/>
      <c r="E117" s="18"/>
      <c r="F117" s="301"/>
      <c r="G117" s="301"/>
      <c r="H117" s="319"/>
      <c r="I117" s="18"/>
    </row>
    <row r="118" spans="3:9" ht="13.45" x14ac:dyDescent="0.25">
      <c r="C118" s="18"/>
      <c r="D118" s="18"/>
      <c r="E118" s="18"/>
      <c r="F118" s="301"/>
      <c r="G118" s="301"/>
      <c r="H118" s="319"/>
      <c r="I118" s="18"/>
    </row>
    <row r="119" spans="3:9" ht="13.45" x14ac:dyDescent="0.25">
      <c r="C119" s="18"/>
      <c r="D119" s="18"/>
      <c r="E119" s="18"/>
      <c r="F119" s="301"/>
      <c r="G119" s="301"/>
      <c r="H119" s="319"/>
      <c r="I119" s="18"/>
    </row>
    <row r="120" spans="3:9" ht="13.45" x14ac:dyDescent="0.25">
      <c r="C120" s="18"/>
      <c r="D120" s="18"/>
      <c r="E120" s="18"/>
      <c r="F120" s="301"/>
      <c r="G120" s="301"/>
      <c r="H120" s="319"/>
      <c r="I120" s="18"/>
    </row>
    <row r="121" spans="3:9" ht="13.45" x14ac:dyDescent="0.25">
      <c r="C121" s="18"/>
      <c r="D121" s="18"/>
      <c r="E121" s="18"/>
      <c r="F121" s="301"/>
      <c r="G121" s="301"/>
      <c r="H121" s="319"/>
      <c r="I121" s="18"/>
    </row>
    <row r="122" spans="3:9" ht="13.45" x14ac:dyDescent="0.25">
      <c r="C122" s="18"/>
      <c r="D122" s="18"/>
      <c r="E122" s="18"/>
      <c r="F122" s="301"/>
      <c r="G122" s="301"/>
      <c r="H122" s="319"/>
      <c r="I122" s="18"/>
    </row>
    <row r="123" spans="3:9" ht="13.45" x14ac:dyDescent="0.25">
      <c r="C123" s="18"/>
      <c r="D123" s="18"/>
      <c r="E123" s="18"/>
      <c r="F123" s="301"/>
      <c r="G123" s="301"/>
      <c r="H123" s="319"/>
      <c r="I123" s="18"/>
    </row>
    <row r="124" spans="3:9" ht="13.45" x14ac:dyDescent="0.25">
      <c r="C124" s="18"/>
      <c r="D124" s="18"/>
      <c r="E124" s="18"/>
      <c r="F124" s="301"/>
      <c r="G124" s="301"/>
      <c r="H124" s="319"/>
      <c r="I124" s="18"/>
    </row>
    <row r="125" spans="3:9" ht="13.45" x14ac:dyDescent="0.25">
      <c r="C125" s="18"/>
      <c r="D125" s="18"/>
      <c r="E125" s="18"/>
      <c r="F125" s="301"/>
      <c r="G125" s="301"/>
      <c r="H125" s="319"/>
      <c r="I125" s="18"/>
    </row>
    <row r="126" spans="3:9" ht="13.45" x14ac:dyDescent="0.25">
      <c r="C126" s="18"/>
      <c r="D126" s="18"/>
      <c r="E126" s="18"/>
      <c r="F126" s="301"/>
      <c r="G126" s="301"/>
      <c r="H126" s="319"/>
      <c r="I126" s="18"/>
    </row>
    <row r="127" spans="3:9" ht="13.45" x14ac:dyDescent="0.25">
      <c r="C127" s="18"/>
      <c r="D127" s="18"/>
      <c r="E127" s="18"/>
      <c r="F127" s="301"/>
      <c r="G127" s="301"/>
      <c r="H127" s="319"/>
      <c r="I127" s="18"/>
    </row>
    <row r="128" spans="3:9" ht="13.45" x14ac:dyDescent="0.25">
      <c r="C128" s="18"/>
      <c r="D128" s="18"/>
      <c r="E128" s="18"/>
      <c r="F128" s="301"/>
      <c r="G128" s="301"/>
      <c r="H128" s="319"/>
      <c r="I128" s="18"/>
    </row>
    <row r="129" spans="3:9" ht="13.45" x14ac:dyDescent="0.25">
      <c r="C129" s="18"/>
      <c r="D129" s="18"/>
      <c r="E129" s="18"/>
      <c r="F129" s="301"/>
      <c r="G129" s="301"/>
      <c r="H129" s="319"/>
      <c r="I129" s="18"/>
    </row>
    <row r="130" spans="3:9" ht="13.45" x14ac:dyDescent="0.25">
      <c r="C130" s="18"/>
      <c r="D130" s="18"/>
      <c r="E130" s="18"/>
      <c r="F130" s="301"/>
      <c r="G130" s="301"/>
      <c r="H130" s="319"/>
      <c r="I130" s="18"/>
    </row>
    <row r="131" spans="3:9" ht="13.45" x14ac:dyDescent="0.25">
      <c r="C131" s="18"/>
      <c r="D131" s="18"/>
      <c r="E131" s="18"/>
      <c r="F131" s="301"/>
      <c r="G131" s="301"/>
      <c r="H131" s="319"/>
      <c r="I131" s="18"/>
    </row>
    <row r="132" spans="3:9" ht="13.45" x14ac:dyDescent="0.25">
      <c r="C132" s="18"/>
      <c r="D132" s="18"/>
      <c r="E132" s="18"/>
      <c r="F132" s="301"/>
      <c r="G132" s="301"/>
      <c r="H132" s="319"/>
      <c r="I132" s="18"/>
    </row>
    <row r="133" spans="3:9" ht="13.45" x14ac:dyDescent="0.25">
      <c r="C133" s="18"/>
      <c r="D133" s="18"/>
      <c r="E133" s="18"/>
      <c r="F133" s="301"/>
      <c r="G133" s="301"/>
      <c r="H133" s="319"/>
      <c r="I133" s="18"/>
    </row>
    <row r="134" spans="3:9" ht="13.45" x14ac:dyDescent="0.25">
      <c r="C134" s="18"/>
      <c r="D134" s="18"/>
      <c r="E134" s="18"/>
      <c r="F134" s="301"/>
      <c r="G134" s="301"/>
      <c r="H134" s="319"/>
      <c r="I134" s="18"/>
    </row>
    <row r="135" spans="3:9" ht="13.45" x14ac:dyDescent="0.25">
      <c r="C135" s="18"/>
      <c r="D135" s="18"/>
      <c r="E135" s="18"/>
      <c r="F135" s="301"/>
      <c r="G135" s="301"/>
      <c r="H135" s="319"/>
      <c r="I135" s="18"/>
    </row>
    <row r="136" spans="3:9" ht="13.45" x14ac:dyDescent="0.25">
      <c r="C136" s="18"/>
      <c r="D136" s="18"/>
      <c r="E136" s="18"/>
      <c r="F136" s="301"/>
      <c r="G136" s="301"/>
      <c r="H136" s="319"/>
      <c r="I136" s="18"/>
    </row>
    <row r="137" spans="3:9" ht="13.45" x14ac:dyDescent="0.25">
      <c r="C137" s="18"/>
      <c r="D137" s="18"/>
      <c r="E137" s="18"/>
      <c r="F137" s="301"/>
      <c r="G137" s="301"/>
      <c r="H137" s="319"/>
      <c r="I137" s="18"/>
    </row>
    <row r="138" spans="3:9" ht="13.45" x14ac:dyDescent="0.25">
      <c r="C138" s="18"/>
      <c r="D138" s="18"/>
      <c r="E138" s="18"/>
      <c r="F138" s="301"/>
      <c r="G138" s="301"/>
      <c r="H138" s="319"/>
      <c r="I138" s="18"/>
    </row>
    <row r="139" spans="3:9" ht="13.45" x14ac:dyDescent="0.25">
      <c r="C139" s="18"/>
      <c r="D139" s="18"/>
      <c r="E139" s="18"/>
      <c r="F139" s="301"/>
      <c r="G139" s="301"/>
      <c r="H139" s="319"/>
      <c r="I139" s="18"/>
    </row>
    <row r="140" spans="3:9" ht="13.45" x14ac:dyDescent="0.25">
      <c r="C140" s="18"/>
      <c r="D140" s="18"/>
      <c r="E140" s="18"/>
      <c r="F140" s="301"/>
      <c r="G140" s="301"/>
      <c r="H140" s="319"/>
      <c r="I140" s="18"/>
    </row>
    <row r="141" spans="3:9" ht="13.45" x14ac:dyDescent="0.25">
      <c r="C141" s="18"/>
      <c r="D141" s="18"/>
      <c r="E141" s="18"/>
      <c r="F141" s="301"/>
      <c r="G141" s="301"/>
      <c r="H141" s="319"/>
      <c r="I141" s="18"/>
    </row>
    <row r="142" spans="3:9" ht="13.45" x14ac:dyDescent="0.25">
      <c r="C142" s="18"/>
      <c r="D142" s="18"/>
      <c r="E142" s="18"/>
      <c r="F142" s="301"/>
      <c r="G142" s="301"/>
      <c r="H142" s="319"/>
      <c r="I142" s="18"/>
    </row>
    <row r="143" spans="3:9" ht="13.45" x14ac:dyDescent="0.25">
      <c r="C143" s="18"/>
      <c r="D143" s="18"/>
      <c r="E143" s="18"/>
      <c r="F143" s="301"/>
      <c r="G143" s="301"/>
      <c r="H143" s="319"/>
      <c r="I143" s="18"/>
    </row>
    <row r="144" spans="3:9" ht="13.45" x14ac:dyDescent="0.25">
      <c r="C144" s="18"/>
      <c r="D144" s="18"/>
      <c r="E144" s="18"/>
      <c r="F144" s="301"/>
      <c r="G144" s="301"/>
      <c r="H144" s="319"/>
      <c r="I144" s="18"/>
    </row>
    <row r="145" spans="3:9" ht="13.45" x14ac:dyDescent="0.25">
      <c r="C145" s="18"/>
      <c r="D145" s="18"/>
      <c r="E145" s="18"/>
      <c r="F145" s="301"/>
      <c r="G145" s="301"/>
      <c r="H145" s="319"/>
      <c r="I145" s="18"/>
    </row>
    <row r="146" spans="3:9" ht="13.45" x14ac:dyDescent="0.25">
      <c r="C146" s="18"/>
      <c r="D146" s="18"/>
      <c r="E146" s="18"/>
      <c r="F146" s="301"/>
      <c r="G146" s="301"/>
      <c r="H146" s="319"/>
      <c r="I146" s="18"/>
    </row>
    <row r="147" spans="3:9" ht="13.45" x14ac:dyDescent="0.25">
      <c r="C147" s="18"/>
      <c r="D147" s="18"/>
      <c r="E147" s="18"/>
      <c r="F147" s="301"/>
      <c r="G147" s="301"/>
      <c r="H147" s="319"/>
      <c r="I147" s="18"/>
    </row>
    <row r="148" spans="3:9" ht="13.45" x14ac:dyDescent="0.25">
      <c r="C148" s="18"/>
      <c r="D148" s="18"/>
      <c r="E148" s="18"/>
      <c r="F148" s="301"/>
      <c r="G148" s="301"/>
      <c r="H148" s="319"/>
      <c r="I148" s="18"/>
    </row>
    <row r="149" spans="3:9" ht="13.45" x14ac:dyDescent="0.25">
      <c r="C149" s="18"/>
      <c r="D149" s="18"/>
      <c r="E149" s="18"/>
      <c r="F149" s="301"/>
      <c r="G149" s="301"/>
      <c r="H149" s="319"/>
      <c r="I149" s="18"/>
    </row>
    <row r="150" spans="3:9" ht="13.45" x14ac:dyDescent="0.25">
      <c r="C150" s="18"/>
      <c r="D150" s="18"/>
      <c r="E150" s="18"/>
      <c r="F150" s="301"/>
      <c r="G150" s="301"/>
      <c r="H150" s="319"/>
      <c r="I150" s="18"/>
    </row>
    <row r="151" spans="3:9" ht="13.45" x14ac:dyDescent="0.25">
      <c r="C151" s="18"/>
      <c r="D151" s="18"/>
      <c r="E151" s="18"/>
      <c r="F151" s="301"/>
      <c r="G151" s="301"/>
      <c r="H151" s="319"/>
      <c r="I151" s="18"/>
    </row>
    <row r="152" spans="3:9" ht="13.45" x14ac:dyDescent="0.25">
      <c r="C152" s="18"/>
      <c r="D152" s="18"/>
      <c r="E152" s="18"/>
      <c r="F152" s="301"/>
      <c r="G152" s="301"/>
      <c r="H152" s="319"/>
      <c r="I152" s="18"/>
    </row>
    <row r="153" spans="3:9" ht="13.45" x14ac:dyDescent="0.25">
      <c r="C153" s="18"/>
      <c r="D153" s="18"/>
      <c r="E153" s="18"/>
      <c r="F153" s="301"/>
      <c r="G153" s="301"/>
      <c r="H153" s="319"/>
      <c r="I153" s="18"/>
    </row>
    <row r="154" spans="3:9" ht="13.45" x14ac:dyDescent="0.25">
      <c r="C154" s="18"/>
      <c r="D154" s="18"/>
      <c r="E154" s="18"/>
      <c r="F154" s="301"/>
      <c r="G154" s="301"/>
      <c r="H154" s="319"/>
      <c r="I154" s="18"/>
    </row>
    <row r="155" spans="3:9" ht="13.45" x14ac:dyDescent="0.25">
      <c r="C155" s="18"/>
      <c r="D155" s="18"/>
      <c r="E155" s="18"/>
      <c r="F155" s="301"/>
      <c r="G155" s="301"/>
      <c r="H155" s="319"/>
      <c r="I155" s="18"/>
    </row>
    <row r="156" spans="3:9" ht="13.45" x14ac:dyDescent="0.25">
      <c r="C156" s="18"/>
      <c r="D156" s="18"/>
      <c r="E156" s="18"/>
      <c r="F156" s="301"/>
      <c r="G156" s="301"/>
      <c r="H156" s="319"/>
      <c r="I156" s="18"/>
    </row>
    <row r="157" spans="3:9" ht="13.45" x14ac:dyDescent="0.25">
      <c r="C157" s="18"/>
      <c r="D157" s="18"/>
      <c r="E157" s="18"/>
      <c r="F157" s="301"/>
      <c r="G157" s="301"/>
      <c r="H157" s="319"/>
      <c r="I157" s="18"/>
    </row>
    <row r="158" spans="3:9" ht="13.45" x14ac:dyDescent="0.25">
      <c r="C158" s="18"/>
      <c r="D158" s="18"/>
      <c r="E158" s="18"/>
      <c r="F158" s="301"/>
      <c r="G158" s="301"/>
      <c r="H158" s="319"/>
      <c r="I158" s="18"/>
    </row>
    <row r="159" spans="3:9" ht="13.45" x14ac:dyDescent="0.25">
      <c r="C159" s="18"/>
      <c r="D159" s="18"/>
      <c r="E159" s="18"/>
      <c r="F159" s="301"/>
      <c r="G159" s="301"/>
      <c r="H159" s="319"/>
      <c r="I159" s="18"/>
    </row>
    <row r="160" spans="3:9" ht="13.45" x14ac:dyDescent="0.25">
      <c r="C160" s="18"/>
      <c r="D160" s="18"/>
      <c r="E160" s="18"/>
      <c r="F160" s="301"/>
      <c r="G160" s="301"/>
      <c r="H160" s="319"/>
      <c r="I160" s="18"/>
    </row>
    <row r="161" spans="3:9" ht="13.45" x14ac:dyDescent="0.25">
      <c r="C161" s="18"/>
      <c r="D161" s="18"/>
      <c r="E161" s="18"/>
      <c r="F161" s="301"/>
      <c r="G161" s="301"/>
      <c r="H161" s="319"/>
      <c r="I161" s="18"/>
    </row>
    <row r="162" spans="3:9" ht="13.45" x14ac:dyDescent="0.25">
      <c r="C162" s="18"/>
      <c r="D162" s="18"/>
      <c r="E162" s="18"/>
      <c r="F162" s="301"/>
      <c r="G162" s="301"/>
      <c r="H162" s="319"/>
      <c r="I162" s="18"/>
    </row>
    <row r="163" spans="3:9" ht="13.45" x14ac:dyDescent="0.25">
      <c r="C163" s="18"/>
      <c r="D163" s="18"/>
      <c r="E163" s="18"/>
      <c r="F163" s="301"/>
      <c r="G163" s="301"/>
      <c r="H163" s="319"/>
      <c r="I163" s="18"/>
    </row>
    <row r="164" spans="3:9" ht="13.45" x14ac:dyDescent="0.25">
      <c r="C164" s="18"/>
      <c r="D164" s="18"/>
      <c r="E164" s="18"/>
      <c r="F164" s="301"/>
      <c r="G164" s="301"/>
      <c r="H164" s="319"/>
      <c r="I164" s="18"/>
    </row>
    <row r="165" spans="3:9" ht="13.45" x14ac:dyDescent="0.25">
      <c r="C165" s="18"/>
      <c r="D165" s="18"/>
      <c r="E165" s="18"/>
      <c r="F165" s="301"/>
      <c r="G165" s="301"/>
      <c r="H165" s="319"/>
      <c r="I165" s="18"/>
    </row>
    <row r="166" spans="3:9" ht="13.45" x14ac:dyDescent="0.25">
      <c r="C166" s="18"/>
      <c r="D166" s="18"/>
      <c r="E166" s="18"/>
      <c r="F166" s="301"/>
      <c r="G166" s="301"/>
      <c r="H166" s="319"/>
      <c r="I166" s="18"/>
    </row>
    <row r="167" spans="3:9" ht="13.45" x14ac:dyDescent="0.25">
      <c r="C167" s="18"/>
      <c r="D167" s="18"/>
      <c r="E167" s="18"/>
      <c r="F167" s="301"/>
      <c r="G167" s="301"/>
      <c r="H167" s="319"/>
      <c r="I167" s="18"/>
    </row>
    <row r="168" spans="3:9" ht="13.45" x14ac:dyDescent="0.25">
      <c r="C168" s="18"/>
      <c r="D168" s="18"/>
      <c r="E168" s="18"/>
      <c r="F168" s="301"/>
      <c r="G168" s="301"/>
      <c r="H168" s="319"/>
      <c r="I168" s="18"/>
    </row>
    <row r="169" spans="3:9" ht="13.45" x14ac:dyDescent="0.25">
      <c r="C169" s="18"/>
      <c r="D169" s="18"/>
      <c r="E169" s="18"/>
      <c r="F169" s="301"/>
      <c r="G169" s="301"/>
      <c r="H169" s="319"/>
      <c r="I169" s="18"/>
    </row>
    <row r="170" spans="3:9" ht="13.45" x14ac:dyDescent="0.25">
      <c r="C170" s="18"/>
      <c r="D170" s="18"/>
      <c r="E170" s="18"/>
      <c r="F170" s="301"/>
      <c r="G170" s="301"/>
      <c r="H170" s="319"/>
      <c r="I170" s="18"/>
    </row>
    <row r="171" spans="3:9" ht="13.45" x14ac:dyDescent="0.25">
      <c r="C171" s="18"/>
      <c r="D171" s="18"/>
      <c r="E171" s="18"/>
      <c r="F171" s="301"/>
      <c r="G171" s="301"/>
      <c r="H171" s="319"/>
      <c r="I171" s="18"/>
    </row>
    <row r="172" spans="3:9" ht="13.45" x14ac:dyDescent="0.25">
      <c r="C172" s="18"/>
      <c r="D172" s="18"/>
      <c r="E172" s="18"/>
      <c r="F172" s="301"/>
      <c r="G172" s="301"/>
      <c r="H172" s="319"/>
      <c r="I172" s="18"/>
    </row>
    <row r="173" spans="3:9" ht="13.45" x14ac:dyDescent="0.25">
      <c r="C173" s="18"/>
      <c r="D173" s="18"/>
      <c r="E173" s="18"/>
      <c r="F173" s="301"/>
      <c r="G173" s="301"/>
      <c r="H173" s="319"/>
      <c r="I173" s="18"/>
    </row>
    <row r="174" spans="3:9" ht="13.45" x14ac:dyDescent="0.25">
      <c r="C174" s="18"/>
      <c r="D174" s="18"/>
      <c r="E174" s="18"/>
      <c r="F174" s="301"/>
      <c r="G174" s="301"/>
      <c r="H174" s="319"/>
      <c r="I174" s="18"/>
    </row>
    <row r="175" spans="3:9" ht="13.45" x14ac:dyDescent="0.25">
      <c r="C175" s="18"/>
      <c r="D175" s="18"/>
      <c r="E175" s="18"/>
      <c r="F175" s="301"/>
      <c r="G175" s="301"/>
      <c r="H175" s="319"/>
      <c r="I175" s="18"/>
    </row>
    <row r="176" spans="3:9" ht="13.45" x14ac:dyDescent="0.25">
      <c r="C176" s="18"/>
      <c r="D176" s="18"/>
      <c r="E176" s="18"/>
      <c r="F176" s="301"/>
      <c r="G176" s="301"/>
      <c r="H176" s="319"/>
      <c r="I176" s="18"/>
    </row>
    <row r="177" spans="3:9" ht="13.45" x14ac:dyDescent="0.25">
      <c r="C177" s="18"/>
      <c r="D177" s="18"/>
      <c r="E177" s="18"/>
      <c r="F177" s="301"/>
      <c r="G177" s="301"/>
      <c r="H177" s="319"/>
      <c r="I177" s="18"/>
    </row>
    <row r="178" spans="3:9" ht="13.45" x14ac:dyDescent="0.25">
      <c r="C178" s="18"/>
      <c r="D178" s="18"/>
      <c r="E178" s="18"/>
      <c r="F178" s="301"/>
      <c r="G178" s="301"/>
      <c r="H178" s="319"/>
      <c r="I178" s="18"/>
    </row>
    <row r="179" spans="3:9" ht="13.45" x14ac:dyDescent="0.25">
      <c r="C179" s="18"/>
      <c r="D179" s="18"/>
      <c r="E179" s="18"/>
      <c r="F179" s="301"/>
      <c r="G179" s="301"/>
      <c r="H179" s="319"/>
      <c r="I179" s="18"/>
    </row>
    <row r="180" spans="3:9" ht="13.45" x14ac:dyDescent="0.25">
      <c r="C180" s="18"/>
      <c r="D180" s="18"/>
      <c r="E180" s="18"/>
      <c r="F180" s="301"/>
      <c r="G180" s="301"/>
      <c r="H180" s="319"/>
      <c r="I180" s="18"/>
    </row>
    <row r="181" spans="3:9" ht="13.45" x14ac:dyDescent="0.25">
      <c r="C181" s="18"/>
      <c r="D181" s="18"/>
      <c r="E181" s="18"/>
      <c r="F181" s="301"/>
      <c r="G181" s="301"/>
      <c r="H181" s="319"/>
      <c r="I181" s="18"/>
    </row>
    <row r="182" spans="3:9" ht="13.45" x14ac:dyDescent="0.25">
      <c r="C182" s="18"/>
      <c r="D182" s="18"/>
      <c r="E182" s="18"/>
      <c r="F182" s="301"/>
      <c r="G182" s="301"/>
      <c r="H182" s="319"/>
      <c r="I182" s="18"/>
    </row>
    <row r="183" spans="3:9" ht="13.45" x14ac:dyDescent="0.25">
      <c r="C183" s="18"/>
      <c r="D183" s="18"/>
      <c r="E183" s="18"/>
      <c r="F183" s="301"/>
      <c r="G183" s="301"/>
      <c r="H183" s="319"/>
      <c r="I183" s="18"/>
    </row>
    <row r="184" spans="3:9" ht="13.45" x14ac:dyDescent="0.25">
      <c r="C184" s="18"/>
      <c r="D184" s="18"/>
      <c r="E184" s="18"/>
      <c r="F184" s="301"/>
      <c r="G184" s="301"/>
      <c r="H184" s="319"/>
      <c r="I184" s="18"/>
    </row>
    <row r="185" spans="3:9" ht="13.45" x14ac:dyDescent="0.25">
      <c r="C185" s="18"/>
      <c r="D185" s="18"/>
      <c r="E185" s="18"/>
      <c r="F185" s="301"/>
      <c r="G185" s="301"/>
      <c r="H185" s="319"/>
      <c r="I185" s="18"/>
    </row>
    <row r="186" spans="3:9" ht="13.45" x14ac:dyDescent="0.25">
      <c r="C186" s="18"/>
      <c r="D186" s="18"/>
      <c r="E186" s="18"/>
      <c r="F186" s="301"/>
      <c r="G186" s="301"/>
      <c r="H186" s="319"/>
      <c r="I186" s="18"/>
    </row>
    <row r="187" spans="3:9" ht="13.45" x14ac:dyDescent="0.25">
      <c r="C187" s="18"/>
      <c r="D187" s="18"/>
      <c r="E187" s="18"/>
      <c r="F187" s="301"/>
      <c r="G187" s="301"/>
      <c r="H187" s="319"/>
      <c r="I187" s="18"/>
    </row>
    <row r="188" spans="3:9" ht="13.45" x14ac:dyDescent="0.25">
      <c r="C188" s="18"/>
      <c r="D188" s="18"/>
      <c r="E188" s="18"/>
      <c r="F188" s="301"/>
      <c r="G188" s="301"/>
      <c r="H188" s="319"/>
      <c r="I188" s="18"/>
    </row>
    <row r="189" spans="3:9" ht="13.45" x14ac:dyDescent="0.25">
      <c r="C189" s="18"/>
      <c r="D189" s="18"/>
      <c r="E189" s="18"/>
      <c r="F189" s="301"/>
      <c r="G189" s="301"/>
      <c r="H189" s="319"/>
      <c r="I189" s="18"/>
    </row>
    <row r="190" spans="3:9" ht="13.45" x14ac:dyDescent="0.25">
      <c r="C190" s="18"/>
      <c r="D190" s="18"/>
      <c r="E190" s="18"/>
      <c r="F190" s="301"/>
      <c r="G190" s="301"/>
      <c r="H190" s="319"/>
      <c r="I190" s="18"/>
    </row>
    <row r="191" spans="3:9" ht="13.45" x14ac:dyDescent="0.25">
      <c r="C191" s="18"/>
      <c r="D191" s="18"/>
      <c r="E191" s="18"/>
      <c r="F191" s="301"/>
      <c r="G191" s="301"/>
      <c r="H191" s="319"/>
      <c r="I191" s="18"/>
    </row>
    <row r="192" spans="3:9" ht="13.45" x14ac:dyDescent="0.25">
      <c r="C192" s="18"/>
      <c r="D192" s="18"/>
      <c r="E192" s="18"/>
      <c r="F192" s="301"/>
      <c r="G192" s="301"/>
      <c r="H192" s="319"/>
      <c r="I192" s="18"/>
    </row>
    <row r="193" spans="3:9" ht="13.45" x14ac:dyDescent="0.25">
      <c r="C193" s="18"/>
      <c r="D193" s="18"/>
      <c r="E193" s="18"/>
      <c r="F193" s="301"/>
      <c r="G193" s="301"/>
      <c r="H193" s="319"/>
      <c r="I193" s="18"/>
    </row>
    <row r="194" spans="3:9" ht="13.45" x14ac:dyDescent="0.25">
      <c r="C194" s="18"/>
      <c r="D194" s="18"/>
      <c r="E194" s="18"/>
      <c r="F194" s="301"/>
      <c r="G194" s="301"/>
      <c r="H194" s="319"/>
      <c r="I194" s="18"/>
    </row>
    <row r="195" spans="3:9" ht="13.45" x14ac:dyDescent="0.25">
      <c r="C195" s="18"/>
      <c r="D195" s="18"/>
      <c r="E195" s="18"/>
      <c r="F195" s="301"/>
      <c r="G195" s="301"/>
      <c r="H195" s="319"/>
      <c r="I195" s="18"/>
    </row>
    <row r="196" spans="3:9" ht="13.45" x14ac:dyDescent="0.25">
      <c r="C196" s="18"/>
      <c r="D196" s="18"/>
      <c r="E196" s="18"/>
      <c r="F196" s="301"/>
      <c r="G196" s="301"/>
      <c r="H196" s="319"/>
      <c r="I196" s="18"/>
    </row>
    <row r="197" spans="3:9" ht="13.45" x14ac:dyDescent="0.25">
      <c r="C197" s="18"/>
      <c r="D197" s="18"/>
      <c r="E197" s="18"/>
      <c r="F197" s="301"/>
      <c r="G197" s="301"/>
      <c r="H197" s="319"/>
      <c r="I197" s="18"/>
    </row>
    <row r="198" spans="3:9" ht="13.45" x14ac:dyDescent="0.25">
      <c r="C198" s="18"/>
      <c r="D198" s="18"/>
      <c r="E198" s="18"/>
      <c r="F198" s="301"/>
      <c r="G198" s="301"/>
      <c r="H198" s="319"/>
      <c r="I198" s="18"/>
    </row>
    <row r="199" spans="3:9" ht="13.45" x14ac:dyDescent="0.25">
      <c r="C199" s="18"/>
      <c r="D199" s="18"/>
      <c r="E199" s="18"/>
      <c r="F199" s="301"/>
      <c r="G199" s="301"/>
      <c r="H199" s="319"/>
      <c r="I199" s="18"/>
    </row>
    <row r="200" spans="3:9" ht="13.45" x14ac:dyDescent="0.25">
      <c r="C200" s="18"/>
      <c r="D200" s="18"/>
      <c r="E200" s="18"/>
      <c r="F200" s="301"/>
      <c r="G200" s="301"/>
      <c r="H200" s="319"/>
      <c r="I200" s="18"/>
    </row>
    <row r="201" spans="3:9" ht="13.45" x14ac:dyDescent="0.25">
      <c r="C201" s="18"/>
      <c r="D201" s="18"/>
      <c r="E201" s="18"/>
      <c r="F201" s="301"/>
      <c r="G201" s="301"/>
      <c r="H201" s="319"/>
      <c r="I201" s="18"/>
    </row>
    <row r="202" spans="3:9" ht="13.45" x14ac:dyDescent="0.25">
      <c r="C202" s="18"/>
      <c r="D202" s="18"/>
      <c r="E202" s="18"/>
      <c r="F202" s="301"/>
      <c r="G202" s="301"/>
      <c r="H202" s="319"/>
      <c r="I202" s="18"/>
    </row>
    <row r="203" spans="3:9" ht="13.45" x14ac:dyDescent="0.25">
      <c r="C203" s="18"/>
      <c r="D203" s="18"/>
      <c r="E203" s="18"/>
      <c r="F203" s="301"/>
      <c r="G203" s="301"/>
      <c r="H203" s="319"/>
      <c r="I203" s="18"/>
    </row>
    <row r="204" spans="3:9" ht="13.45" x14ac:dyDescent="0.25">
      <c r="C204" s="18"/>
      <c r="D204" s="18"/>
      <c r="E204" s="18"/>
      <c r="F204" s="301"/>
      <c r="G204" s="301"/>
      <c r="H204" s="319"/>
      <c r="I204" s="18"/>
    </row>
    <row r="205" spans="3:9" ht="13.45" x14ac:dyDescent="0.25">
      <c r="C205" s="18"/>
      <c r="D205" s="18"/>
      <c r="E205" s="18"/>
      <c r="F205" s="301"/>
      <c r="G205" s="301"/>
      <c r="H205" s="319"/>
      <c r="I205" s="18"/>
    </row>
    <row r="206" spans="3:9" ht="13.45" x14ac:dyDescent="0.25">
      <c r="C206" s="18"/>
      <c r="D206" s="18"/>
      <c r="E206" s="18"/>
      <c r="F206" s="301"/>
      <c r="G206" s="301"/>
      <c r="H206" s="319"/>
      <c r="I206" s="18"/>
    </row>
    <row r="207" spans="3:9" ht="13.45" x14ac:dyDescent="0.25">
      <c r="C207" s="18"/>
      <c r="D207" s="18"/>
      <c r="E207" s="18"/>
      <c r="F207" s="301"/>
      <c r="G207" s="301"/>
      <c r="H207" s="319"/>
      <c r="I207" s="18"/>
    </row>
    <row r="208" spans="3:9" ht="13.45" x14ac:dyDescent="0.25">
      <c r="C208" s="18"/>
      <c r="D208" s="18"/>
      <c r="E208" s="18"/>
      <c r="F208" s="301"/>
      <c r="G208" s="301"/>
      <c r="H208" s="319"/>
      <c r="I208" s="18"/>
    </row>
    <row r="209" spans="3:9" ht="13.45" x14ac:dyDescent="0.25">
      <c r="C209" s="18"/>
      <c r="D209" s="18"/>
      <c r="E209" s="18"/>
      <c r="F209" s="301"/>
      <c r="G209" s="301"/>
      <c r="H209" s="319"/>
      <c r="I209" s="18"/>
    </row>
    <row r="210" spans="3:9" ht="13.45" x14ac:dyDescent="0.25">
      <c r="C210" s="18"/>
      <c r="D210" s="18"/>
      <c r="E210" s="18"/>
      <c r="F210" s="301"/>
      <c r="G210" s="301"/>
      <c r="H210" s="319"/>
      <c r="I210" s="18"/>
    </row>
    <row r="211" spans="3:9" ht="13.45" x14ac:dyDescent="0.25">
      <c r="C211" s="18"/>
      <c r="D211" s="18"/>
      <c r="E211" s="18"/>
      <c r="F211" s="301"/>
      <c r="G211" s="301"/>
      <c r="H211" s="319"/>
      <c r="I211" s="18"/>
    </row>
    <row r="212" spans="3:9" ht="13.45" x14ac:dyDescent="0.25">
      <c r="C212" s="18"/>
      <c r="D212" s="18"/>
      <c r="E212" s="18"/>
      <c r="F212" s="301"/>
      <c r="G212" s="301"/>
      <c r="H212" s="319"/>
      <c r="I212" s="18"/>
    </row>
    <row r="213" spans="3:9" ht="13.45" x14ac:dyDescent="0.25">
      <c r="C213" s="18"/>
      <c r="D213" s="18"/>
      <c r="E213" s="18"/>
      <c r="F213" s="301"/>
      <c r="G213" s="301"/>
      <c r="H213" s="319"/>
      <c r="I213" s="18"/>
    </row>
    <row r="214" spans="3:9" ht="13.45" x14ac:dyDescent="0.25">
      <c r="C214" s="18"/>
      <c r="D214" s="18"/>
      <c r="E214" s="18"/>
      <c r="F214" s="301"/>
      <c r="G214" s="301"/>
      <c r="H214" s="319"/>
      <c r="I214" s="18"/>
    </row>
    <row r="215" spans="3:9" ht="13.45" x14ac:dyDescent="0.25">
      <c r="C215" s="18"/>
      <c r="D215" s="18"/>
      <c r="E215" s="18"/>
      <c r="F215" s="301"/>
      <c r="G215" s="301"/>
      <c r="H215" s="319"/>
      <c r="I215" s="18"/>
    </row>
    <row r="216" spans="3:9" ht="13.45" x14ac:dyDescent="0.25">
      <c r="C216" s="18"/>
      <c r="D216" s="18"/>
      <c r="E216" s="18"/>
      <c r="F216" s="301"/>
      <c r="G216" s="301"/>
      <c r="H216" s="319"/>
      <c r="I216" s="18"/>
    </row>
    <row r="217" spans="3:9" ht="13.45" x14ac:dyDescent="0.25">
      <c r="C217" s="18"/>
      <c r="D217" s="18"/>
      <c r="E217" s="18"/>
      <c r="F217" s="301"/>
      <c r="G217" s="301"/>
      <c r="H217" s="319"/>
      <c r="I217" s="18"/>
    </row>
    <row r="218" spans="3:9" ht="13.45" x14ac:dyDescent="0.25">
      <c r="C218" s="18"/>
      <c r="D218" s="18"/>
      <c r="E218" s="18"/>
      <c r="F218" s="301"/>
      <c r="G218" s="301"/>
      <c r="H218" s="319"/>
      <c r="I218" s="18"/>
    </row>
    <row r="219" spans="3:9" ht="13.45" x14ac:dyDescent="0.25">
      <c r="C219" s="18"/>
      <c r="D219" s="18"/>
      <c r="E219" s="18"/>
      <c r="F219" s="301"/>
      <c r="G219" s="301"/>
      <c r="H219" s="319"/>
      <c r="I219" s="18"/>
    </row>
    <row r="220" spans="3:9" ht="13.45" x14ac:dyDescent="0.25">
      <c r="C220" s="18"/>
      <c r="D220" s="18"/>
      <c r="E220" s="18"/>
      <c r="F220" s="301"/>
      <c r="G220" s="301"/>
      <c r="H220" s="319"/>
      <c r="I220" s="18"/>
    </row>
    <row r="221" spans="3:9" ht="13.45" x14ac:dyDescent="0.25">
      <c r="C221" s="18"/>
      <c r="D221" s="18"/>
      <c r="E221" s="18"/>
      <c r="F221" s="301"/>
      <c r="G221" s="301"/>
      <c r="H221" s="319"/>
      <c r="I221" s="18"/>
    </row>
    <row r="222" spans="3:9" ht="13.45" x14ac:dyDescent="0.25">
      <c r="C222" s="18"/>
      <c r="D222" s="18"/>
      <c r="E222" s="18"/>
      <c r="F222" s="301"/>
      <c r="G222" s="301"/>
      <c r="H222" s="319"/>
      <c r="I222" s="18"/>
    </row>
    <row r="223" spans="3:9" ht="13.45" x14ac:dyDescent="0.25">
      <c r="C223" s="18"/>
      <c r="D223" s="18"/>
      <c r="E223" s="18"/>
      <c r="F223" s="301"/>
      <c r="G223" s="301"/>
      <c r="H223" s="319"/>
      <c r="I223" s="18"/>
    </row>
    <row r="224" spans="3:9" ht="13.45" x14ac:dyDescent="0.25">
      <c r="C224" s="18"/>
      <c r="D224" s="18"/>
      <c r="E224" s="18"/>
      <c r="F224" s="301"/>
      <c r="G224" s="301"/>
      <c r="H224" s="319"/>
      <c r="I224" s="18"/>
    </row>
    <row r="225" spans="3:9" ht="13.45" x14ac:dyDescent="0.25">
      <c r="C225" s="18"/>
      <c r="D225" s="18"/>
      <c r="E225" s="18"/>
      <c r="F225" s="301"/>
      <c r="G225" s="301"/>
      <c r="H225" s="319"/>
      <c r="I225" s="18"/>
    </row>
    <row r="226" spans="3:9" ht="13.45" x14ac:dyDescent="0.25">
      <c r="C226" s="18"/>
      <c r="D226" s="18"/>
      <c r="E226" s="18"/>
      <c r="F226" s="301"/>
      <c r="G226" s="301"/>
      <c r="H226" s="319"/>
      <c r="I226" s="18"/>
    </row>
    <row r="227" spans="3:9" ht="13.45" x14ac:dyDescent="0.25">
      <c r="C227" s="18"/>
      <c r="D227" s="18"/>
      <c r="E227" s="18"/>
      <c r="F227" s="301"/>
      <c r="G227" s="301"/>
      <c r="H227" s="319"/>
      <c r="I227" s="18"/>
    </row>
    <row r="228" spans="3:9" ht="13.45" x14ac:dyDescent="0.25">
      <c r="C228" s="18"/>
      <c r="D228" s="18"/>
      <c r="E228" s="18"/>
      <c r="F228" s="301"/>
      <c r="G228" s="301"/>
      <c r="H228" s="319"/>
      <c r="I228" s="18"/>
    </row>
    <row r="229" spans="3:9" ht="13.45" x14ac:dyDescent="0.25">
      <c r="C229" s="18"/>
      <c r="D229" s="18"/>
      <c r="E229" s="18"/>
      <c r="F229" s="301"/>
      <c r="G229" s="301"/>
      <c r="H229" s="319"/>
      <c r="I229" s="18"/>
    </row>
    <row r="230" spans="3:9" ht="13.45" x14ac:dyDescent="0.25">
      <c r="C230" s="18"/>
      <c r="D230" s="18"/>
      <c r="E230" s="18"/>
      <c r="F230" s="301"/>
      <c r="G230" s="301"/>
      <c r="H230" s="319"/>
      <c r="I230" s="18"/>
    </row>
    <row r="231" spans="3:9" ht="13.45" x14ac:dyDescent="0.25">
      <c r="C231" s="18"/>
      <c r="D231" s="18"/>
      <c r="E231" s="18"/>
      <c r="F231" s="301"/>
      <c r="G231" s="301"/>
      <c r="H231" s="319"/>
      <c r="I231" s="18"/>
    </row>
    <row r="232" spans="3:9" ht="13.45" x14ac:dyDescent="0.25">
      <c r="C232" s="18"/>
      <c r="D232" s="18"/>
      <c r="E232" s="18"/>
      <c r="F232" s="301"/>
      <c r="G232" s="301"/>
      <c r="H232" s="319"/>
      <c r="I232" s="18"/>
    </row>
    <row r="233" spans="3:9" ht="13.45" x14ac:dyDescent="0.25">
      <c r="C233" s="18"/>
      <c r="D233" s="18"/>
      <c r="E233" s="18"/>
      <c r="F233" s="301"/>
      <c r="G233" s="301"/>
      <c r="H233" s="319"/>
      <c r="I233" s="18"/>
    </row>
    <row r="234" spans="3:9" ht="13.45" x14ac:dyDescent="0.25">
      <c r="C234" s="18"/>
      <c r="D234" s="18"/>
      <c r="E234" s="18"/>
      <c r="F234" s="301"/>
      <c r="G234" s="301"/>
      <c r="H234" s="319"/>
      <c r="I234" s="18"/>
    </row>
    <row r="235" spans="3:9" ht="13.45" x14ac:dyDescent="0.25">
      <c r="C235" s="18"/>
      <c r="D235" s="18"/>
      <c r="E235" s="18"/>
      <c r="F235" s="301"/>
      <c r="G235" s="301"/>
      <c r="H235" s="319"/>
      <c r="I235" s="18"/>
    </row>
    <row r="236" spans="3:9" ht="13.45" x14ac:dyDescent="0.25">
      <c r="C236" s="18"/>
      <c r="D236" s="18"/>
      <c r="E236" s="18"/>
      <c r="F236" s="301"/>
      <c r="G236" s="301"/>
      <c r="H236" s="319"/>
      <c r="I236" s="18"/>
    </row>
    <row r="237" spans="3:9" ht="13.45" x14ac:dyDescent="0.25">
      <c r="C237" s="18"/>
      <c r="D237" s="18"/>
      <c r="E237" s="18"/>
      <c r="F237" s="301"/>
      <c r="G237" s="301"/>
      <c r="H237" s="319"/>
      <c r="I237" s="18"/>
    </row>
    <row r="238" spans="3:9" ht="13.45" x14ac:dyDescent="0.25">
      <c r="C238" s="18"/>
      <c r="D238" s="18"/>
      <c r="E238" s="18"/>
      <c r="F238" s="301"/>
      <c r="G238" s="301"/>
      <c r="H238" s="319"/>
      <c r="I238" s="18"/>
    </row>
    <row r="239" spans="3:9" ht="13.45" x14ac:dyDescent="0.25">
      <c r="C239" s="18"/>
      <c r="D239" s="18"/>
      <c r="E239" s="18"/>
      <c r="F239" s="301"/>
      <c r="G239" s="301"/>
      <c r="H239" s="319"/>
      <c r="I239" s="18"/>
    </row>
    <row r="240" spans="3:9" ht="13.45" x14ac:dyDescent="0.25">
      <c r="C240" s="18"/>
      <c r="D240" s="18"/>
      <c r="E240" s="18"/>
      <c r="F240" s="301"/>
      <c r="G240" s="301"/>
      <c r="H240" s="319"/>
      <c r="I240" s="18"/>
    </row>
    <row r="241" spans="3:9" ht="13.45" x14ac:dyDescent="0.25">
      <c r="C241" s="18"/>
      <c r="D241" s="18"/>
      <c r="E241" s="18"/>
      <c r="F241" s="301"/>
      <c r="G241" s="301"/>
      <c r="H241" s="319"/>
      <c r="I241" s="18"/>
    </row>
    <row r="242" spans="3:9" ht="13.45" x14ac:dyDescent="0.25">
      <c r="C242" s="18"/>
      <c r="D242" s="18"/>
      <c r="E242" s="18"/>
      <c r="F242" s="301"/>
      <c r="G242" s="301"/>
      <c r="H242" s="319"/>
      <c r="I242" s="18"/>
    </row>
    <row r="243" spans="3:9" ht="13.45" x14ac:dyDescent="0.25">
      <c r="C243" s="18"/>
      <c r="D243" s="18"/>
      <c r="E243" s="18"/>
      <c r="F243" s="301"/>
      <c r="G243" s="301"/>
      <c r="H243" s="319"/>
      <c r="I243" s="18"/>
    </row>
    <row r="244" spans="3:9" ht="13.45" x14ac:dyDescent="0.25">
      <c r="C244" s="18"/>
      <c r="D244" s="18"/>
      <c r="E244" s="18"/>
      <c r="F244" s="301"/>
      <c r="G244" s="301"/>
      <c r="H244" s="319"/>
      <c r="I244" s="18"/>
    </row>
    <row r="245" spans="3:9" ht="13.45" x14ac:dyDescent="0.25">
      <c r="C245" s="18"/>
      <c r="D245" s="18"/>
      <c r="E245" s="18"/>
      <c r="F245" s="301"/>
      <c r="G245" s="301"/>
      <c r="H245" s="319"/>
      <c r="I245" s="18"/>
    </row>
    <row r="246" spans="3:9" ht="13.45" x14ac:dyDescent="0.25">
      <c r="C246" s="18"/>
      <c r="D246" s="18"/>
      <c r="E246" s="18"/>
      <c r="F246" s="301"/>
      <c r="G246" s="301"/>
      <c r="H246" s="319"/>
      <c r="I246" s="18"/>
    </row>
    <row r="247" spans="3:9" ht="13.45" x14ac:dyDescent="0.25">
      <c r="C247" s="18"/>
      <c r="D247" s="18"/>
      <c r="E247" s="18"/>
      <c r="F247" s="301"/>
      <c r="G247" s="301"/>
      <c r="H247" s="319"/>
      <c r="I247" s="18"/>
    </row>
    <row r="248" spans="3:9" ht="13.45" x14ac:dyDescent="0.25">
      <c r="C248" s="18"/>
      <c r="D248" s="18"/>
      <c r="E248" s="18"/>
      <c r="F248" s="301"/>
      <c r="G248" s="301"/>
      <c r="H248" s="319"/>
      <c r="I248" s="18"/>
    </row>
    <row r="249" spans="3:9" ht="13.45" x14ac:dyDescent="0.25">
      <c r="C249" s="18"/>
      <c r="D249" s="18"/>
      <c r="E249" s="18"/>
      <c r="F249" s="301"/>
      <c r="G249" s="301"/>
      <c r="H249" s="319"/>
      <c r="I249" s="18"/>
    </row>
    <row r="250" spans="3:9" ht="13.45" x14ac:dyDescent="0.25">
      <c r="C250" s="18"/>
      <c r="D250" s="18"/>
      <c r="E250" s="18"/>
      <c r="F250" s="301"/>
      <c r="G250" s="301"/>
      <c r="H250" s="319"/>
      <c r="I250" s="18"/>
    </row>
    <row r="251" spans="3:9" ht="13.45" x14ac:dyDescent="0.25">
      <c r="C251" s="18"/>
      <c r="D251" s="18"/>
      <c r="E251" s="18"/>
      <c r="F251" s="301"/>
      <c r="G251" s="301"/>
      <c r="H251" s="319"/>
      <c r="I251" s="18"/>
    </row>
    <row r="252" spans="3:9" ht="13.45" x14ac:dyDescent="0.25">
      <c r="C252" s="18"/>
      <c r="D252" s="18"/>
      <c r="E252" s="18"/>
      <c r="F252" s="301"/>
      <c r="G252" s="301"/>
      <c r="H252" s="319"/>
      <c r="I252" s="18"/>
    </row>
    <row r="253" spans="3:9" ht="13.45" x14ac:dyDescent="0.25">
      <c r="C253" s="18"/>
      <c r="D253" s="18"/>
      <c r="E253" s="18"/>
      <c r="F253" s="301"/>
      <c r="G253" s="301"/>
      <c r="H253" s="319"/>
      <c r="I253" s="18"/>
    </row>
    <row r="254" spans="3:9" ht="13.45" x14ac:dyDescent="0.25">
      <c r="C254" s="18"/>
      <c r="D254" s="18"/>
      <c r="E254" s="18"/>
      <c r="F254" s="301"/>
      <c r="G254" s="301"/>
      <c r="H254" s="319"/>
      <c r="I254" s="18"/>
    </row>
    <row r="255" spans="3:9" ht="13.45" x14ac:dyDescent="0.25">
      <c r="C255" s="18"/>
      <c r="D255" s="18"/>
      <c r="E255" s="18"/>
      <c r="F255" s="301"/>
      <c r="G255" s="301"/>
      <c r="H255" s="319"/>
      <c r="I255" s="18"/>
    </row>
    <row r="256" spans="3:9" ht="13.45" x14ac:dyDescent="0.25">
      <c r="C256" s="18"/>
      <c r="D256" s="18"/>
      <c r="E256" s="18"/>
      <c r="F256" s="301"/>
      <c r="G256" s="301"/>
      <c r="H256" s="319"/>
      <c r="I256" s="18"/>
    </row>
    <row r="257" spans="3:9" ht="13.45" x14ac:dyDescent="0.25">
      <c r="C257" s="18"/>
      <c r="D257" s="18"/>
      <c r="E257" s="18"/>
      <c r="F257" s="301"/>
      <c r="G257" s="301"/>
      <c r="H257" s="319"/>
      <c r="I257" s="18"/>
    </row>
    <row r="258" spans="3:9" ht="13.45" x14ac:dyDescent="0.25">
      <c r="C258" s="18"/>
      <c r="D258" s="18"/>
      <c r="E258" s="18"/>
      <c r="F258" s="301"/>
      <c r="G258" s="301"/>
      <c r="H258" s="319"/>
      <c r="I258" s="18"/>
    </row>
    <row r="259" spans="3:9" ht="13.45" x14ac:dyDescent="0.25">
      <c r="C259" s="18"/>
      <c r="D259" s="18"/>
      <c r="E259" s="18"/>
      <c r="F259" s="301"/>
      <c r="G259" s="301"/>
      <c r="H259" s="319"/>
      <c r="I259" s="18"/>
    </row>
    <row r="260" spans="3:9" ht="13.45" x14ac:dyDescent="0.25">
      <c r="C260" s="18"/>
      <c r="D260" s="18"/>
      <c r="E260" s="18"/>
      <c r="F260" s="301"/>
      <c r="G260" s="301"/>
      <c r="H260" s="319"/>
      <c r="I260" s="18"/>
    </row>
    <row r="261" spans="3:9" ht="13.45" x14ac:dyDescent="0.25">
      <c r="C261" s="18"/>
      <c r="D261" s="18"/>
      <c r="E261" s="18"/>
      <c r="F261" s="301"/>
      <c r="G261" s="301"/>
      <c r="H261" s="319"/>
      <c r="I261" s="18"/>
    </row>
    <row r="262" spans="3:9" ht="13.45" x14ac:dyDescent="0.25">
      <c r="C262" s="18"/>
      <c r="D262" s="18"/>
      <c r="E262" s="18"/>
      <c r="F262" s="301"/>
      <c r="G262" s="301"/>
      <c r="H262" s="319"/>
      <c r="I262" s="18"/>
    </row>
    <row r="263" spans="3:9" ht="13.45" x14ac:dyDescent="0.25">
      <c r="C263" s="18"/>
      <c r="D263" s="18"/>
      <c r="E263" s="18"/>
      <c r="F263" s="301"/>
      <c r="G263" s="301"/>
      <c r="H263" s="319"/>
      <c r="I263" s="18"/>
    </row>
    <row r="264" spans="3:9" ht="13.45" x14ac:dyDescent="0.25">
      <c r="C264" s="18"/>
      <c r="D264" s="18"/>
      <c r="E264" s="18"/>
      <c r="F264" s="301"/>
      <c r="G264" s="301"/>
      <c r="H264" s="319"/>
      <c r="I264" s="18"/>
    </row>
    <row r="265" spans="3:9" ht="13.45" x14ac:dyDescent="0.25">
      <c r="C265" s="18"/>
      <c r="D265" s="18"/>
      <c r="E265" s="18"/>
      <c r="F265" s="301"/>
      <c r="G265" s="301"/>
      <c r="H265" s="319"/>
      <c r="I265" s="18"/>
    </row>
    <row r="266" spans="3:9" ht="13.45" x14ac:dyDescent="0.25">
      <c r="C266" s="18"/>
      <c r="D266" s="18"/>
      <c r="E266" s="18"/>
      <c r="F266" s="301"/>
      <c r="G266" s="301"/>
      <c r="H266" s="319"/>
      <c r="I266" s="18"/>
    </row>
    <row r="267" spans="3:9" ht="13.45" x14ac:dyDescent="0.25">
      <c r="C267" s="18"/>
      <c r="D267" s="18"/>
      <c r="E267" s="18"/>
      <c r="F267" s="301"/>
      <c r="G267" s="301"/>
      <c r="H267" s="319"/>
      <c r="I267" s="18"/>
    </row>
    <row r="268" spans="3:9" ht="13.45" x14ac:dyDescent="0.25">
      <c r="C268" s="18"/>
      <c r="D268" s="18"/>
      <c r="E268" s="18"/>
      <c r="F268" s="301"/>
      <c r="G268" s="301"/>
      <c r="H268" s="319"/>
      <c r="I268" s="18"/>
    </row>
    <row r="269" spans="3:9" ht="13.45" x14ac:dyDescent="0.25">
      <c r="C269" s="18"/>
      <c r="D269" s="18"/>
      <c r="E269" s="18"/>
      <c r="F269" s="301"/>
      <c r="G269" s="301"/>
      <c r="H269" s="319"/>
      <c r="I269" s="18"/>
    </row>
    <row r="270" spans="3:9" ht="13.45" x14ac:dyDescent="0.25">
      <c r="C270" s="18"/>
      <c r="D270" s="18"/>
      <c r="E270" s="18"/>
      <c r="F270" s="301"/>
      <c r="G270" s="301"/>
      <c r="H270" s="319"/>
      <c r="I270" s="18"/>
    </row>
    <row r="271" spans="3:9" ht="13.45" x14ac:dyDescent="0.25">
      <c r="C271" s="18"/>
      <c r="D271" s="18"/>
      <c r="E271" s="18"/>
      <c r="F271" s="301"/>
      <c r="G271" s="301"/>
      <c r="H271" s="319"/>
      <c r="I271" s="18"/>
    </row>
    <row r="272" spans="3:9" ht="13.45" x14ac:dyDescent="0.25">
      <c r="C272" s="18"/>
      <c r="D272" s="18"/>
      <c r="E272" s="18"/>
      <c r="F272" s="301"/>
      <c r="G272" s="301"/>
      <c r="H272" s="319"/>
      <c r="I272" s="18"/>
    </row>
    <row r="273" spans="3:9" ht="13.45" x14ac:dyDescent="0.25">
      <c r="C273" s="18"/>
      <c r="D273" s="18"/>
      <c r="E273" s="18"/>
      <c r="F273" s="301"/>
      <c r="G273" s="301"/>
      <c r="H273" s="319"/>
      <c r="I273" s="18"/>
    </row>
    <row r="274" spans="3:9" ht="13.45" x14ac:dyDescent="0.25">
      <c r="C274" s="18"/>
      <c r="D274" s="18"/>
      <c r="E274" s="18"/>
      <c r="F274" s="301"/>
      <c r="G274" s="301"/>
      <c r="H274" s="319"/>
      <c r="I274" s="18"/>
    </row>
    <row r="275" spans="3:9" ht="13.45" x14ac:dyDescent="0.25">
      <c r="C275" s="18"/>
      <c r="D275" s="18"/>
      <c r="E275" s="18"/>
      <c r="F275" s="301"/>
      <c r="G275" s="301"/>
      <c r="H275" s="319"/>
      <c r="I275" s="18"/>
    </row>
    <row r="276" spans="3:9" ht="13.45" x14ac:dyDescent="0.25">
      <c r="C276" s="18"/>
      <c r="D276" s="18"/>
      <c r="E276" s="18"/>
      <c r="F276" s="301"/>
      <c r="G276" s="301"/>
      <c r="H276" s="319"/>
      <c r="I276" s="18"/>
    </row>
    <row r="277" spans="3:9" ht="13.45" x14ac:dyDescent="0.25">
      <c r="C277" s="18"/>
      <c r="D277" s="18"/>
      <c r="E277" s="18"/>
      <c r="F277" s="301"/>
      <c r="G277" s="301"/>
      <c r="H277" s="319"/>
      <c r="I277" s="18"/>
    </row>
    <row r="278" spans="3:9" ht="13.45" x14ac:dyDescent="0.25">
      <c r="C278" s="18"/>
      <c r="D278" s="18"/>
      <c r="E278" s="18"/>
      <c r="F278" s="301"/>
      <c r="G278" s="301"/>
      <c r="H278" s="319"/>
      <c r="I278" s="18"/>
    </row>
    <row r="279" spans="3:9" ht="13.45" x14ac:dyDescent="0.25">
      <c r="C279" s="18"/>
      <c r="D279" s="18"/>
      <c r="E279" s="18"/>
      <c r="F279" s="301"/>
      <c r="G279" s="301"/>
      <c r="H279" s="319"/>
      <c r="I279" s="18"/>
    </row>
    <row r="280" spans="3:9" ht="13.45" x14ac:dyDescent="0.25">
      <c r="C280" s="18"/>
      <c r="D280" s="18"/>
      <c r="E280" s="18"/>
      <c r="F280" s="301"/>
      <c r="G280" s="301"/>
      <c r="H280" s="319"/>
      <c r="I280" s="18"/>
    </row>
    <row r="281" spans="3:9" ht="13.45" x14ac:dyDescent="0.25">
      <c r="C281" s="18"/>
      <c r="D281" s="18"/>
      <c r="E281" s="18"/>
      <c r="F281" s="301"/>
      <c r="G281" s="301"/>
      <c r="H281" s="319"/>
      <c r="I281" s="18"/>
    </row>
    <row r="282" spans="3:9" ht="13.45" x14ac:dyDescent="0.25">
      <c r="C282" s="18"/>
      <c r="D282" s="18"/>
      <c r="E282" s="18"/>
      <c r="F282" s="301"/>
      <c r="G282" s="301"/>
      <c r="H282" s="319"/>
      <c r="I282" s="18"/>
    </row>
    <row r="283" spans="3:9" ht="13.45" x14ac:dyDescent="0.25">
      <c r="C283" s="18"/>
      <c r="D283" s="18"/>
      <c r="E283" s="18"/>
      <c r="F283" s="301"/>
      <c r="G283" s="301"/>
      <c r="H283" s="319"/>
      <c r="I283" s="18"/>
    </row>
    <row r="284" spans="3:9" ht="13.45" x14ac:dyDescent="0.25">
      <c r="C284" s="18"/>
      <c r="D284" s="18"/>
      <c r="E284" s="18"/>
      <c r="F284" s="301"/>
      <c r="G284" s="301"/>
      <c r="H284" s="319"/>
      <c r="I284" s="18"/>
    </row>
    <row r="285" spans="3:9" ht="13.45" x14ac:dyDescent="0.25">
      <c r="C285" s="18"/>
      <c r="D285" s="18"/>
      <c r="E285" s="18"/>
      <c r="F285" s="301"/>
      <c r="G285" s="301"/>
      <c r="H285" s="319"/>
      <c r="I285" s="18"/>
    </row>
    <row r="286" spans="3:9" ht="13.45" x14ac:dyDescent="0.25">
      <c r="C286" s="18"/>
      <c r="D286" s="18"/>
      <c r="E286" s="18"/>
      <c r="F286" s="301"/>
      <c r="G286" s="301"/>
      <c r="H286" s="319"/>
      <c r="I286" s="18"/>
    </row>
    <row r="287" spans="3:9" ht="13.45" x14ac:dyDescent="0.25">
      <c r="C287" s="18"/>
      <c r="D287" s="18"/>
      <c r="E287" s="18"/>
      <c r="F287" s="301"/>
      <c r="G287" s="301"/>
      <c r="H287" s="319"/>
      <c r="I287" s="18"/>
    </row>
    <row r="288" spans="3:9" ht="13.45" x14ac:dyDescent="0.25">
      <c r="C288" s="18"/>
      <c r="D288" s="18"/>
      <c r="E288" s="18"/>
      <c r="F288" s="301"/>
      <c r="G288" s="301"/>
      <c r="H288" s="319"/>
      <c r="I288" s="18"/>
    </row>
    <row r="289" spans="3:9" ht="13.45" x14ac:dyDescent="0.25">
      <c r="C289" s="18"/>
      <c r="D289" s="18"/>
      <c r="E289" s="18"/>
      <c r="F289" s="301"/>
      <c r="G289" s="301"/>
      <c r="H289" s="319"/>
      <c r="I289" s="18"/>
    </row>
    <row r="290" spans="3:9" ht="13.45" x14ac:dyDescent="0.25">
      <c r="C290" s="18"/>
      <c r="D290" s="18"/>
      <c r="E290" s="18"/>
      <c r="F290" s="301"/>
      <c r="G290" s="301"/>
      <c r="H290" s="319"/>
      <c r="I290" s="18"/>
    </row>
    <row r="291" spans="3:9" ht="13.45" x14ac:dyDescent="0.25">
      <c r="C291" s="18"/>
      <c r="D291" s="18"/>
      <c r="E291" s="18"/>
      <c r="F291" s="301"/>
      <c r="G291" s="301"/>
      <c r="H291" s="319"/>
      <c r="I291" s="18"/>
    </row>
    <row r="292" spans="3:9" ht="13.45" x14ac:dyDescent="0.25">
      <c r="C292" s="18"/>
      <c r="D292" s="18"/>
      <c r="E292" s="18"/>
      <c r="F292" s="301"/>
      <c r="G292" s="301"/>
      <c r="H292" s="319"/>
      <c r="I292" s="18"/>
    </row>
    <row r="293" spans="3:9" ht="13.45" x14ac:dyDescent="0.25">
      <c r="C293" s="18"/>
      <c r="D293" s="18"/>
      <c r="E293" s="18"/>
      <c r="F293" s="301"/>
      <c r="G293" s="301"/>
      <c r="H293" s="319"/>
      <c r="I293" s="18"/>
    </row>
    <row r="294" spans="3:9" ht="13.45" x14ac:dyDescent="0.25">
      <c r="C294" s="18"/>
      <c r="D294" s="18"/>
      <c r="E294" s="18"/>
      <c r="F294" s="301"/>
      <c r="G294" s="301"/>
      <c r="H294" s="319"/>
      <c r="I294" s="18"/>
    </row>
    <row r="295" spans="3:9" ht="13.45" x14ac:dyDescent="0.25">
      <c r="C295" s="18"/>
      <c r="D295" s="18"/>
      <c r="E295" s="18"/>
      <c r="F295" s="301"/>
      <c r="G295" s="301"/>
      <c r="H295" s="319"/>
      <c r="I295" s="18"/>
    </row>
    <row r="296" spans="3:9" ht="13.45" x14ac:dyDescent="0.25">
      <c r="C296" s="18"/>
      <c r="D296" s="18"/>
      <c r="E296" s="18"/>
      <c r="F296" s="301"/>
      <c r="G296" s="301"/>
      <c r="H296" s="319"/>
      <c r="I296" s="18"/>
    </row>
    <row r="297" spans="3:9" ht="13.45" x14ac:dyDescent="0.25">
      <c r="C297" s="18"/>
      <c r="D297" s="18"/>
      <c r="E297" s="18"/>
      <c r="F297" s="301"/>
      <c r="G297" s="301"/>
      <c r="H297" s="319"/>
      <c r="I297" s="18"/>
    </row>
    <row r="298" spans="3:9" ht="13.45" x14ac:dyDescent="0.25">
      <c r="C298" s="18"/>
      <c r="D298" s="18"/>
      <c r="E298" s="18"/>
      <c r="F298" s="301"/>
      <c r="G298" s="301"/>
      <c r="H298" s="319"/>
      <c r="I298" s="18"/>
    </row>
    <row r="299" spans="3:9" ht="13.45" x14ac:dyDescent="0.25">
      <c r="C299" s="18"/>
      <c r="D299" s="18"/>
      <c r="E299" s="18"/>
      <c r="F299" s="301"/>
      <c r="G299" s="301"/>
      <c r="H299" s="319"/>
      <c r="I299" s="18"/>
    </row>
    <row r="300" spans="3:9" ht="13.45" x14ac:dyDescent="0.25">
      <c r="C300" s="18"/>
      <c r="D300" s="18"/>
      <c r="E300" s="18"/>
      <c r="F300" s="301"/>
      <c r="G300" s="301"/>
      <c r="H300" s="319"/>
      <c r="I300" s="18"/>
    </row>
    <row r="301" spans="3:9" ht="13.45" x14ac:dyDescent="0.25">
      <c r="C301" s="18"/>
      <c r="D301" s="18"/>
      <c r="E301" s="18"/>
      <c r="F301" s="301"/>
      <c r="G301" s="301"/>
      <c r="H301" s="319"/>
      <c r="I301" s="18"/>
    </row>
    <row r="302" spans="3:9" ht="13.45" x14ac:dyDescent="0.25">
      <c r="C302" s="18"/>
      <c r="D302" s="18"/>
      <c r="E302" s="18"/>
      <c r="F302" s="301"/>
      <c r="G302" s="301"/>
      <c r="H302" s="319"/>
      <c r="I302" s="18"/>
    </row>
    <row r="303" spans="3:9" ht="13.45" x14ac:dyDescent="0.25">
      <c r="C303" s="18"/>
      <c r="D303" s="18"/>
      <c r="E303" s="18"/>
      <c r="F303" s="301"/>
      <c r="G303" s="301"/>
      <c r="H303" s="319"/>
      <c r="I303" s="18"/>
    </row>
    <row r="304" spans="3:9" ht="13.45" x14ac:dyDescent="0.25">
      <c r="C304" s="18"/>
      <c r="D304" s="18"/>
      <c r="E304" s="18"/>
      <c r="F304" s="301"/>
      <c r="G304" s="301"/>
      <c r="H304" s="319"/>
      <c r="I304" s="18"/>
    </row>
    <row r="305" spans="3:9" ht="13.45" x14ac:dyDescent="0.25">
      <c r="C305" s="18"/>
      <c r="D305" s="18"/>
      <c r="E305" s="18"/>
      <c r="F305" s="301"/>
      <c r="G305" s="301"/>
      <c r="H305" s="319"/>
      <c r="I305" s="18"/>
    </row>
    <row r="306" spans="3:9" ht="13.45" x14ac:dyDescent="0.25">
      <c r="C306" s="18"/>
      <c r="D306" s="18"/>
      <c r="E306" s="18"/>
      <c r="F306" s="301"/>
      <c r="G306" s="301"/>
      <c r="H306" s="319"/>
      <c r="I306" s="18"/>
    </row>
    <row r="307" spans="3:9" ht="13.45" x14ac:dyDescent="0.25">
      <c r="C307" s="18"/>
      <c r="D307" s="18"/>
      <c r="E307" s="18"/>
      <c r="F307" s="301"/>
      <c r="G307" s="301"/>
      <c r="H307" s="319"/>
      <c r="I307" s="18"/>
    </row>
    <row r="308" spans="3:9" ht="13.45" x14ac:dyDescent="0.25">
      <c r="C308" s="18"/>
      <c r="D308" s="18"/>
      <c r="E308" s="18"/>
      <c r="F308" s="301"/>
      <c r="G308" s="301"/>
      <c r="H308" s="319"/>
      <c r="I308" s="18"/>
    </row>
    <row r="309" spans="3:9" ht="13.45" x14ac:dyDescent="0.25">
      <c r="C309" s="18"/>
      <c r="D309" s="18"/>
      <c r="E309" s="18"/>
      <c r="F309" s="301"/>
      <c r="G309" s="301"/>
      <c r="H309" s="319"/>
      <c r="I309" s="18"/>
    </row>
    <row r="310" spans="3:9" ht="13.45" x14ac:dyDescent="0.25">
      <c r="C310" s="18"/>
      <c r="D310" s="18"/>
      <c r="E310" s="18"/>
      <c r="F310" s="301"/>
      <c r="G310" s="301"/>
      <c r="H310" s="319"/>
      <c r="I310" s="18"/>
    </row>
    <row r="311" spans="3:9" ht="13.45" x14ac:dyDescent="0.25">
      <c r="C311" s="18"/>
      <c r="D311" s="18"/>
      <c r="E311" s="18"/>
      <c r="F311" s="301"/>
      <c r="G311" s="301"/>
      <c r="H311" s="319"/>
      <c r="I311" s="18"/>
    </row>
    <row r="312" spans="3:9" ht="13.45" x14ac:dyDescent="0.25">
      <c r="C312" s="18"/>
      <c r="D312" s="18"/>
      <c r="E312" s="18"/>
      <c r="F312" s="301"/>
      <c r="G312" s="301"/>
      <c r="H312" s="319"/>
      <c r="I312" s="18"/>
    </row>
    <row r="313" spans="3:9" ht="13.45" x14ac:dyDescent="0.25">
      <c r="C313" s="18"/>
      <c r="D313" s="18"/>
      <c r="E313" s="18"/>
      <c r="F313" s="301"/>
      <c r="G313" s="301"/>
      <c r="H313" s="319"/>
      <c r="I313" s="18"/>
    </row>
    <row r="314" spans="3:9" ht="13.45" x14ac:dyDescent="0.25">
      <c r="C314" s="18"/>
      <c r="D314" s="18"/>
      <c r="E314" s="18"/>
      <c r="F314" s="301"/>
      <c r="G314" s="301"/>
      <c r="H314" s="319"/>
      <c r="I314" s="18"/>
    </row>
    <row r="315" spans="3:9" ht="13.45" x14ac:dyDescent="0.25">
      <c r="C315" s="18"/>
      <c r="D315" s="18"/>
      <c r="E315" s="18"/>
      <c r="F315" s="301"/>
      <c r="G315" s="301"/>
      <c r="H315" s="319"/>
      <c r="I315" s="18"/>
    </row>
    <row r="316" spans="3:9" ht="13.45" x14ac:dyDescent="0.25">
      <c r="C316" s="18"/>
      <c r="D316" s="18"/>
      <c r="E316" s="18"/>
      <c r="F316" s="301"/>
      <c r="G316" s="301"/>
      <c r="H316" s="319"/>
      <c r="I316" s="18"/>
    </row>
    <row r="317" spans="3:9" ht="13.45" x14ac:dyDescent="0.25">
      <c r="C317" s="18"/>
      <c r="D317" s="18"/>
      <c r="E317" s="18"/>
      <c r="F317" s="301"/>
      <c r="G317" s="301"/>
      <c r="H317" s="319"/>
      <c r="I317" s="18"/>
    </row>
    <row r="318" spans="3:9" ht="13.45" x14ac:dyDescent="0.25">
      <c r="C318" s="18"/>
      <c r="D318" s="18"/>
      <c r="E318" s="18"/>
      <c r="F318" s="301"/>
      <c r="G318" s="301"/>
      <c r="H318" s="319"/>
      <c r="I318" s="18"/>
    </row>
    <row r="319" spans="3:9" ht="13.45" x14ac:dyDescent="0.25">
      <c r="C319" s="18"/>
      <c r="D319" s="18"/>
      <c r="E319" s="18"/>
      <c r="F319" s="301"/>
      <c r="G319" s="301"/>
      <c r="H319" s="319"/>
      <c r="I319" s="18"/>
    </row>
    <row r="320" spans="3:9" ht="13.45" x14ac:dyDescent="0.25">
      <c r="C320" s="18"/>
      <c r="D320" s="18"/>
      <c r="E320" s="18"/>
      <c r="F320" s="301"/>
      <c r="G320" s="301"/>
      <c r="H320" s="319"/>
      <c r="I320" s="18"/>
    </row>
    <row r="321" spans="3:9" ht="13.45" x14ac:dyDescent="0.25">
      <c r="C321" s="18"/>
      <c r="D321" s="18"/>
      <c r="E321" s="18"/>
      <c r="F321" s="301"/>
      <c r="G321" s="301"/>
      <c r="H321" s="319"/>
      <c r="I321" s="18"/>
    </row>
    <row r="322" spans="3:9" ht="13.45" x14ac:dyDescent="0.25">
      <c r="C322" s="18"/>
      <c r="D322" s="18"/>
      <c r="E322" s="18"/>
      <c r="F322" s="301"/>
      <c r="G322" s="301"/>
      <c r="H322" s="319"/>
      <c r="I322" s="18"/>
    </row>
    <row r="323" spans="3:9" ht="13.45" x14ac:dyDescent="0.25">
      <c r="C323" s="18"/>
      <c r="D323" s="18"/>
      <c r="E323" s="18"/>
      <c r="F323" s="301"/>
      <c r="G323" s="301"/>
      <c r="H323" s="319"/>
      <c r="I323" s="18"/>
    </row>
    <row r="324" spans="3:9" ht="13.45" x14ac:dyDescent="0.25">
      <c r="C324" s="18"/>
      <c r="D324" s="18"/>
      <c r="E324" s="18"/>
      <c r="F324" s="301"/>
      <c r="G324" s="301"/>
      <c r="H324" s="319"/>
      <c r="I324" s="18"/>
    </row>
    <row r="325" spans="3:9" ht="13.45" x14ac:dyDescent="0.25">
      <c r="C325" s="18"/>
      <c r="D325" s="18"/>
      <c r="E325" s="18"/>
      <c r="F325" s="301"/>
      <c r="G325" s="301"/>
      <c r="H325" s="319"/>
      <c r="I325" s="18"/>
    </row>
    <row r="326" spans="3:9" ht="13.45" x14ac:dyDescent="0.25">
      <c r="C326" s="18"/>
      <c r="D326" s="18"/>
      <c r="E326" s="18"/>
      <c r="F326" s="301"/>
      <c r="G326" s="301"/>
      <c r="H326" s="319"/>
      <c r="I326" s="18"/>
    </row>
    <row r="327" spans="3:9" ht="13.45" x14ac:dyDescent="0.25">
      <c r="C327" s="18"/>
      <c r="D327" s="18"/>
      <c r="E327" s="18"/>
      <c r="F327" s="301"/>
      <c r="G327" s="301"/>
      <c r="H327" s="319"/>
      <c r="I327" s="18"/>
    </row>
    <row r="328" spans="3:9" ht="13.45" x14ac:dyDescent="0.25">
      <c r="C328" s="18"/>
      <c r="D328" s="18"/>
      <c r="E328" s="18"/>
      <c r="F328" s="301"/>
      <c r="G328" s="301"/>
      <c r="H328" s="319"/>
      <c r="I328" s="18"/>
    </row>
    <row r="329" spans="3:9" ht="13.45" x14ac:dyDescent="0.25">
      <c r="C329" s="18"/>
      <c r="D329" s="18"/>
      <c r="E329" s="18"/>
      <c r="F329" s="301"/>
      <c r="G329" s="301"/>
      <c r="H329" s="319"/>
      <c r="I329" s="18"/>
    </row>
    <row r="330" spans="3:9" ht="13.45" x14ac:dyDescent="0.25">
      <c r="C330" s="18"/>
      <c r="D330" s="18"/>
      <c r="E330" s="18"/>
      <c r="F330" s="301"/>
      <c r="G330" s="301"/>
      <c r="H330" s="319"/>
      <c r="I330" s="18"/>
    </row>
    <row r="331" spans="3:9" ht="13.45" x14ac:dyDescent="0.25">
      <c r="C331" s="18"/>
      <c r="D331" s="18"/>
      <c r="E331" s="18"/>
      <c r="F331" s="301"/>
      <c r="G331" s="301"/>
      <c r="H331" s="319"/>
      <c r="I331" s="18"/>
    </row>
    <row r="332" spans="3:9" ht="13.45" x14ac:dyDescent="0.25">
      <c r="C332" s="18"/>
      <c r="D332" s="18"/>
      <c r="E332" s="18"/>
      <c r="F332" s="301"/>
      <c r="G332" s="301"/>
      <c r="H332" s="319"/>
      <c r="I332" s="18"/>
    </row>
    <row r="333" spans="3:9" ht="13.45" x14ac:dyDescent="0.25">
      <c r="C333" s="18"/>
      <c r="D333" s="18"/>
      <c r="E333" s="18"/>
      <c r="F333" s="301"/>
      <c r="G333" s="301"/>
      <c r="H333" s="319"/>
      <c r="I333" s="18"/>
    </row>
    <row r="334" spans="3:9" ht="13.45" x14ac:dyDescent="0.25">
      <c r="C334" s="18"/>
      <c r="D334" s="18"/>
      <c r="E334" s="18"/>
      <c r="F334" s="301"/>
      <c r="G334" s="301"/>
      <c r="H334" s="319"/>
      <c r="I334" s="18"/>
    </row>
    <row r="335" spans="3:9" ht="13.45" x14ac:dyDescent="0.25">
      <c r="C335" s="18"/>
      <c r="D335" s="18"/>
      <c r="E335" s="18"/>
      <c r="F335" s="301"/>
      <c r="G335" s="301"/>
      <c r="H335" s="319"/>
      <c r="I335" s="18"/>
    </row>
    <row r="336" spans="3:9" ht="13.45" x14ac:dyDescent="0.25">
      <c r="C336" s="18"/>
      <c r="D336" s="18"/>
      <c r="E336" s="18"/>
      <c r="F336" s="301"/>
      <c r="G336" s="301"/>
      <c r="H336" s="319"/>
      <c r="I336" s="18"/>
    </row>
    <row r="337" spans="3:9" ht="13.45" x14ac:dyDescent="0.25">
      <c r="C337" s="18"/>
      <c r="D337" s="18"/>
      <c r="E337" s="18"/>
      <c r="F337" s="301"/>
      <c r="G337" s="301"/>
      <c r="H337" s="319"/>
      <c r="I337" s="18"/>
    </row>
    <row r="338" spans="3:9" ht="13.45" x14ac:dyDescent="0.25">
      <c r="C338" s="18"/>
      <c r="D338" s="18"/>
      <c r="E338" s="18"/>
      <c r="F338" s="301"/>
      <c r="G338" s="301"/>
      <c r="H338" s="319"/>
      <c r="I338" s="18"/>
    </row>
    <row r="339" spans="3:9" ht="13.45" x14ac:dyDescent="0.25">
      <c r="C339" s="18"/>
      <c r="D339" s="18"/>
      <c r="E339" s="18"/>
      <c r="F339" s="301"/>
      <c r="G339" s="301"/>
      <c r="H339" s="319"/>
      <c r="I339" s="18"/>
    </row>
    <row r="340" spans="3:9" ht="13.45" x14ac:dyDescent="0.25">
      <c r="C340" s="18"/>
      <c r="D340" s="18"/>
      <c r="E340" s="18"/>
      <c r="F340" s="301"/>
      <c r="G340" s="301"/>
      <c r="H340" s="319"/>
      <c r="I340" s="18"/>
    </row>
    <row r="341" spans="3:9" ht="13.45" x14ac:dyDescent="0.25">
      <c r="C341" s="18"/>
      <c r="D341" s="18"/>
      <c r="E341" s="18"/>
      <c r="F341" s="301"/>
      <c r="G341" s="301"/>
      <c r="H341" s="319"/>
      <c r="I341" s="18"/>
    </row>
    <row r="342" spans="3:9" ht="13.45" x14ac:dyDescent="0.25">
      <c r="C342" s="18"/>
      <c r="D342" s="18"/>
      <c r="E342" s="18"/>
      <c r="F342" s="301"/>
      <c r="G342" s="301"/>
      <c r="H342" s="319"/>
      <c r="I342" s="18"/>
    </row>
    <row r="343" spans="3:9" ht="13.45" x14ac:dyDescent="0.25">
      <c r="C343" s="18"/>
      <c r="D343" s="18"/>
      <c r="E343" s="18"/>
      <c r="F343" s="301"/>
      <c r="G343" s="301"/>
      <c r="H343" s="319"/>
      <c r="I343" s="18"/>
    </row>
    <row r="344" spans="3:9" ht="13.45" x14ac:dyDescent="0.25">
      <c r="C344" s="18"/>
      <c r="D344" s="18"/>
      <c r="E344" s="18"/>
      <c r="F344" s="301"/>
      <c r="G344" s="301"/>
      <c r="H344" s="319"/>
      <c r="I344" s="18"/>
    </row>
    <row r="345" spans="3:9" ht="13.45" x14ac:dyDescent="0.25">
      <c r="C345" s="18"/>
      <c r="D345" s="18"/>
      <c r="E345" s="18"/>
      <c r="F345" s="301"/>
      <c r="G345" s="301"/>
      <c r="H345" s="319"/>
      <c r="I345" s="18"/>
    </row>
    <row r="346" spans="3:9" ht="13.45" x14ac:dyDescent="0.25">
      <c r="C346" s="18"/>
      <c r="D346" s="18"/>
      <c r="E346" s="18"/>
      <c r="F346" s="301"/>
      <c r="G346" s="301"/>
      <c r="H346" s="319"/>
      <c r="I346" s="18"/>
    </row>
    <row r="347" spans="3:9" ht="13.45" x14ac:dyDescent="0.25">
      <c r="C347" s="18"/>
      <c r="D347" s="18"/>
      <c r="E347" s="18"/>
      <c r="F347" s="301"/>
      <c r="G347" s="301"/>
      <c r="H347" s="319"/>
      <c r="I347" s="18"/>
    </row>
    <row r="348" spans="3:9" ht="13.45" x14ac:dyDescent="0.25">
      <c r="C348" s="18"/>
      <c r="D348" s="18"/>
      <c r="E348" s="18"/>
      <c r="F348" s="301"/>
      <c r="G348" s="301"/>
      <c r="H348" s="319"/>
      <c r="I348" s="18"/>
    </row>
    <row r="349" spans="3:9" ht="13.45" x14ac:dyDescent="0.25">
      <c r="C349" s="18"/>
      <c r="D349" s="18"/>
      <c r="E349" s="18"/>
      <c r="F349" s="301"/>
      <c r="G349" s="301"/>
      <c r="H349" s="319"/>
      <c r="I349" s="18"/>
    </row>
    <row r="350" spans="3:9" ht="13.45" x14ac:dyDescent="0.25">
      <c r="C350" s="18"/>
      <c r="D350" s="18"/>
      <c r="E350" s="18"/>
      <c r="F350" s="301"/>
      <c r="G350" s="301"/>
      <c r="H350" s="319"/>
      <c r="I350" s="18"/>
    </row>
    <row r="351" spans="3:9" ht="13.45" x14ac:dyDescent="0.25">
      <c r="C351" s="18"/>
      <c r="D351" s="18"/>
      <c r="E351" s="18"/>
      <c r="F351" s="301"/>
      <c r="G351" s="301"/>
      <c r="H351" s="319"/>
      <c r="I351" s="18"/>
    </row>
    <row r="352" spans="3:9" ht="13.45" x14ac:dyDescent="0.25">
      <c r="C352" s="18"/>
      <c r="D352" s="18"/>
      <c r="E352" s="18"/>
      <c r="F352" s="301"/>
      <c r="G352" s="301"/>
      <c r="H352" s="319"/>
      <c r="I352" s="18"/>
    </row>
    <row r="353" spans="3:9" ht="13.45" x14ac:dyDescent="0.25">
      <c r="C353" s="18"/>
      <c r="D353" s="18"/>
      <c r="E353" s="18"/>
      <c r="F353" s="301"/>
      <c r="G353" s="301"/>
      <c r="H353" s="319"/>
      <c r="I353" s="18"/>
    </row>
    <row r="354" spans="3:9" ht="13.45" x14ac:dyDescent="0.25">
      <c r="C354" s="18"/>
      <c r="D354" s="18"/>
      <c r="E354" s="18"/>
      <c r="F354" s="301"/>
      <c r="G354" s="301"/>
      <c r="H354" s="319"/>
      <c r="I354" s="18"/>
    </row>
    <row r="355" spans="3:9" ht="13.45" x14ac:dyDescent="0.25">
      <c r="C355" s="18"/>
      <c r="D355" s="18"/>
      <c r="E355" s="18"/>
      <c r="F355" s="301"/>
      <c r="G355" s="301"/>
      <c r="H355" s="319"/>
      <c r="I355" s="18"/>
    </row>
    <row r="356" spans="3:9" ht="13.45" x14ac:dyDescent="0.25">
      <c r="C356" s="18"/>
      <c r="D356" s="18"/>
      <c r="E356" s="18"/>
      <c r="F356" s="301"/>
      <c r="G356" s="301"/>
      <c r="H356" s="319"/>
      <c r="I356" s="18"/>
    </row>
    <row r="357" spans="3:9" ht="13.45" x14ac:dyDescent="0.25">
      <c r="C357" s="18"/>
      <c r="D357" s="18"/>
      <c r="E357" s="18"/>
      <c r="F357" s="301"/>
      <c r="G357" s="301"/>
      <c r="H357" s="319"/>
      <c r="I357" s="18"/>
    </row>
    <row r="358" spans="3:9" ht="13.45" x14ac:dyDescent="0.25">
      <c r="C358" s="18"/>
      <c r="D358" s="18"/>
      <c r="E358" s="18"/>
      <c r="F358" s="301"/>
      <c r="G358" s="301"/>
      <c r="H358" s="319"/>
      <c r="I358" s="18"/>
    </row>
    <row r="359" spans="3:9" ht="13.45" x14ac:dyDescent="0.25">
      <c r="C359" s="18"/>
      <c r="D359" s="18"/>
      <c r="E359" s="18"/>
      <c r="F359" s="301"/>
      <c r="G359" s="301"/>
      <c r="H359" s="319"/>
      <c r="I359" s="18"/>
    </row>
    <row r="360" spans="3:9" ht="13.45" x14ac:dyDescent="0.25">
      <c r="C360" s="18"/>
      <c r="D360" s="18"/>
      <c r="E360" s="18"/>
      <c r="F360" s="301"/>
      <c r="G360" s="301"/>
      <c r="H360" s="319"/>
      <c r="I360" s="18"/>
    </row>
    <row r="361" spans="3:9" ht="13.45" x14ac:dyDescent="0.25">
      <c r="C361" s="18"/>
      <c r="D361" s="18"/>
      <c r="E361" s="18"/>
      <c r="F361" s="301"/>
      <c r="G361" s="301"/>
      <c r="H361" s="319"/>
      <c r="I361" s="18"/>
    </row>
    <row r="362" spans="3:9" ht="13.45" x14ac:dyDescent="0.25">
      <c r="C362" s="18"/>
      <c r="D362" s="18"/>
      <c r="E362" s="18"/>
      <c r="F362" s="301"/>
      <c r="G362" s="301"/>
      <c r="H362" s="319"/>
      <c r="I362" s="18"/>
    </row>
    <row r="363" spans="3:9" ht="13.45" x14ac:dyDescent="0.25">
      <c r="C363" s="18"/>
      <c r="D363" s="18"/>
      <c r="E363" s="18"/>
      <c r="F363" s="301"/>
      <c r="G363" s="301"/>
      <c r="H363" s="319"/>
      <c r="I363" s="18"/>
    </row>
    <row r="364" spans="3:9" ht="13.45" x14ac:dyDescent="0.25">
      <c r="C364" s="18"/>
      <c r="D364" s="18"/>
      <c r="E364" s="18"/>
      <c r="F364" s="301"/>
      <c r="G364" s="301"/>
      <c r="H364" s="319"/>
      <c r="I364" s="18"/>
    </row>
    <row r="365" spans="3:9" ht="13.45" x14ac:dyDescent="0.25">
      <c r="C365" s="18"/>
      <c r="D365" s="18"/>
      <c r="E365" s="18"/>
      <c r="F365" s="301"/>
      <c r="G365" s="301"/>
      <c r="H365" s="319"/>
      <c r="I365" s="18"/>
    </row>
    <row r="366" spans="3:9" ht="13.45" x14ac:dyDescent="0.25">
      <c r="C366" s="18"/>
      <c r="D366" s="18"/>
      <c r="E366" s="18"/>
      <c r="F366" s="301"/>
      <c r="G366" s="301"/>
      <c r="H366" s="319"/>
      <c r="I366" s="18"/>
    </row>
    <row r="367" spans="3:9" ht="13.45" x14ac:dyDescent="0.25">
      <c r="C367" s="18"/>
      <c r="D367" s="18"/>
      <c r="E367" s="18"/>
      <c r="F367" s="301"/>
      <c r="G367" s="301"/>
      <c r="H367" s="319"/>
      <c r="I367" s="18"/>
    </row>
    <row r="368" spans="3:9" ht="13.45" x14ac:dyDescent="0.25">
      <c r="C368" s="18"/>
      <c r="D368" s="18"/>
      <c r="E368" s="18"/>
      <c r="F368" s="301"/>
      <c r="G368" s="301"/>
      <c r="H368" s="319"/>
      <c r="I368" s="18"/>
    </row>
    <row r="369" spans="3:9" ht="13.45" x14ac:dyDescent="0.25">
      <c r="C369" s="18"/>
      <c r="D369" s="18"/>
      <c r="E369" s="18"/>
      <c r="F369" s="301"/>
      <c r="G369" s="301"/>
      <c r="H369" s="319"/>
      <c r="I369" s="18"/>
    </row>
    <row r="370" spans="3:9" ht="13.45" x14ac:dyDescent="0.25">
      <c r="C370" s="18"/>
      <c r="D370" s="18"/>
      <c r="E370" s="18"/>
      <c r="F370" s="301"/>
      <c r="G370" s="301"/>
      <c r="H370" s="319"/>
      <c r="I370" s="18"/>
    </row>
    <row r="371" spans="3:9" ht="13.45" x14ac:dyDescent="0.25">
      <c r="C371" s="18"/>
      <c r="D371" s="18"/>
      <c r="E371" s="18"/>
      <c r="F371" s="301"/>
      <c r="G371" s="301"/>
      <c r="H371" s="319"/>
      <c r="I371" s="18"/>
    </row>
    <row r="372" spans="3:9" ht="13.45" x14ac:dyDescent="0.25">
      <c r="C372" s="18"/>
      <c r="D372" s="18"/>
      <c r="E372" s="18"/>
      <c r="F372" s="301"/>
      <c r="G372" s="301"/>
      <c r="H372" s="319"/>
      <c r="I372" s="18"/>
    </row>
    <row r="373" spans="3:9" ht="13.45" x14ac:dyDescent="0.25">
      <c r="C373" s="18"/>
      <c r="D373" s="18"/>
      <c r="E373" s="18"/>
      <c r="F373" s="301"/>
      <c r="G373" s="301"/>
      <c r="H373" s="319"/>
      <c r="I373" s="18"/>
    </row>
    <row r="374" spans="3:9" ht="13.45" x14ac:dyDescent="0.25">
      <c r="C374" s="18"/>
      <c r="D374" s="18"/>
      <c r="E374" s="18"/>
      <c r="F374" s="301"/>
      <c r="G374" s="301"/>
      <c r="H374" s="319"/>
      <c r="I374" s="18"/>
    </row>
    <row r="375" spans="3:9" ht="13.45" x14ac:dyDescent="0.25">
      <c r="C375" s="18"/>
      <c r="D375" s="18"/>
      <c r="E375" s="18"/>
      <c r="F375" s="301"/>
      <c r="G375" s="301"/>
      <c r="H375" s="319"/>
      <c r="I375" s="18"/>
    </row>
    <row r="376" spans="3:9" ht="13.45" x14ac:dyDescent="0.25">
      <c r="C376" s="18"/>
      <c r="D376" s="18"/>
      <c r="E376" s="18"/>
      <c r="F376" s="301"/>
      <c r="G376" s="301"/>
      <c r="H376" s="319"/>
      <c r="I376" s="18"/>
    </row>
    <row r="377" spans="3:9" ht="13.45" x14ac:dyDescent="0.25">
      <c r="C377" s="18"/>
      <c r="D377" s="18"/>
      <c r="E377" s="18"/>
      <c r="F377" s="301"/>
      <c r="G377" s="301"/>
      <c r="H377" s="319"/>
      <c r="I377" s="18"/>
    </row>
    <row r="378" spans="3:9" ht="13.45" x14ac:dyDescent="0.25">
      <c r="C378" s="18"/>
      <c r="D378" s="18"/>
      <c r="E378" s="18"/>
      <c r="F378" s="301"/>
      <c r="G378" s="301"/>
      <c r="H378" s="319"/>
      <c r="I378" s="18"/>
    </row>
    <row r="379" spans="3:9" ht="13.45" x14ac:dyDescent="0.25">
      <c r="C379" s="18"/>
      <c r="D379" s="18"/>
      <c r="E379" s="18"/>
      <c r="F379" s="301"/>
      <c r="G379" s="301"/>
      <c r="H379" s="319"/>
      <c r="I379" s="18"/>
    </row>
    <row r="380" spans="3:9" ht="13.45" x14ac:dyDescent="0.25">
      <c r="C380" s="18"/>
      <c r="D380" s="18"/>
      <c r="E380" s="18"/>
      <c r="F380" s="301"/>
      <c r="G380" s="301"/>
      <c r="H380" s="319"/>
      <c r="I380" s="18"/>
    </row>
    <row r="381" spans="3:9" ht="13.45" x14ac:dyDescent="0.25">
      <c r="C381" s="18"/>
      <c r="D381" s="18"/>
      <c r="E381" s="18"/>
      <c r="F381" s="301"/>
      <c r="G381" s="301"/>
      <c r="H381" s="319"/>
      <c r="I381" s="18"/>
    </row>
    <row r="382" spans="3:9" ht="13.45" x14ac:dyDescent="0.25">
      <c r="C382" s="18"/>
      <c r="D382" s="18"/>
      <c r="E382" s="18"/>
      <c r="F382" s="301"/>
      <c r="G382" s="301"/>
      <c r="H382" s="319"/>
      <c r="I382" s="18"/>
    </row>
    <row r="383" spans="3:9" ht="13.45" x14ac:dyDescent="0.25">
      <c r="C383" s="18"/>
      <c r="D383" s="18"/>
      <c r="E383" s="18"/>
      <c r="F383" s="301"/>
      <c r="G383" s="301"/>
      <c r="H383" s="319"/>
      <c r="I383" s="18"/>
    </row>
    <row r="384" spans="3:9" ht="13.45" x14ac:dyDescent="0.25">
      <c r="C384" s="18"/>
      <c r="D384" s="18"/>
      <c r="E384" s="18"/>
      <c r="F384" s="301"/>
      <c r="G384" s="301"/>
      <c r="H384" s="319"/>
      <c r="I384" s="18"/>
    </row>
    <row r="385" spans="3:9" ht="13.45" x14ac:dyDescent="0.25">
      <c r="C385" s="18"/>
      <c r="D385" s="18"/>
      <c r="E385" s="18"/>
      <c r="F385" s="301"/>
      <c r="G385" s="301"/>
      <c r="H385" s="319"/>
      <c r="I385" s="18"/>
    </row>
    <row r="386" spans="3:9" ht="13.45" x14ac:dyDescent="0.25">
      <c r="C386" s="18"/>
      <c r="D386" s="18"/>
      <c r="E386" s="18"/>
      <c r="F386" s="301"/>
      <c r="G386" s="301"/>
      <c r="H386" s="319"/>
      <c r="I386" s="18"/>
    </row>
    <row r="387" spans="3:9" ht="13.45" x14ac:dyDescent="0.25">
      <c r="C387" s="18"/>
      <c r="D387" s="18"/>
      <c r="E387" s="18"/>
      <c r="F387" s="301"/>
      <c r="G387" s="301"/>
      <c r="H387" s="319"/>
      <c r="I387" s="18"/>
    </row>
    <row r="388" spans="3:9" ht="13.45" x14ac:dyDescent="0.25">
      <c r="C388" s="18"/>
      <c r="D388" s="18"/>
      <c r="E388" s="18"/>
      <c r="F388" s="301"/>
      <c r="G388" s="301"/>
      <c r="H388" s="319"/>
      <c r="I388" s="18"/>
    </row>
    <row r="389" spans="3:9" ht="13.45" x14ac:dyDescent="0.25">
      <c r="C389" s="18"/>
      <c r="D389" s="18"/>
      <c r="E389" s="18"/>
      <c r="F389" s="301"/>
      <c r="G389" s="301"/>
      <c r="H389" s="319"/>
      <c r="I389" s="18"/>
    </row>
    <row r="390" spans="3:9" ht="13.45" x14ac:dyDescent="0.25">
      <c r="C390" s="18"/>
      <c r="D390" s="18"/>
      <c r="E390" s="18"/>
      <c r="F390" s="301"/>
      <c r="G390" s="301"/>
      <c r="H390" s="319"/>
      <c r="I390" s="18"/>
    </row>
    <row r="391" spans="3:9" ht="13.45" x14ac:dyDescent="0.25">
      <c r="C391" s="18"/>
      <c r="D391" s="18"/>
      <c r="E391" s="18"/>
      <c r="F391" s="301"/>
      <c r="G391" s="301"/>
      <c r="H391" s="319"/>
      <c r="I391" s="18"/>
    </row>
    <row r="392" spans="3:9" ht="13.45" x14ac:dyDescent="0.25">
      <c r="C392" s="18"/>
      <c r="D392" s="18"/>
      <c r="E392" s="18"/>
      <c r="F392" s="301"/>
      <c r="G392" s="301"/>
      <c r="H392" s="319"/>
      <c r="I392" s="18"/>
    </row>
    <row r="393" spans="3:9" ht="13.45" x14ac:dyDescent="0.25">
      <c r="C393" s="18"/>
      <c r="D393" s="18"/>
      <c r="E393" s="18"/>
      <c r="F393" s="301"/>
      <c r="G393" s="301"/>
      <c r="H393" s="319"/>
      <c r="I393" s="18"/>
    </row>
    <row r="394" spans="3:9" ht="13.45" x14ac:dyDescent="0.25">
      <c r="C394" s="18"/>
      <c r="D394" s="18"/>
      <c r="E394" s="18"/>
      <c r="F394" s="301"/>
      <c r="G394" s="301"/>
      <c r="H394" s="319"/>
      <c r="I394" s="18"/>
    </row>
    <row r="395" spans="3:9" ht="13.45" x14ac:dyDescent="0.25">
      <c r="C395" s="18"/>
      <c r="D395" s="18"/>
      <c r="E395" s="18"/>
      <c r="F395" s="301"/>
      <c r="G395" s="301"/>
      <c r="H395" s="319"/>
      <c r="I395" s="18"/>
    </row>
    <row r="396" spans="3:9" ht="13.45" x14ac:dyDescent="0.25">
      <c r="C396" s="18"/>
      <c r="D396" s="18"/>
      <c r="E396" s="18"/>
      <c r="F396" s="301"/>
      <c r="G396" s="301"/>
      <c r="H396" s="319"/>
      <c r="I396" s="18"/>
    </row>
    <row r="397" spans="3:9" ht="13.45" x14ac:dyDescent="0.25">
      <c r="C397" s="18"/>
      <c r="D397" s="18"/>
      <c r="E397" s="18"/>
      <c r="F397" s="301"/>
      <c r="G397" s="301"/>
      <c r="H397" s="319"/>
      <c r="I397" s="18"/>
    </row>
    <row r="398" spans="3:9" ht="13.45" x14ac:dyDescent="0.25">
      <c r="C398" s="18"/>
      <c r="D398" s="18"/>
      <c r="E398" s="18"/>
      <c r="F398" s="301"/>
      <c r="G398" s="301"/>
      <c r="H398" s="319"/>
      <c r="I398" s="18"/>
    </row>
    <row r="399" spans="3:9" ht="13.45" x14ac:dyDescent="0.25">
      <c r="C399" s="18"/>
      <c r="D399" s="18"/>
      <c r="E399" s="18"/>
      <c r="F399" s="301"/>
      <c r="G399" s="301"/>
      <c r="H399" s="319"/>
      <c r="I399" s="18"/>
    </row>
    <row r="400" spans="3:9" ht="13.45" x14ac:dyDescent="0.25">
      <c r="C400" s="18"/>
      <c r="D400" s="18"/>
      <c r="E400" s="18"/>
      <c r="F400" s="301"/>
      <c r="G400" s="301"/>
      <c r="H400" s="319"/>
      <c r="I400" s="18"/>
    </row>
    <row r="401" spans="3:9" ht="13.45" x14ac:dyDescent="0.25">
      <c r="C401" s="18"/>
      <c r="D401" s="18"/>
      <c r="E401" s="18"/>
      <c r="F401" s="301"/>
      <c r="G401" s="301"/>
      <c r="H401" s="319"/>
      <c r="I401" s="18"/>
    </row>
    <row r="402" spans="3:9" ht="13.45" x14ac:dyDescent="0.25">
      <c r="C402" s="18"/>
      <c r="D402" s="18"/>
      <c r="E402" s="18"/>
      <c r="F402" s="301"/>
      <c r="G402" s="301"/>
      <c r="H402" s="319"/>
      <c r="I402" s="18"/>
    </row>
    <row r="403" spans="3:9" ht="13.45" x14ac:dyDescent="0.25">
      <c r="C403" s="18"/>
      <c r="D403" s="18"/>
      <c r="E403" s="18"/>
      <c r="F403" s="301"/>
      <c r="G403" s="301"/>
      <c r="H403" s="319"/>
      <c r="I403" s="18"/>
    </row>
    <row r="404" spans="3:9" ht="13.45" x14ac:dyDescent="0.25">
      <c r="C404" s="18"/>
      <c r="D404" s="18"/>
      <c r="E404" s="18"/>
      <c r="F404" s="301"/>
      <c r="G404" s="301"/>
      <c r="H404" s="319"/>
      <c r="I404" s="18"/>
    </row>
    <row r="405" spans="3:9" ht="13.45" x14ac:dyDescent="0.25">
      <c r="C405" s="18"/>
      <c r="D405" s="18"/>
      <c r="E405" s="18"/>
      <c r="F405" s="301"/>
      <c r="G405" s="301"/>
      <c r="H405" s="319"/>
      <c r="I405" s="18"/>
    </row>
    <row r="406" spans="3:9" ht="13.45" x14ac:dyDescent="0.25">
      <c r="C406" s="18"/>
      <c r="D406" s="18"/>
      <c r="E406" s="18"/>
      <c r="F406" s="301"/>
      <c r="G406" s="301"/>
      <c r="H406" s="319"/>
      <c r="I406" s="18"/>
    </row>
    <row r="407" spans="3:9" ht="13.45" x14ac:dyDescent="0.25">
      <c r="C407" s="18"/>
      <c r="D407" s="18"/>
      <c r="E407" s="18"/>
      <c r="F407" s="301"/>
      <c r="G407" s="301"/>
      <c r="H407" s="319"/>
      <c r="I407" s="18"/>
    </row>
    <row r="408" spans="3:9" ht="13.45" x14ac:dyDescent="0.25">
      <c r="C408" s="18"/>
      <c r="D408" s="18"/>
      <c r="E408" s="18"/>
      <c r="F408" s="301"/>
      <c r="G408" s="301"/>
      <c r="H408" s="319"/>
      <c r="I408" s="18"/>
    </row>
    <row r="409" spans="3:9" ht="13.45" x14ac:dyDescent="0.25">
      <c r="C409" s="18"/>
      <c r="D409" s="18"/>
      <c r="E409" s="18"/>
      <c r="F409" s="301"/>
      <c r="G409" s="301"/>
      <c r="H409" s="319"/>
      <c r="I409" s="18"/>
    </row>
    <row r="410" spans="3:9" ht="13.45" x14ac:dyDescent="0.25">
      <c r="C410" s="18"/>
      <c r="D410" s="18"/>
      <c r="E410" s="18"/>
      <c r="F410" s="301"/>
      <c r="G410" s="301"/>
      <c r="H410" s="319"/>
      <c r="I410" s="18"/>
    </row>
    <row r="411" spans="3:9" ht="13.45" x14ac:dyDescent="0.25">
      <c r="C411" s="18"/>
      <c r="D411" s="18"/>
      <c r="E411" s="18"/>
      <c r="F411" s="301"/>
      <c r="G411" s="301"/>
      <c r="H411" s="319"/>
      <c r="I411" s="18"/>
    </row>
    <row r="412" spans="3:9" ht="13.45" x14ac:dyDescent="0.25">
      <c r="C412" s="18"/>
      <c r="D412" s="18"/>
      <c r="E412" s="18"/>
      <c r="F412" s="301"/>
      <c r="G412" s="301"/>
      <c r="H412" s="319"/>
      <c r="I412" s="18"/>
    </row>
    <row r="413" spans="3:9" ht="13.45" x14ac:dyDescent="0.25">
      <c r="C413" s="18"/>
      <c r="D413" s="18"/>
      <c r="E413" s="18"/>
      <c r="F413" s="301"/>
      <c r="G413" s="301"/>
      <c r="H413" s="319"/>
      <c r="I413" s="18"/>
    </row>
    <row r="414" spans="3:9" ht="13.45" x14ac:dyDescent="0.25">
      <c r="C414" s="18"/>
      <c r="D414" s="18"/>
      <c r="E414" s="18"/>
      <c r="F414" s="301"/>
      <c r="G414" s="301"/>
      <c r="H414" s="319"/>
      <c r="I414" s="18"/>
    </row>
    <row r="415" spans="3:9" ht="13.45" x14ac:dyDescent="0.25">
      <c r="C415" s="18"/>
      <c r="D415" s="18"/>
      <c r="E415" s="18"/>
      <c r="F415" s="301"/>
      <c r="G415" s="301"/>
      <c r="H415" s="319"/>
      <c r="I415" s="18"/>
    </row>
    <row r="416" spans="3:9" ht="13.45" x14ac:dyDescent="0.25">
      <c r="C416" s="18"/>
      <c r="D416" s="18"/>
      <c r="E416" s="18"/>
      <c r="F416" s="301"/>
      <c r="G416" s="301"/>
      <c r="H416" s="319"/>
      <c r="I416" s="18"/>
    </row>
    <row r="417" spans="3:9" ht="13.45" x14ac:dyDescent="0.25">
      <c r="C417" s="18"/>
      <c r="D417" s="18"/>
      <c r="E417" s="18"/>
      <c r="F417" s="301"/>
      <c r="G417" s="301"/>
      <c r="H417" s="319"/>
      <c r="I417" s="18"/>
    </row>
    <row r="418" spans="3:9" ht="13.45" x14ac:dyDescent="0.25">
      <c r="C418" s="18"/>
      <c r="D418" s="18"/>
      <c r="E418" s="18"/>
      <c r="F418" s="301"/>
      <c r="G418" s="301"/>
      <c r="H418" s="319"/>
      <c r="I418" s="18"/>
    </row>
    <row r="419" spans="3:9" ht="13.45" x14ac:dyDescent="0.25">
      <c r="C419" s="18"/>
      <c r="D419" s="18"/>
      <c r="E419" s="18"/>
      <c r="F419" s="301"/>
      <c r="G419" s="301"/>
      <c r="H419" s="319"/>
      <c r="I419" s="18"/>
    </row>
    <row r="420" spans="3:9" ht="13.45" x14ac:dyDescent="0.25">
      <c r="C420" s="18"/>
      <c r="D420" s="18"/>
      <c r="E420" s="18"/>
      <c r="F420" s="301"/>
      <c r="G420" s="301"/>
      <c r="H420" s="319"/>
      <c r="I420" s="18"/>
    </row>
    <row r="421" spans="3:9" ht="13.45" x14ac:dyDescent="0.25">
      <c r="C421" s="18"/>
      <c r="D421" s="18"/>
      <c r="E421" s="18"/>
      <c r="F421" s="301"/>
      <c r="G421" s="301"/>
      <c r="H421" s="319"/>
      <c r="I421" s="18"/>
    </row>
    <row r="422" spans="3:9" ht="13.45" x14ac:dyDescent="0.25">
      <c r="C422" s="18"/>
      <c r="D422" s="18"/>
      <c r="E422" s="18"/>
      <c r="F422" s="301"/>
      <c r="G422" s="301"/>
      <c r="H422" s="319"/>
      <c r="I422" s="18"/>
    </row>
    <row r="423" spans="3:9" ht="13.45" x14ac:dyDescent="0.25">
      <c r="C423" s="18"/>
      <c r="D423" s="18"/>
      <c r="E423" s="18"/>
      <c r="F423" s="301"/>
      <c r="G423" s="301"/>
      <c r="H423" s="319"/>
      <c r="I423" s="18"/>
    </row>
    <row r="424" spans="3:9" ht="13.45" x14ac:dyDescent="0.25">
      <c r="C424" s="18"/>
      <c r="D424" s="18"/>
      <c r="E424" s="18"/>
      <c r="F424" s="301"/>
      <c r="G424" s="301"/>
      <c r="H424" s="319"/>
      <c r="I424" s="18"/>
    </row>
    <row r="425" spans="3:9" ht="13.45" x14ac:dyDescent="0.25">
      <c r="C425" s="18"/>
      <c r="D425" s="18"/>
      <c r="E425" s="18"/>
      <c r="F425" s="301"/>
      <c r="G425" s="301"/>
      <c r="H425" s="319"/>
      <c r="I425" s="18"/>
    </row>
    <row r="426" spans="3:9" ht="13.45" x14ac:dyDescent="0.25">
      <c r="C426" s="18"/>
      <c r="D426" s="18"/>
      <c r="E426" s="18"/>
      <c r="F426" s="301"/>
      <c r="G426" s="301"/>
      <c r="H426" s="319"/>
      <c r="I426" s="18"/>
    </row>
    <row r="427" spans="3:9" ht="13.45" x14ac:dyDescent="0.25">
      <c r="C427" s="18"/>
      <c r="D427" s="18"/>
      <c r="E427" s="18"/>
      <c r="F427" s="301"/>
      <c r="G427" s="301"/>
      <c r="H427" s="319"/>
      <c r="I427" s="18"/>
    </row>
    <row r="428" spans="3:9" ht="13.45" x14ac:dyDescent="0.25">
      <c r="C428" s="18"/>
      <c r="D428" s="18"/>
      <c r="E428" s="18"/>
      <c r="F428" s="301"/>
      <c r="G428" s="301"/>
      <c r="H428" s="319"/>
      <c r="I428" s="18"/>
    </row>
    <row r="429" spans="3:9" ht="13.45" x14ac:dyDescent="0.25">
      <c r="C429" s="18"/>
      <c r="D429" s="18"/>
      <c r="E429" s="18"/>
      <c r="F429" s="301"/>
      <c r="G429" s="301"/>
      <c r="H429" s="319"/>
      <c r="I429" s="18"/>
    </row>
    <row r="430" spans="3:9" ht="13.45" x14ac:dyDescent="0.25">
      <c r="C430" s="18"/>
      <c r="D430" s="18"/>
      <c r="E430" s="18"/>
      <c r="F430" s="301"/>
      <c r="G430" s="301"/>
      <c r="H430" s="319"/>
      <c r="I430" s="18"/>
    </row>
    <row r="431" spans="3:9" ht="13.45" x14ac:dyDescent="0.25">
      <c r="C431" s="18"/>
      <c r="D431" s="18"/>
      <c r="E431" s="18"/>
      <c r="F431" s="301"/>
      <c r="G431" s="301"/>
      <c r="H431" s="319"/>
      <c r="I431" s="18"/>
    </row>
    <row r="432" spans="3:9" ht="13.45" x14ac:dyDescent="0.25">
      <c r="C432" s="18"/>
      <c r="D432" s="18"/>
      <c r="E432" s="18"/>
      <c r="F432" s="301"/>
      <c r="G432" s="301"/>
      <c r="H432" s="319"/>
      <c r="I432" s="18"/>
    </row>
    <row r="433" spans="3:9" ht="13.45" x14ac:dyDescent="0.25">
      <c r="C433" s="18"/>
      <c r="D433" s="18"/>
      <c r="E433" s="18"/>
      <c r="F433" s="301"/>
      <c r="G433" s="301"/>
      <c r="H433" s="319"/>
      <c r="I433" s="18"/>
    </row>
    <row r="434" spans="3:9" ht="13.45" x14ac:dyDescent="0.25">
      <c r="C434" s="18"/>
      <c r="D434" s="18"/>
      <c r="E434" s="18"/>
      <c r="F434" s="301"/>
      <c r="G434" s="301"/>
      <c r="H434" s="319"/>
      <c r="I434" s="18"/>
    </row>
    <row r="435" spans="3:9" ht="13.45" x14ac:dyDescent="0.25">
      <c r="C435" s="18"/>
      <c r="D435" s="18"/>
      <c r="E435" s="18"/>
      <c r="F435" s="301"/>
      <c r="G435" s="301"/>
      <c r="H435" s="319"/>
      <c r="I435" s="18"/>
    </row>
    <row r="436" spans="3:9" ht="13.45" x14ac:dyDescent="0.25">
      <c r="C436" s="18"/>
      <c r="D436" s="18"/>
      <c r="E436" s="18"/>
      <c r="F436" s="301"/>
      <c r="G436" s="301"/>
      <c r="H436" s="319"/>
      <c r="I436" s="18"/>
    </row>
    <row r="437" spans="3:9" ht="13.45" x14ac:dyDescent="0.25">
      <c r="C437" s="18"/>
      <c r="D437" s="18"/>
      <c r="E437" s="18"/>
      <c r="F437" s="301"/>
      <c r="G437" s="301"/>
      <c r="H437" s="319"/>
      <c r="I437" s="18"/>
    </row>
    <row r="438" spans="3:9" ht="13.45" x14ac:dyDescent="0.25">
      <c r="C438" s="18"/>
      <c r="D438" s="18"/>
      <c r="E438" s="18"/>
      <c r="F438" s="301"/>
      <c r="G438" s="301"/>
      <c r="H438" s="319"/>
      <c r="I438" s="18"/>
    </row>
    <row r="439" spans="3:9" ht="13.45" x14ac:dyDescent="0.25">
      <c r="C439" s="18"/>
      <c r="D439" s="18"/>
      <c r="E439" s="18"/>
      <c r="F439" s="301"/>
      <c r="G439" s="301"/>
      <c r="H439" s="319"/>
      <c r="I439" s="18"/>
    </row>
    <row r="440" spans="3:9" ht="13.45" x14ac:dyDescent="0.25">
      <c r="C440" s="18"/>
      <c r="D440" s="18"/>
      <c r="E440" s="18"/>
      <c r="F440" s="301"/>
      <c r="G440" s="301"/>
      <c r="H440" s="319"/>
      <c r="I440" s="18"/>
    </row>
    <row r="441" spans="3:9" ht="13.45" x14ac:dyDescent="0.25">
      <c r="C441" s="18"/>
      <c r="D441" s="18"/>
      <c r="E441" s="18"/>
      <c r="F441" s="301"/>
      <c r="G441" s="301"/>
      <c r="H441" s="319"/>
      <c r="I441" s="18"/>
    </row>
    <row r="442" spans="3:9" ht="13.45" x14ac:dyDescent="0.25">
      <c r="C442" s="18"/>
      <c r="D442" s="18"/>
      <c r="E442" s="18"/>
      <c r="F442" s="301"/>
      <c r="G442" s="301"/>
      <c r="H442" s="319"/>
      <c r="I442" s="18"/>
    </row>
    <row r="443" spans="3:9" ht="13.45" x14ac:dyDescent="0.25">
      <c r="C443" s="18"/>
      <c r="D443" s="18"/>
      <c r="E443" s="18"/>
      <c r="F443" s="301"/>
      <c r="G443" s="301"/>
      <c r="H443" s="319"/>
      <c r="I443" s="18"/>
    </row>
    <row r="444" spans="3:9" ht="13.45" x14ac:dyDescent="0.25">
      <c r="C444" s="18"/>
      <c r="D444" s="18"/>
      <c r="E444" s="18"/>
      <c r="F444" s="301"/>
      <c r="G444" s="301"/>
      <c r="H444" s="319"/>
      <c r="I444" s="18"/>
    </row>
    <row r="445" spans="3:9" ht="13.45" x14ac:dyDescent="0.25">
      <c r="C445" s="18"/>
      <c r="D445" s="18"/>
      <c r="E445" s="18"/>
      <c r="F445" s="301"/>
      <c r="G445" s="301"/>
      <c r="H445" s="319"/>
      <c r="I445" s="18"/>
    </row>
    <row r="446" spans="3:9" ht="13.45" x14ac:dyDescent="0.25">
      <c r="C446" s="18"/>
      <c r="D446" s="18"/>
      <c r="E446" s="18"/>
      <c r="F446" s="301"/>
      <c r="G446" s="301"/>
      <c r="H446" s="319"/>
      <c r="I446" s="18"/>
    </row>
    <row r="447" spans="3:9" ht="13.45" x14ac:dyDescent="0.25">
      <c r="C447" s="18"/>
      <c r="D447" s="18"/>
      <c r="E447" s="18"/>
      <c r="F447" s="301"/>
      <c r="G447" s="301"/>
      <c r="H447" s="319"/>
      <c r="I447" s="18"/>
    </row>
    <row r="448" spans="3:9" ht="13.45" x14ac:dyDescent="0.25">
      <c r="C448" s="18"/>
      <c r="D448" s="18"/>
      <c r="E448" s="18"/>
      <c r="F448" s="301"/>
      <c r="G448" s="301"/>
      <c r="H448" s="319"/>
      <c r="I448" s="18"/>
    </row>
    <row r="449" spans="3:9" ht="13.45" x14ac:dyDescent="0.25">
      <c r="C449" s="18"/>
      <c r="D449" s="18"/>
      <c r="E449" s="18"/>
      <c r="F449" s="301"/>
      <c r="G449" s="301"/>
      <c r="H449" s="319"/>
      <c r="I449" s="18"/>
    </row>
    <row r="450" spans="3:9" ht="13.45" x14ac:dyDescent="0.25">
      <c r="C450" s="18"/>
      <c r="D450" s="18"/>
      <c r="E450" s="18"/>
      <c r="F450" s="301"/>
      <c r="G450" s="301"/>
      <c r="H450" s="319"/>
      <c r="I450" s="18"/>
    </row>
    <row r="451" spans="3:9" ht="13.45" x14ac:dyDescent="0.25">
      <c r="C451" s="18"/>
      <c r="D451" s="18"/>
      <c r="E451" s="18"/>
      <c r="F451" s="301"/>
      <c r="G451" s="301"/>
      <c r="H451" s="319"/>
      <c r="I451" s="18"/>
    </row>
    <row r="452" spans="3:9" ht="13.45" x14ac:dyDescent="0.25">
      <c r="C452" s="18"/>
      <c r="D452" s="18"/>
      <c r="E452" s="18"/>
      <c r="F452" s="301"/>
      <c r="G452" s="301"/>
      <c r="H452" s="319"/>
      <c r="I452" s="18"/>
    </row>
    <row r="453" spans="3:9" ht="13.45" x14ac:dyDescent="0.25">
      <c r="C453" s="18"/>
      <c r="D453" s="18"/>
      <c r="E453" s="18"/>
      <c r="F453" s="301"/>
      <c r="G453" s="301"/>
      <c r="H453" s="319"/>
      <c r="I453" s="18"/>
    </row>
    <row r="454" spans="3:9" ht="13.45" x14ac:dyDescent="0.25">
      <c r="C454" s="18"/>
      <c r="D454" s="18"/>
      <c r="E454" s="18"/>
      <c r="F454" s="301"/>
      <c r="G454" s="301"/>
      <c r="H454" s="319"/>
      <c r="I454" s="18"/>
    </row>
    <row r="455" spans="3:9" ht="13.45" x14ac:dyDescent="0.25">
      <c r="C455" s="18"/>
      <c r="D455" s="18"/>
      <c r="E455" s="18"/>
      <c r="F455" s="301"/>
      <c r="G455" s="301"/>
      <c r="H455" s="319"/>
      <c r="I455" s="18"/>
    </row>
    <row r="456" spans="3:9" ht="13.45" x14ac:dyDescent="0.25">
      <c r="C456" s="18"/>
      <c r="D456" s="18"/>
      <c r="E456" s="18"/>
      <c r="F456" s="301"/>
      <c r="G456" s="301"/>
      <c r="H456" s="319"/>
      <c r="I456" s="18"/>
    </row>
    <row r="457" spans="3:9" ht="13.45" x14ac:dyDescent="0.25">
      <c r="C457" s="18"/>
      <c r="D457" s="18"/>
      <c r="E457" s="18"/>
      <c r="F457" s="301"/>
      <c r="G457" s="301"/>
      <c r="H457" s="319"/>
      <c r="I457" s="18"/>
    </row>
    <row r="458" spans="3:9" ht="13.45" x14ac:dyDescent="0.25">
      <c r="C458" s="18"/>
      <c r="D458" s="18"/>
      <c r="E458" s="18"/>
      <c r="F458" s="301"/>
      <c r="G458" s="301"/>
      <c r="H458" s="319"/>
      <c r="I458" s="18"/>
    </row>
    <row r="459" spans="3:9" ht="13.45" x14ac:dyDescent="0.25">
      <c r="C459" s="18"/>
      <c r="D459" s="18"/>
      <c r="E459" s="18"/>
      <c r="F459" s="301"/>
      <c r="G459" s="301"/>
      <c r="H459" s="319"/>
      <c r="I459" s="18"/>
    </row>
    <row r="460" spans="3:9" ht="13.45" x14ac:dyDescent="0.25">
      <c r="C460" s="18"/>
      <c r="D460" s="18"/>
      <c r="E460" s="18"/>
      <c r="F460" s="301"/>
      <c r="G460" s="301"/>
      <c r="H460" s="319"/>
      <c r="I460" s="18"/>
    </row>
    <row r="461" spans="3:9" ht="13.45" x14ac:dyDescent="0.25">
      <c r="C461" s="18"/>
      <c r="D461" s="18"/>
      <c r="E461" s="18"/>
      <c r="F461" s="301"/>
      <c r="G461" s="301"/>
      <c r="H461" s="319"/>
      <c r="I461" s="18"/>
    </row>
    <row r="462" spans="3:9" ht="13.45" x14ac:dyDescent="0.25">
      <c r="C462" s="18"/>
      <c r="D462" s="18"/>
      <c r="E462" s="18"/>
      <c r="F462" s="301"/>
      <c r="G462" s="301"/>
      <c r="H462" s="319"/>
      <c r="I462" s="18"/>
    </row>
    <row r="463" spans="3:9" ht="13.45" x14ac:dyDescent="0.25">
      <c r="C463" s="18"/>
      <c r="D463" s="18"/>
      <c r="E463" s="18"/>
      <c r="F463" s="301"/>
      <c r="G463" s="301"/>
      <c r="H463" s="319"/>
      <c r="I463" s="18"/>
    </row>
    <row r="464" spans="3:9" ht="13.45" x14ac:dyDescent="0.25">
      <c r="C464" s="18"/>
      <c r="D464" s="18"/>
      <c r="E464" s="18"/>
      <c r="F464" s="301"/>
      <c r="G464" s="301"/>
      <c r="H464" s="319"/>
      <c r="I464" s="18"/>
    </row>
    <row r="465" spans="3:9" ht="13.45" x14ac:dyDescent="0.25">
      <c r="C465" s="18"/>
      <c r="D465" s="18"/>
      <c r="E465" s="18"/>
      <c r="F465" s="301"/>
      <c r="G465" s="301"/>
      <c r="H465" s="319"/>
      <c r="I465" s="18"/>
    </row>
    <row r="466" spans="3:9" ht="13.45" x14ac:dyDescent="0.25">
      <c r="C466" s="18"/>
      <c r="D466" s="18"/>
      <c r="E466" s="18"/>
      <c r="F466" s="301"/>
      <c r="G466" s="301"/>
      <c r="H466" s="319"/>
      <c r="I466" s="18"/>
    </row>
    <row r="467" spans="3:9" ht="13.45" x14ac:dyDescent="0.25">
      <c r="C467" s="18"/>
      <c r="D467" s="18"/>
      <c r="E467" s="18"/>
      <c r="F467" s="301"/>
      <c r="G467" s="301"/>
      <c r="H467" s="319"/>
      <c r="I467" s="18"/>
    </row>
    <row r="468" spans="3:9" ht="13.45" x14ac:dyDescent="0.25">
      <c r="C468" s="18"/>
      <c r="D468" s="18"/>
      <c r="E468" s="18"/>
      <c r="F468" s="301"/>
      <c r="G468" s="301"/>
      <c r="H468" s="319"/>
      <c r="I468" s="18"/>
    </row>
    <row r="469" spans="3:9" ht="13.45" x14ac:dyDescent="0.25">
      <c r="C469" s="18"/>
      <c r="D469" s="18"/>
      <c r="E469" s="18"/>
      <c r="F469" s="301"/>
      <c r="G469" s="301"/>
      <c r="H469" s="319"/>
      <c r="I469" s="18"/>
    </row>
    <row r="470" spans="3:9" ht="13.45" x14ac:dyDescent="0.25">
      <c r="C470" s="18"/>
      <c r="D470" s="18"/>
      <c r="E470" s="18"/>
      <c r="F470" s="301"/>
      <c r="G470" s="301"/>
      <c r="H470" s="319"/>
      <c r="I470" s="18"/>
    </row>
    <row r="471" spans="3:9" ht="13.45" x14ac:dyDescent="0.25">
      <c r="C471" s="18"/>
      <c r="D471" s="18"/>
      <c r="E471" s="18"/>
      <c r="F471" s="301"/>
      <c r="G471" s="301"/>
      <c r="H471" s="319"/>
      <c r="I471" s="18"/>
    </row>
    <row r="472" spans="3:9" ht="13.45" x14ac:dyDescent="0.25">
      <c r="C472" s="18"/>
      <c r="D472" s="18"/>
      <c r="E472" s="18"/>
      <c r="F472" s="301"/>
      <c r="G472" s="301"/>
      <c r="H472" s="319"/>
      <c r="I472" s="18"/>
    </row>
    <row r="473" spans="3:9" ht="13.45" x14ac:dyDescent="0.25">
      <c r="C473" s="18"/>
      <c r="D473" s="18"/>
      <c r="E473" s="18"/>
      <c r="F473" s="301"/>
      <c r="G473" s="301"/>
      <c r="H473" s="319"/>
      <c r="I473" s="18"/>
    </row>
    <row r="474" spans="3:9" ht="13.45" x14ac:dyDescent="0.25">
      <c r="C474" s="18"/>
      <c r="D474" s="18"/>
      <c r="E474" s="18"/>
      <c r="F474" s="301"/>
      <c r="G474" s="301"/>
      <c r="H474" s="319"/>
      <c r="I474" s="18"/>
    </row>
    <row r="475" spans="3:9" ht="13.45" x14ac:dyDescent="0.25">
      <c r="C475" s="18"/>
      <c r="D475" s="18"/>
      <c r="E475" s="18"/>
      <c r="F475" s="301"/>
      <c r="G475" s="301"/>
      <c r="H475" s="319"/>
      <c r="I475" s="18"/>
    </row>
    <row r="476" spans="3:9" ht="13.45" x14ac:dyDescent="0.25">
      <c r="C476" s="18"/>
      <c r="D476" s="18"/>
      <c r="E476" s="18"/>
      <c r="F476" s="301"/>
      <c r="G476" s="301"/>
      <c r="H476" s="319"/>
      <c r="I476" s="18"/>
    </row>
    <row r="477" spans="3:9" ht="13.45" x14ac:dyDescent="0.25">
      <c r="C477" s="18"/>
      <c r="D477" s="18"/>
      <c r="E477" s="18"/>
      <c r="F477" s="301"/>
      <c r="G477" s="301"/>
      <c r="H477" s="319"/>
      <c r="I477" s="18"/>
    </row>
    <row r="478" spans="3:9" ht="13.45" x14ac:dyDescent="0.25">
      <c r="C478" s="18"/>
      <c r="D478" s="18"/>
      <c r="E478" s="18"/>
      <c r="F478" s="301"/>
      <c r="G478" s="301"/>
      <c r="H478" s="319"/>
      <c r="I478" s="18"/>
    </row>
    <row r="479" spans="3:9" ht="13.45" x14ac:dyDescent="0.25">
      <c r="C479" s="18"/>
      <c r="D479" s="18"/>
      <c r="E479" s="18"/>
      <c r="F479" s="301"/>
      <c r="G479" s="301"/>
      <c r="H479" s="319"/>
      <c r="I479" s="18"/>
    </row>
    <row r="480" spans="3:9" ht="13.45" x14ac:dyDescent="0.25">
      <c r="C480" s="18"/>
      <c r="D480" s="18"/>
      <c r="E480" s="18"/>
      <c r="F480" s="301"/>
      <c r="G480" s="301"/>
      <c r="H480" s="319"/>
      <c r="I480" s="18"/>
    </row>
    <row r="481" spans="3:9" ht="13.45" x14ac:dyDescent="0.25">
      <c r="C481" s="18"/>
      <c r="D481" s="18"/>
      <c r="E481" s="18"/>
      <c r="F481" s="301"/>
      <c r="G481" s="301"/>
      <c r="H481" s="319"/>
      <c r="I481" s="18"/>
    </row>
    <row r="482" spans="3:9" ht="13.45" x14ac:dyDescent="0.25">
      <c r="C482" s="18"/>
      <c r="D482" s="18"/>
      <c r="E482" s="18"/>
      <c r="F482" s="301"/>
      <c r="G482" s="301"/>
      <c r="H482" s="319"/>
      <c r="I482" s="18"/>
    </row>
    <row r="483" spans="3:9" ht="13.45" x14ac:dyDescent="0.25">
      <c r="C483" s="18"/>
      <c r="D483" s="18"/>
      <c r="E483" s="18"/>
      <c r="F483" s="301"/>
      <c r="G483" s="301"/>
      <c r="H483" s="319"/>
      <c r="I483" s="18"/>
    </row>
    <row r="484" spans="3:9" ht="13.45" x14ac:dyDescent="0.25">
      <c r="C484" s="18"/>
      <c r="D484" s="18"/>
      <c r="E484" s="18"/>
      <c r="F484" s="301"/>
      <c r="G484" s="301"/>
      <c r="H484" s="319"/>
      <c r="I484" s="18"/>
    </row>
    <row r="485" spans="3:9" ht="13.45" x14ac:dyDescent="0.25">
      <c r="C485" s="18"/>
      <c r="D485" s="18"/>
      <c r="E485" s="18"/>
      <c r="F485" s="301"/>
      <c r="G485" s="301"/>
      <c r="H485" s="319"/>
      <c r="I485" s="18"/>
    </row>
    <row r="486" spans="3:9" ht="13.45" x14ac:dyDescent="0.25">
      <c r="C486" s="18"/>
      <c r="D486" s="18"/>
      <c r="E486" s="18"/>
      <c r="F486" s="301"/>
      <c r="G486" s="301"/>
      <c r="H486" s="319"/>
      <c r="I486" s="18"/>
    </row>
    <row r="487" spans="3:9" ht="13.45" x14ac:dyDescent="0.25">
      <c r="C487" s="18"/>
      <c r="D487" s="18"/>
      <c r="E487" s="18"/>
      <c r="F487" s="301"/>
      <c r="G487" s="301"/>
      <c r="H487" s="319"/>
      <c r="I487" s="18"/>
    </row>
    <row r="488" spans="3:9" ht="13.45" x14ac:dyDescent="0.25">
      <c r="C488" s="18"/>
      <c r="D488" s="18"/>
      <c r="E488" s="18"/>
      <c r="F488" s="301"/>
      <c r="G488" s="301"/>
      <c r="H488" s="319"/>
      <c r="I488" s="18"/>
    </row>
    <row r="489" spans="3:9" ht="13.45" x14ac:dyDescent="0.25">
      <c r="C489" s="18"/>
      <c r="D489" s="18"/>
      <c r="E489" s="18"/>
      <c r="F489" s="301"/>
      <c r="G489" s="301"/>
      <c r="H489" s="319"/>
      <c r="I489" s="18"/>
    </row>
    <row r="490" spans="3:9" ht="13.45" x14ac:dyDescent="0.25">
      <c r="C490" s="18"/>
      <c r="D490" s="18"/>
      <c r="E490" s="18"/>
      <c r="F490" s="301"/>
      <c r="G490" s="301"/>
      <c r="H490" s="319"/>
      <c r="I490" s="18"/>
    </row>
    <row r="491" spans="3:9" ht="13.45" x14ac:dyDescent="0.25">
      <c r="C491" s="18"/>
      <c r="D491" s="18"/>
      <c r="E491" s="18"/>
      <c r="F491" s="301"/>
      <c r="G491" s="301"/>
      <c r="H491" s="319"/>
      <c r="I491" s="18"/>
    </row>
    <row r="492" spans="3:9" ht="13.45" x14ac:dyDescent="0.25">
      <c r="C492" s="18"/>
      <c r="D492" s="18"/>
      <c r="E492" s="18"/>
      <c r="F492" s="301"/>
      <c r="G492" s="301"/>
      <c r="H492" s="319"/>
      <c r="I492" s="18"/>
    </row>
    <row r="493" spans="3:9" ht="13.45" x14ac:dyDescent="0.25">
      <c r="C493" s="18"/>
      <c r="D493" s="18"/>
      <c r="E493" s="18"/>
      <c r="F493" s="301"/>
      <c r="G493" s="301"/>
      <c r="H493" s="319"/>
      <c r="I493" s="18"/>
    </row>
    <row r="494" spans="3:9" ht="13.45" x14ac:dyDescent="0.25">
      <c r="C494" s="18"/>
      <c r="D494" s="18"/>
      <c r="E494" s="18"/>
      <c r="F494" s="301"/>
      <c r="G494" s="301"/>
      <c r="H494" s="319"/>
      <c r="I494" s="18"/>
    </row>
    <row r="495" spans="3:9" ht="13.45" x14ac:dyDescent="0.25">
      <c r="C495" s="18"/>
      <c r="D495" s="18"/>
      <c r="E495" s="18"/>
      <c r="F495" s="301"/>
      <c r="G495" s="301"/>
      <c r="H495" s="319"/>
      <c r="I495" s="18"/>
    </row>
    <row r="496" spans="3:9" ht="13.45" x14ac:dyDescent="0.25">
      <c r="C496" s="18"/>
      <c r="D496" s="18"/>
      <c r="E496" s="18"/>
      <c r="F496" s="301"/>
      <c r="G496" s="301"/>
      <c r="H496" s="319"/>
      <c r="I496" s="18"/>
    </row>
    <row r="497" spans="3:9" ht="13.45" x14ac:dyDescent="0.25">
      <c r="C497" s="18"/>
      <c r="D497" s="18"/>
      <c r="E497" s="18"/>
      <c r="F497" s="301"/>
      <c r="G497" s="301"/>
      <c r="H497" s="319"/>
      <c r="I497" s="18"/>
    </row>
    <row r="498" spans="3:9" ht="13.45" x14ac:dyDescent="0.25">
      <c r="C498" s="18"/>
      <c r="D498" s="18"/>
      <c r="E498" s="18"/>
      <c r="F498" s="301"/>
      <c r="G498" s="301"/>
      <c r="H498" s="319"/>
      <c r="I498" s="18"/>
    </row>
    <row r="499" spans="3:9" ht="13.45" x14ac:dyDescent="0.25">
      <c r="C499" s="18"/>
      <c r="D499" s="18"/>
      <c r="E499" s="18"/>
      <c r="F499" s="301"/>
      <c r="G499" s="301"/>
      <c r="H499" s="319"/>
      <c r="I499" s="18"/>
    </row>
    <row r="500" spans="3:9" ht="13.45" x14ac:dyDescent="0.25">
      <c r="C500" s="18"/>
      <c r="D500" s="18"/>
      <c r="E500" s="18"/>
      <c r="F500" s="301"/>
      <c r="G500" s="301"/>
      <c r="H500" s="319"/>
      <c r="I500" s="18"/>
    </row>
    <row r="501" spans="3:9" ht="13.45" x14ac:dyDescent="0.25">
      <c r="C501" s="18"/>
      <c r="D501" s="18"/>
      <c r="E501" s="18"/>
      <c r="F501" s="301"/>
      <c r="G501" s="301"/>
      <c r="H501" s="319"/>
      <c r="I501" s="18"/>
    </row>
    <row r="502" spans="3:9" ht="13.45" x14ac:dyDescent="0.25">
      <c r="C502" s="18"/>
      <c r="D502" s="18"/>
      <c r="E502" s="18"/>
      <c r="F502" s="301"/>
      <c r="G502" s="301"/>
      <c r="H502" s="319"/>
      <c r="I502" s="18"/>
    </row>
    <row r="503" spans="3:9" ht="13.45" x14ac:dyDescent="0.25">
      <c r="C503" s="18"/>
      <c r="D503" s="18"/>
      <c r="E503" s="18"/>
      <c r="F503" s="301"/>
      <c r="G503" s="301"/>
      <c r="H503" s="319"/>
      <c r="I503" s="18"/>
    </row>
    <row r="504" spans="3:9" ht="13.45" x14ac:dyDescent="0.25">
      <c r="C504" s="18"/>
      <c r="D504" s="18"/>
      <c r="E504" s="18"/>
      <c r="F504" s="301"/>
      <c r="G504" s="301"/>
      <c r="H504" s="319"/>
      <c r="I504" s="18"/>
    </row>
    <row r="505" spans="3:9" ht="13.45" x14ac:dyDescent="0.25">
      <c r="C505" s="18"/>
      <c r="D505" s="18"/>
      <c r="E505" s="18"/>
      <c r="F505" s="301"/>
      <c r="G505" s="301"/>
      <c r="H505" s="319"/>
      <c r="I505" s="18"/>
    </row>
    <row r="506" spans="3:9" ht="13.45" x14ac:dyDescent="0.25">
      <c r="C506" s="18"/>
      <c r="D506" s="18"/>
      <c r="E506" s="18"/>
      <c r="F506" s="301"/>
      <c r="G506" s="301"/>
      <c r="H506" s="319"/>
      <c r="I506" s="18"/>
    </row>
    <row r="507" spans="3:9" ht="13.45" x14ac:dyDescent="0.25">
      <c r="C507" s="18"/>
      <c r="D507" s="18"/>
      <c r="E507" s="18"/>
      <c r="F507" s="301"/>
      <c r="G507" s="301"/>
      <c r="H507" s="319"/>
      <c r="I507" s="18"/>
    </row>
    <row r="508" spans="3:9" ht="13.45" x14ac:dyDescent="0.25">
      <c r="C508" s="18"/>
      <c r="D508" s="18"/>
      <c r="E508" s="18"/>
      <c r="F508" s="301"/>
      <c r="G508" s="301"/>
      <c r="H508" s="319"/>
      <c r="I508" s="18"/>
    </row>
    <row r="509" spans="3:9" ht="13.45" x14ac:dyDescent="0.25">
      <c r="C509" s="18"/>
      <c r="D509" s="18"/>
      <c r="E509" s="18"/>
      <c r="F509" s="301"/>
      <c r="G509" s="301"/>
      <c r="H509" s="319"/>
      <c r="I509" s="18"/>
    </row>
    <row r="510" spans="3:9" ht="13.45" x14ac:dyDescent="0.25">
      <c r="C510" s="18"/>
      <c r="D510" s="18"/>
      <c r="E510" s="18"/>
      <c r="F510" s="301"/>
      <c r="G510" s="301"/>
      <c r="H510" s="319"/>
      <c r="I510" s="18"/>
    </row>
    <row r="511" spans="3:9" ht="13.45" x14ac:dyDescent="0.25">
      <c r="C511" s="18"/>
      <c r="D511" s="18"/>
      <c r="E511" s="18"/>
      <c r="F511" s="301"/>
      <c r="G511" s="301"/>
      <c r="H511" s="319"/>
      <c r="I511" s="18"/>
    </row>
    <row r="512" spans="3:9" ht="13.45" x14ac:dyDescent="0.25">
      <c r="C512" s="18"/>
      <c r="D512" s="18"/>
      <c r="E512" s="18"/>
      <c r="F512" s="301"/>
      <c r="G512" s="301"/>
      <c r="H512" s="319"/>
      <c r="I512" s="18"/>
    </row>
    <row r="513" spans="3:9" ht="13.45" x14ac:dyDescent="0.25">
      <c r="C513" s="18"/>
      <c r="D513" s="18"/>
      <c r="E513" s="18"/>
      <c r="F513" s="301"/>
      <c r="G513" s="301"/>
      <c r="H513" s="319"/>
      <c r="I513" s="18"/>
    </row>
    <row r="514" spans="3:9" ht="13.45" x14ac:dyDescent="0.25">
      <c r="C514" s="18"/>
      <c r="D514" s="18"/>
      <c r="E514" s="18"/>
      <c r="F514" s="301"/>
      <c r="G514" s="301"/>
      <c r="H514" s="319"/>
      <c r="I514" s="18"/>
    </row>
    <row r="515" spans="3:9" ht="13.45" x14ac:dyDescent="0.25">
      <c r="C515" s="18"/>
      <c r="D515" s="18"/>
      <c r="E515" s="18"/>
      <c r="F515" s="301"/>
      <c r="G515" s="301"/>
      <c r="H515" s="319"/>
      <c r="I515" s="18"/>
    </row>
    <row r="516" spans="3:9" ht="13.45" x14ac:dyDescent="0.25">
      <c r="C516" s="18"/>
      <c r="D516" s="18"/>
      <c r="E516" s="18"/>
      <c r="F516" s="301"/>
      <c r="G516" s="301"/>
      <c r="H516" s="319"/>
      <c r="I516" s="18"/>
    </row>
    <row r="517" spans="3:9" ht="13.45" x14ac:dyDescent="0.25">
      <c r="C517" s="18"/>
      <c r="D517" s="18"/>
      <c r="E517" s="18"/>
      <c r="F517" s="301"/>
      <c r="G517" s="301"/>
      <c r="H517" s="319"/>
      <c r="I517" s="18"/>
    </row>
    <row r="518" spans="3:9" ht="13.45" x14ac:dyDescent="0.25">
      <c r="C518" s="18"/>
      <c r="D518" s="18"/>
      <c r="E518" s="18"/>
      <c r="F518" s="301"/>
      <c r="G518" s="301"/>
      <c r="H518" s="319"/>
      <c r="I518" s="18"/>
    </row>
    <row r="519" spans="3:9" ht="13.45" x14ac:dyDescent="0.25">
      <c r="C519" s="18"/>
      <c r="D519" s="18"/>
      <c r="E519" s="18"/>
      <c r="F519" s="301"/>
      <c r="G519" s="301"/>
      <c r="H519" s="319"/>
      <c r="I519" s="18"/>
    </row>
    <row r="520" spans="3:9" ht="13.45" x14ac:dyDescent="0.25">
      <c r="C520" s="18"/>
      <c r="D520" s="18"/>
      <c r="E520" s="18"/>
      <c r="F520" s="301"/>
      <c r="G520" s="301"/>
      <c r="H520" s="319"/>
      <c r="I520" s="18"/>
    </row>
    <row r="521" spans="3:9" ht="13.45" x14ac:dyDescent="0.25">
      <c r="C521" s="18"/>
      <c r="D521" s="18"/>
      <c r="E521" s="18"/>
      <c r="F521" s="301"/>
      <c r="G521" s="301"/>
      <c r="H521" s="319"/>
      <c r="I521" s="18"/>
    </row>
    <row r="522" spans="3:9" ht="13.45" x14ac:dyDescent="0.25">
      <c r="C522" s="18"/>
      <c r="D522" s="18"/>
      <c r="E522" s="18"/>
      <c r="F522" s="301"/>
      <c r="G522" s="301"/>
      <c r="H522" s="319"/>
      <c r="I522" s="18"/>
    </row>
    <row r="523" spans="3:9" ht="13.45" x14ac:dyDescent="0.25">
      <c r="C523" s="18"/>
      <c r="D523" s="18"/>
      <c r="E523" s="18"/>
      <c r="F523" s="301"/>
      <c r="G523" s="301"/>
      <c r="H523" s="319"/>
      <c r="I523" s="18"/>
    </row>
    <row r="524" spans="3:9" ht="13.45" x14ac:dyDescent="0.25">
      <c r="C524" s="18"/>
      <c r="D524" s="18"/>
      <c r="E524" s="18"/>
      <c r="F524" s="301"/>
      <c r="G524" s="301"/>
      <c r="H524" s="319"/>
      <c r="I524" s="18"/>
    </row>
    <row r="525" spans="3:9" ht="13.45" x14ac:dyDescent="0.25">
      <c r="C525" s="18"/>
      <c r="D525" s="18"/>
      <c r="E525" s="18"/>
      <c r="F525" s="301"/>
      <c r="G525" s="301"/>
      <c r="H525" s="319"/>
      <c r="I525" s="18"/>
    </row>
    <row r="526" spans="3:9" ht="13.45" x14ac:dyDescent="0.25">
      <c r="C526" s="18"/>
      <c r="D526" s="18"/>
      <c r="E526" s="18"/>
      <c r="F526" s="301"/>
      <c r="G526" s="301"/>
      <c r="H526" s="319"/>
      <c r="I526" s="18"/>
    </row>
    <row r="527" spans="3:9" ht="13.45" x14ac:dyDescent="0.25">
      <c r="C527" s="18"/>
      <c r="D527" s="18"/>
      <c r="E527" s="18"/>
      <c r="F527" s="301"/>
      <c r="G527" s="301"/>
      <c r="H527" s="319"/>
      <c r="I527" s="18"/>
    </row>
    <row r="528" spans="3:9" ht="13.45" x14ac:dyDescent="0.25">
      <c r="C528" s="18"/>
      <c r="D528" s="18"/>
      <c r="E528" s="18"/>
      <c r="F528" s="301"/>
      <c r="G528" s="301"/>
      <c r="H528" s="319"/>
      <c r="I528" s="18"/>
    </row>
    <row r="529" spans="3:9" ht="13.45" x14ac:dyDescent="0.25">
      <c r="C529" s="18"/>
      <c r="D529" s="18"/>
      <c r="E529" s="18"/>
      <c r="F529" s="301"/>
      <c r="G529" s="301"/>
      <c r="H529" s="319"/>
      <c r="I529" s="18"/>
    </row>
    <row r="530" spans="3:9" ht="13.45" x14ac:dyDescent="0.25">
      <c r="C530" s="18"/>
      <c r="D530" s="18"/>
      <c r="E530" s="18"/>
      <c r="F530" s="301"/>
      <c r="G530" s="301"/>
      <c r="H530" s="319"/>
      <c r="I530" s="18"/>
    </row>
    <row r="531" spans="3:9" ht="13.45" x14ac:dyDescent="0.25">
      <c r="C531" s="18"/>
      <c r="D531" s="18"/>
      <c r="E531" s="18"/>
      <c r="F531" s="301"/>
      <c r="G531" s="301"/>
      <c r="H531" s="319"/>
      <c r="I531" s="18"/>
    </row>
    <row r="532" spans="3:9" ht="13.45" x14ac:dyDescent="0.25">
      <c r="C532" s="18"/>
      <c r="D532" s="18"/>
      <c r="E532" s="18"/>
      <c r="F532" s="301"/>
      <c r="G532" s="301"/>
      <c r="H532" s="319"/>
      <c r="I532" s="18"/>
    </row>
    <row r="533" spans="3:9" ht="13.45" x14ac:dyDescent="0.25">
      <c r="C533" s="18"/>
      <c r="D533" s="18"/>
      <c r="E533" s="18"/>
      <c r="F533" s="301"/>
      <c r="G533" s="301"/>
      <c r="H533" s="319"/>
      <c r="I533" s="18"/>
    </row>
    <row r="534" spans="3:9" ht="13.45" x14ac:dyDescent="0.25">
      <c r="C534" s="18"/>
      <c r="D534" s="18"/>
      <c r="E534" s="18"/>
      <c r="F534" s="301"/>
      <c r="G534" s="301"/>
      <c r="H534" s="319"/>
      <c r="I534" s="18"/>
    </row>
    <row r="535" spans="3:9" ht="13.45" x14ac:dyDescent="0.25">
      <c r="C535" s="18"/>
      <c r="D535" s="18"/>
      <c r="E535" s="18"/>
      <c r="F535" s="301"/>
      <c r="G535" s="301"/>
      <c r="H535" s="319"/>
      <c r="I535" s="18"/>
    </row>
    <row r="536" spans="3:9" ht="13.45" x14ac:dyDescent="0.25">
      <c r="C536" s="18"/>
      <c r="D536" s="18"/>
      <c r="E536" s="18"/>
      <c r="F536" s="301"/>
      <c r="G536" s="301"/>
      <c r="H536" s="319"/>
      <c r="I536" s="18"/>
    </row>
    <row r="537" spans="3:9" ht="13.45" x14ac:dyDescent="0.25">
      <c r="C537" s="18"/>
      <c r="D537" s="18"/>
      <c r="E537" s="18"/>
      <c r="F537" s="301"/>
      <c r="G537" s="301"/>
      <c r="H537" s="319"/>
      <c r="I537" s="18"/>
    </row>
    <row r="538" spans="3:9" ht="13.45" x14ac:dyDescent="0.25">
      <c r="C538" s="18"/>
      <c r="D538" s="18"/>
      <c r="E538" s="18"/>
      <c r="F538" s="301"/>
      <c r="G538" s="301"/>
      <c r="H538" s="319"/>
      <c r="I538" s="18"/>
    </row>
    <row r="539" spans="3:9" ht="13.45" x14ac:dyDescent="0.25">
      <c r="C539" s="18"/>
      <c r="D539" s="18"/>
      <c r="E539" s="18"/>
      <c r="F539" s="301"/>
      <c r="G539" s="301"/>
      <c r="H539" s="319"/>
      <c r="I539" s="18"/>
    </row>
    <row r="540" spans="3:9" ht="13.45" x14ac:dyDescent="0.25">
      <c r="C540" s="18"/>
      <c r="D540" s="18"/>
      <c r="E540" s="18"/>
      <c r="F540" s="301"/>
      <c r="G540" s="301"/>
      <c r="H540" s="319"/>
      <c r="I540" s="18"/>
    </row>
    <row r="541" spans="3:9" ht="13.45" x14ac:dyDescent="0.25">
      <c r="C541" s="18"/>
      <c r="D541" s="18"/>
      <c r="E541" s="18"/>
      <c r="F541" s="301"/>
      <c r="G541" s="301"/>
      <c r="H541" s="319"/>
      <c r="I541" s="18"/>
    </row>
    <row r="542" spans="3:9" ht="13.45" x14ac:dyDescent="0.25">
      <c r="C542" s="18"/>
      <c r="D542" s="18"/>
      <c r="E542" s="18"/>
      <c r="F542" s="301"/>
      <c r="G542" s="301"/>
      <c r="H542" s="319"/>
      <c r="I542" s="18"/>
    </row>
    <row r="543" spans="3:9" ht="13.45" x14ac:dyDescent="0.25">
      <c r="C543" s="18"/>
      <c r="D543" s="18"/>
      <c r="E543" s="18"/>
      <c r="F543" s="301"/>
      <c r="G543" s="301"/>
      <c r="H543" s="319"/>
      <c r="I543" s="18"/>
    </row>
    <row r="544" spans="3:9" ht="13.45" x14ac:dyDescent="0.25">
      <c r="C544" s="18"/>
      <c r="D544" s="18"/>
      <c r="E544" s="18"/>
      <c r="F544" s="301"/>
      <c r="G544" s="301"/>
      <c r="H544" s="319"/>
      <c r="I544" s="18"/>
    </row>
    <row r="545" spans="3:9" ht="13.45" x14ac:dyDescent="0.25">
      <c r="C545" s="18"/>
      <c r="D545" s="18"/>
      <c r="E545" s="18"/>
      <c r="F545" s="301"/>
      <c r="G545" s="301"/>
      <c r="H545" s="319"/>
      <c r="I545" s="18"/>
    </row>
    <row r="546" spans="3:9" ht="13.45" x14ac:dyDescent="0.25">
      <c r="C546" s="18"/>
      <c r="D546" s="18"/>
      <c r="E546" s="18"/>
      <c r="F546" s="301"/>
      <c r="G546" s="301"/>
      <c r="H546" s="319"/>
      <c r="I546" s="18"/>
    </row>
    <row r="547" spans="3:9" ht="13.45" x14ac:dyDescent="0.25">
      <c r="C547" s="18"/>
      <c r="D547" s="18"/>
      <c r="E547" s="18"/>
      <c r="F547" s="301"/>
      <c r="G547" s="301"/>
      <c r="H547" s="319"/>
      <c r="I547" s="18"/>
    </row>
    <row r="548" spans="3:9" ht="13.45" x14ac:dyDescent="0.25">
      <c r="C548" s="18"/>
      <c r="D548" s="18"/>
      <c r="E548" s="18"/>
      <c r="F548" s="301"/>
      <c r="G548" s="301"/>
      <c r="H548" s="319"/>
      <c r="I548" s="18"/>
    </row>
    <row r="549" spans="3:9" ht="13.45" x14ac:dyDescent="0.25">
      <c r="C549" s="18"/>
      <c r="D549" s="18"/>
      <c r="E549" s="18"/>
      <c r="F549" s="301"/>
      <c r="G549" s="301"/>
      <c r="H549" s="319"/>
      <c r="I549" s="18"/>
    </row>
    <row r="550" spans="3:9" ht="13.45" x14ac:dyDescent="0.25">
      <c r="C550" s="18"/>
      <c r="D550" s="18"/>
      <c r="E550" s="18"/>
      <c r="F550" s="301"/>
      <c r="G550" s="301"/>
      <c r="H550" s="319"/>
      <c r="I550" s="18"/>
    </row>
    <row r="551" spans="3:9" ht="13.45" x14ac:dyDescent="0.25">
      <c r="C551" s="18"/>
      <c r="D551" s="18"/>
      <c r="E551" s="18"/>
      <c r="F551" s="301"/>
      <c r="G551" s="301"/>
      <c r="H551" s="319"/>
      <c r="I551" s="18"/>
    </row>
    <row r="552" spans="3:9" ht="13.45" x14ac:dyDescent="0.25">
      <c r="C552" s="18"/>
      <c r="D552" s="18"/>
      <c r="E552" s="18"/>
      <c r="F552" s="301"/>
      <c r="G552" s="301"/>
      <c r="H552" s="319"/>
      <c r="I552" s="18"/>
    </row>
    <row r="553" spans="3:9" ht="13.45" x14ac:dyDescent="0.25">
      <c r="C553" s="18"/>
      <c r="D553" s="18"/>
      <c r="E553" s="18"/>
      <c r="F553" s="301"/>
      <c r="G553" s="301"/>
      <c r="H553" s="319"/>
      <c r="I553" s="18"/>
    </row>
    <row r="554" spans="3:9" ht="13.45" x14ac:dyDescent="0.25">
      <c r="C554" s="18"/>
      <c r="D554" s="18"/>
      <c r="E554" s="18"/>
      <c r="F554" s="301"/>
      <c r="G554" s="301"/>
      <c r="H554" s="319"/>
      <c r="I554" s="18"/>
    </row>
    <row r="555" spans="3:9" ht="13.45" x14ac:dyDescent="0.25">
      <c r="C555" s="18"/>
      <c r="D555" s="18"/>
      <c r="E555" s="18"/>
      <c r="F555" s="301"/>
      <c r="G555" s="301"/>
      <c r="H555" s="319"/>
      <c r="I555" s="18"/>
    </row>
    <row r="556" spans="3:9" ht="13.45" x14ac:dyDescent="0.25">
      <c r="C556" s="18"/>
      <c r="D556" s="18"/>
      <c r="E556" s="18"/>
      <c r="F556" s="301"/>
      <c r="G556" s="301"/>
      <c r="H556" s="319"/>
      <c r="I556" s="18"/>
    </row>
    <row r="557" spans="3:9" ht="13.45" x14ac:dyDescent="0.25">
      <c r="C557" s="18"/>
      <c r="D557" s="18"/>
      <c r="E557" s="18"/>
      <c r="F557" s="301"/>
      <c r="G557" s="301"/>
      <c r="H557" s="319"/>
      <c r="I557" s="18"/>
    </row>
    <row r="558" spans="3:9" ht="13.45" x14ac:dyDescent="0.25">
      <c r="C558" s="18"/>
      <c r="D558" s="18"/>
      <c r="E558" s="18"/>
      <c r="F558" s="301"/>
      <c r="G558" s="301"/>
      <c r="H558" s="319"/>
      <c r="I558" s="18"/>
    </row>
    <row r="559" spans="3:9" ht="13.45" x14ac:dyDescent="0.25">
      <c r="C559" s="18"/>
      <c r="D559" s="18"/>
      <c r="E559" s="18"/>
      <c r="F559" s="301"/>
      <c r="G559" s="301"/>
      <c r="H559" s="319"/>
      <c r="I559" s="18"/>
    </row>
    <row r="560" spans="3:9" ht="13.45" x14ac:dyDescent="0.25">
      <c r="C560" s="18"/>
      <c r="D560" s="18"/>
      <c r="E560" s="18"/>
      <c r="F560" s="301"/>
      <c r="G560" s="301"/>
      <c r="H560" s="319"/>
      <c r="I560" s="18"/>
    </row>
    <row r="561" spans="3:9" ht="13.45" x14ac:dyDescent="0.25">
      <c r="C561" s="18"/>
      <c r="D561" s="18"/>
      <c r="E561" s="18"/>
      <c r="F561" s="301"/>
      <c r="G561" s="301"/>
      <c r="H561" s="319"/>
      <c r="I561" s="18"/>
    </row>
    <row r="562" spans="3:9" ht="13.45" x14ac:dyDescent="0.25">
      <c r="C562" s="18"/>
      <c r="D562" s="18"/>
      <c r="E562" s="18"/>
      <c r="F562" s="301"/>
      <c r="G562" s="301"/>
      <c r="H562" s="319"/>
      <c r="I562" s="18"/>
    </row>
    <row r="563" spans="3:9" ht="13.45" x14ac:dyDescent="0.25">
      <c r="C563" s="18"/>
      <c r="D563" s="18"/>
      <c r="E563" s="18"/>
      <c r="F563" s="301"/>
      <c r="G563" s="301"/>
      <c r="H563" s="319"/>
      <c r="I563" s="18"/>
    </row>
    <row r="564" spans="3:9" ht="13.45" x14ac:dyDescent="0.25">
      <c r="C564" s="18"/>
      <c r="D564" s="18"/>
      <c r="E564" s="18"/>
      <c r="F564" s="301"/>
      <c r="G564" s="301"/>
      <c r="H564" s="319"/>
      <c r="I564" s="18"/>
    </row>
    <row r="565" spans="3:9" ht="13.45" x14ac:dyDescent="0.25">
      <c r="C565" s="18"/>
      <c r="D565" s="18"/>
      <c r="E565" s="18"/>
      <c r="F565" s="301"/>
      <c r="G565" s="301"/>
      <c r="H565" s="319"/>
      <c r="I565" s="18"/>
    </row>
    <row r="566" spans="3:9" ht="13.45" x14ac:dyDescent="0.25">
      <c r="C566" s="18"/>
      <c r="D566" s="18"/>
      <c r="E566" s="18"/>
      <c r="F566" s="301"/>
      <c r="G566" s="301"/>
      <c r="H566" s="319"/>
      <c r="I566" s="18"/>
    </row>
    <row r="567" spans="3:9" ht="13.45" x14ac:dyDescent="0.25">
      <c r="C567" s="18"/>
      <c r="D567" s="18"/>
      <c r="E567" s="18"/>
      <c r="F567" s="301"/>
      <c r="G567" s="301"/>
      <c r="H567" s="319"/>
      <c r="I567" s="18"/>
    </row>
    <row r="568" spans="3:9" ht="13.45" x14ac:dyDescent="0.25">
      <c r="C568" s="18"/>
      <c r="D568" s="18"/>
      <c r="E568" s="18"/>
      <c r="F568" s="301"/>
      <c r="G568" s="301"/>
      <c r="H568" s="319"/>
      <c r="I568" s="18"/>
    </row>
    <row r="569" spans="3:9" ht="13.45" x14ac:dyDescent="0.25">
      <c r="C569" s="18"/>
      <c r="D569" s="18"/>
      <c r="E569" s="18"/>
      <c r="F569" s="301"/>
      <c r="G569" s="301"/>
      <c r="H569" s="319"/>
      <c r="I569" s="18"/>
    </row>
    <row r="570" spans="3:9" ht="13.45" x14ac:dyDescent="0.25">
      <c r="C570" s="18"/>
      <c r="D570" s="18"/>
      <c r="E570" s="18"/>
      <c r="F570" s="301"/>
      <c r="G570" s="301"/>
      <c r="H570" s="319"/>
      <c r="I570" s="18"/>
    </row>
    <row r="571" spans="3:9" ht="13.45" x14ac:dyDescent="0.25">
      <c r="C571" s="18"/>
      <c r="D571" s="18"/>
      <c r="E571" s="18"/>
      <c r="F571" s="301"/>
      <c r="G571" s="301"/>
      <c r="H571" s="319"/>
      <c r="I571" s="18"/>
    </row>
    <row r="572" spans="3:9" ht="13.45" x14ac:dyDescent="0.25">
      <c r="C572" s="18"/>
      <c r="D572" s="18"/>
      <c r="E572" s="18"/>
      <c r="F572" s="301"/>
      <c r="G572" s="301"/>
      <c r="H572" s="319"/>
      <c r="I572" s="18"/>
    </row>
    <row r="573" spans="3:9" ht="13.45" x14ac:dyDescent="0.25">
      <c r="C573" s="18"/>
      <c r="D573" s="18"/>
      <c r="E573" s="18"/>
      <c r="F573" s="301"/>
      <c r="G573" s="301"/>
      <c r="H573" s="319"/>
      <c r="I573" s="18"/>
    </row>
    <row r="574" spans="3:9" ht="13.45" x14ac:dyDescent="0.25">
      <c r="C574" s="18"/>
      <c r="D574" s="18"/>
      <c r="E574" s="18"/>
      <c r="F574" s="301"/>
      <c r="G574" s="301"/>
      <c r="H574" s="319"/>
      <c r="I574" s="18"/>
    </row>
    <row r="575" spans="3:9" ht="13.45" x14ac:dyDescent="0.25">
      <c r="C575" s="18"/>
      <c r="D575" s="18"/>
      <c r="E575" s="18"/>
      <c r="F575" s="301"/>
      <c r="G575" s="301"/>
      <c r="H575" s="319"/>
      <c r="I575" s="18"/>
    </row>
    <row r="576" spans="3:9" ht="13.45" x14ac:dyDescent="0.25">
      <c r="C576" s="18"/>
      <c r="D576" s="18"/>
      <c r="E576" s="18"/>
      <c r="F576" s="301"/>
      <c r="G576" s="301"/>
      <c r="H576" s="319"/>
      <c r="I576" s="18"/>
    </row>
    <row r="577" spans="3:9" ht="13.45" x14ac:dyDescent="0.25">
      <c r="C577" s="18"/>
      <c r="D577" s="18"/>
      <c r="E577" s="18"/>
      <c r="F577" s="301"/>
      <c r="G577" s="301"/>
      <c r="H577" s="319"/>
      <c r="I577" s="18"/>
    </row>
    <row r="578" spans="3:9" ht="13.45" x14ac:dyDescent="0.25">
      <c r="C578" s="18"/>
      <c r="D578" s="18"/>
      <c r="E578" s="18"/>
      <c r="F578" s="301"/>
      <c r="G578" s="301"/>
      <c r="H578" s="319"/>
      <c r="I578" s="18"/>
    </row>
    <row r="579" spans="3:9" ht="13.45" x14ac:dyDescent="0.25">
      <c r="C579" s="18"/>
      <c r="D579" s="18"/>
      <c r="E579" s="18"/>
      <c r="F579" s="301"/>
      <c r="G579" s="301"/>
      <c r="H579" s="319"/>
      <c r="I579" s="18"/>
    </row>
    <row r="580" spans="3:9" ht="13.45" x14ac:dyDescent="0.25">
      <c r="C580" s="18"/>
      <c r="D580" s="18"/>
      <c r="E580" s="18"/>
      <c r="F580" s="301"/>
      <c r="G580" s="301"/>
      <c r="H580" s="319"/>
      <c r="I580" s="18"/>
    </row>
    <row r="581" spans="3:9" ht="13.45" x14ac:dyDescent="0.25">
      <c r="C581" s="18"/>
      <c r="D581" s="18"/>
      <c r="E581" s="18"/>
      <c r="F581" s="301"/>
      <c r="G581" s="301"/>
      <c r="H581" s="319"/>
      <c r="I581" s="18"/>
    </row>
    <row r="582" spans="3:9" ht="13.45" x14ac:dyDescent="0.25">
      <c r="C582" s="18"/>
      <c r="D582" s="18"/>
      <c r="E582" s="18"/>
      <c r="F582" s="301"/>
      <c r="G582" s="301"/>
      <c r="H582" s="319"/>
      <c r="I582" s="18"/>
    </row>
    <row r="583" spans="3:9" ht="13.45" x14ac:dyDescent="0.25">
      <c r="C583" s="18"/>
      <c r="D583" s="18"/>
      <c r="E583" s="18"/>
      <c r="F583" s="301"/>
      <c r="G583" s="301"/>
      <c r="H583" s="319"/>
      <c r="I583" s="18"/>
    </row>
    <row r="584" spans="3:9" ht="13.45" x14ac:dyDescent="0.25">
      <c r="C584" s="18"/>
      <c r="D584" s="18"/>
      <c r="E584" s="18"/>
      <c r="F584" s="301"/>
      <c r="G584" s="301"/>
      <c r="H584" s="319"/>
      <c r="I584" s="18"/>
    </row>
    <row r="585" spans="3:9" ht="13.45" x14ac:dyDescent="0.25">
      <c r="C585" s="18"/>
      <c r="D585" s="18"/>
      <c r="E585" s="18"/>
      <c r="F585" s="301"/>
      <c r="G585" s="301"/>
      <c r="H585" s="319"/>
      <c r="I585" s="18"/>
    </row>
    <row r="586" spans="3:9" ht="13.45" x14ac:dyDescent="0.25">
      <c r="C586" s="18"/>
      <c r="D586" s="18"/>
      <c r="E586" s="18"/>
      <c r="F586" s="301"/>
      <c r="G586" s="301"/>
      <c r="H586" s="319"/>
      <c r="I586" s="18"/>
    </row>
    <row r="587" spans="3:9" ht="13.45" x14ac:dyDescent="0.25">
      <c r="C587" s="18"/>
      <c r="D587" s="18"/>
      <c r="E587" s="18"/>
      <c r="F587" s="301"/>
      <c r="G587" s="301"/>
      <c r="H587" s="319"/>
      <c r="I587" s="18"/>
    </row>
    <row r="588" spans="3:9" ht="13.45" x14ac:dyDescent="0.25">
      <c r="C588" s="18"/>
      <c r="D588" s="18"/>
      <c r="E588" s="18"/>
      <c r="F588" s="301"/>
      <c r="G588" s="301"/>
      <c r="H588" s="319"/>
      <c r="I588" s="18"/>
    </row>
    <row r="589" spans="3:9" ht="13.45" x14ac:dyDescent="0.25">
      <c r="C589" s="18"/>
      <c r="D589" s="18"/>
      <c r="E589" s="18"/>
      <c r="F589" s="301"/>
      <c r="G589" s="301"/>
      <c r="H589" s="319"/>
      <c r="I589" s="18"/>
    </row>
    <row r="590" spans="3:9" ht="13.45" x14ac:dyDescent="0.25">
      <c r="C590" s="18"/>
      <c r="D590" s="18"/>
      <c r="E590" s="18"/>
      <c r="F590" s="301"/>
      <c r="G590" s="301"/>
      <c r="H590" s="319"/>
      <c r="I590" s="18"/>
    </row>
    <row r="591" spans="3:9" ht="13.45" x14ac:dyDescent="0.25">
      <c r="C591" s="18"/>
      <c r="D591" s="18"/>
      <c r="E591" s="18"/>
      <c r="F591" s="301"/>
      <c r="G591" s="301"/>
      <c r="H591" s="319"/>
      <c r="I591" s="18"/>
    </row>
    <row r="592" spans="3:9" ht="13.45" x14ac:dyDescent="0.25">
      <c r="C592" s="18"/>
      <c r="D592" s="18"/>
      <c r="E592" s="18"/>
      <c r="F592" s="301"/>
      <c r="G592" s="301"/>
      <c r="H592" s="319"/>
      <c r="I592" s="18"/>
    </row>
    <row r="593" spans="3:9" ht="13.45" x14ac:dyDescent="0.25">
      <c r="C593" s="18"/>
      <c r="D593" s="18"/>
      <c r="E593" s="18"/>
      <c r="F593" s="301"/>
      <c r="G593" s="301"/>
      <c r="H593" s="319"/>
      <c r="I593" s="18"/>
    </row>
    <row r="594" spans="3:9" ht="13.45" x14ac:dyDescent="0.25">
      <c r="C594" s="18"/>
      <c r="D594" s="18"/>
      <c r="E594" s="18"/>
      <c r="F594" s="301"/>
      <c r="G594" s="301"/>
      <c r="H594" s="319"/>
      <c r="I594" s="18"/>
    </row>
    <row r="595" spans="3:9" ht="13.45" x14ac:dyDescent="0.25">
      <c r="C595" s="18"/>
      <c r="D595" s="18"/>
      <c r="E595" s="18"/>
      <c r="F595" s="301"/>
      <c r="G595" s="301"/>
      <c r="H595" s="319"/>
      <c r="I595" s="18"/>
    </row>
    <row r="596" spans="3:9" ht="13.45" x14ac:dyDescent="0.25">
      <c r="C596" s="18"/>
      <c r="D596" s="18"/>
      <c r="E596" s="18"/>
      <c r="F596" s="301"/>
      <c r="G596" s="301"/>
      <c r="H596" s="319"/>
      <c r="I596" s="18"/>
    </row>
    <row r="597" spans="3:9" ht="13.45" x14ac:dyDescent="0.25">
      <c r="C597" s="18"/>
      <c r="D597" s="18"/>
      <c r="E597" s="18"/>
      <c r="F597" s="301"/>
      <c r="G597" s="301"/>
      <c r="H597" s="319"/>
      <c r="I597" s="18"/>
    </row>
    <row r="598" spans="3:9" ht="13.45" x14ac:dyDescent="0.25">
      <c r="C598" s="18"/>
      <c r="D598" s="18"/>
      <c r="E598" s="18"/>
      <c r="F598" s="301"/>
      <c r="G598" s="301"/>
      <c r="H598" s="319"/>
      <c r="I598" s="18"/>
    </row>
    <row r="599" spans="3:9" ht="13.45" x14ac:dyDescent="0.25">
      <c r="C599" s="18"/>
      <c r="D599" s="18"/>
      <c r="E599" s="18"/>
      <c r="F599" s="301"/>
      <c r="G599" s="301"/>
      <c r="H599" s="319"/>
      <c r="I599" s="18"/>
    </row>
    <row r="600" spans="3:9" ht="13.45" x14ac:dyDescent="0.25">
      <c r="C600" s="18"/>
      <c r="D600" s="18"/>
      <c r="E600" s="18"/>
      <c r="F600" s="301"/>
      <c r="G600" s="301"/>
      <c r="H600" s="319"/>
      <c r="I600" s="18"/>
    </row>
    <row r="601" spans="3:9" ht="13.45" x14ac:dyDescent="0.25">
      <c r="C601" s="18"/>
      <c r="D601" s="18"/>
      <c r="E601" s="18"/>
      <c r="F601" s="301"/>
      <c r="G601" s="301"/>
      <c r="H601" s="319"/>
      <c r="I601" s="18"/>
    </row>
    <row r="602" spans="3:9" ht="13.45" x14ac:dyDescent="0.25">
      <c r="C602" s="18"/>
      <c r="D602" s="18"/>
      <c r="E602" s="18"/>
      <c r="F602" s="301"/>
      <c r="G602" s="301"/>
      <c r="H602" s="319"/>
      <c r="I602" s="18"/>
    </row>
    <row r="603" spans="3:9" ht="13.45" x14ac:dyDescent="0.25">
      <c r="C603" s="18"/>
      <c r="D603" s="18"/>
      <c r="E603" s="18"/>
      <c r="F603" s="301"/>
      <c r="G603" s="301"/>
      <c r="H603" s="319"/>
      <c r="I603" s="18"/>
    </row>
    <row r="604" spans="3:9" ht="13.45" x14ac:dyDescent="0.25">
      <c r="C604" s="18"/>
      <c r="D604" s="18"/>
      <c r="E604" s="18"/>
      <c r="F604" s="301"/>
      <c r="G604" s="301"/>
      <c r="H604" s="319"/>
      <c r="I604" s="18"/>
    </row>
    <row r="605" spans="3:9" ht="13.45" x14ac:dyDescent="0.25">
      <c r="C605" s="18"/>
      <c r="D605" s="18"/>
      <c r="E605" s="18"/>
      <c r="F605" s="301"/>
      <c r="G605" s="301"/>
      <c r="H605" s="319"/>
      <c r="I605" s="18"/>
    </row>
    <row r="606" spans="3:9" ht="13.45" x14ac:dyDescent="0.25">
      <c r="C606" s="18"/>
      <c r="D606" s="18"/>
      <c r="E606" s="18"/>
      <c r="F606" s="301"/>
      <c r="G606" s="301"/>
      <c r="H606" s="319"/>
      <c r="I606" s="18"/>
    </row>
    <row r="607" spans="3:9" ht="13.45" x14ac:dyDescent="0.25">
      <c r="C607" s="18"/>
      <c r="D607" s="18"/>
      <c r="E607" s="18"/>
      <c r="F607" s="301"/>
      <c r="G607" s="301"/>
      <c r="H607" s="319"/>
      <c r="I607" s="18"/>
    </row>
    <row r="608" spans="3:9" ht="13.45" x14ac:dyDescent="0.25">
      <c r="C608" s="18"/>
      <c r="D608" s="18"/>
      <c r="E608" s="18"/>
      <c r="F608" s="301"/>
      <c r="G608" s="301"/>
      <c r="H608" s="319"/>
      <c r="I608" s="18"/>
    </row>
    <row r="609" spans="3:9" ht="13.45" x14ac:dyDescent="0.25">
      <c r="C609" s="18"/>
      <c r="D609" s="18"/>
      <c r="E609" s="18"/>
      <c r="F609" s="301"/>
      <c r="G609" s="301"/>
      <c r="H609" s="319"/>
      <c r="I609" s="18"/>
    </row>
    <row r="610" spans="3:9" ht="13.45" x14ac:dyDescent="0.25">
      <c r="C610" s="18"/>
      <c r="D610" s="18"/>
      <c r="E610" s="18"/>
      <c r="F610" s="301"/>
      <c r="G610" s="301"/>
      <c r="H610" s="319"/>
      <c r="I610" s="18"/>
    </row>
    <row r="611" spans="3:9" ht="13.45" x14ac:dyDescent="0.25">
      <c r="C611" s="18"/>
      <c r="D611" s="18"/>
      <c r="E611" s="18"/>
      <c r="F611" s="301"/>
      <c r="G611" s="301"/>
      <c r="H611" s="319"/>
      <c r="I611" s="18"/>
    </row>
    <row r="612" spans="3:9" ht="13.45" x14ac:dyDescent="0.25">
      <c r="C612" s="18"/>
      <c r="D612" s="18"/>
      <c r="E612" s="18"/>
      <c r="F612" s="301"/>
      <c r="G612" s="301"/>
      <c r="H612" s="319"/>
      <c r="I612" s="18"/>
    </row>
    <row r="613" spans="3:9" ht="13.45" x14ac:dyDescent="0.25">
      <c r="C613" s="18"/>
      <c r="D613" s="18"/>
      <c r="E613" s="18"/>
      <c r="F613" s="301"/>
      <c r="G613" s="301"/>
      <c r="H613" s="319"/>
      <c r="I613" s="18"/>
    </row>
    <row r="614" spans="3:9" ht="13.45" x14ac:dyDescent="0.25">
      <c r="C614" s="18"/>
      <c r="D614" s="18"/>
      <c r="E614" s="18"/>
      <c r="F614" s="301"/>
      <c r="G614" s="301"/>
      <c r="H614" s="319"/>
      <c r="I614" s="18"/>
    </row>
    <row r="615" spans="3:9" ht="13.45" x14ac:dyDescent="0.25">
      <c r="C615" s="18"/>
      <c r="D615" s="18"/>
      <c r="E615" s="18"/>
      <c r="F615" s="301"/>
      <c r="G615" s="301"/>
      <c r="H615" s="319"/>
      <c r="I615" s="18"/>
    </row>
    <row r="616" spans="3:9" ht="13.45" x14ac:dyDescent="0.25">
      <c r="C616" s="18"/>
      <c r="D616" s="18"/>
      <c r="E616" s="18"/>
      <c r="F616" s="301"/>
      <c r="G616" s="301"/>
      <c r="H616" s="319"/>
      <c r="I616" s="18"/>
    </row>
    <row r="617" spans="3:9" ht="13.45" x14ac:dyDescent="0.25">
      <c r="C617" s="18"/>
      <c r="D617" s="18"/>
      <c r="E617" s="18"/>
      <c r="F617" s="301"/>
      <c r="G617" s="301"/>
      <c r="H617" s="319"/>
      <c r="I617" s="18"/>
    </row>
    <row r="618" spans="3:9" ht="13.45" x14ac:dyDescent="0.25">
      <c r="C618" s="18"/>
      <c r="D618" s="18"/>
      <c r="E618" s="18"/>
      <c r="F618" s="301"/>
      <c r="G618" s="301"/>
      <c r="H618" s="319"/>
      <c r="I618" s="18"/>
    </row>
    <row r="619" spans="3:9" ht="13.45" x14ac:dyDescent="0.25">
      <c r="C619" s="18"/>
      <c r="D619" s="18"/>
      <c r="E619" s="18"/>
      <c r="F619" s="301"/>
      <c r="G619" s="301"/>
      <c r="H619" s="319"/>
      <c r="I619" s="18"/>
    </row>
    <row r="620" spans="3:9" ht="13.45" x14ac:dyDescent="0.25">
      <c r="C620" s="18"/>
      <c r="D620" s="18"/>
      <c r="E620" s="18"/>
      <c r="F620" s="301"/>
      <c r="G620" s="301"/>
      <c r="H620" s="319"/>
      <c r="I620" s="18"/>
    </row>
    <row r="621" spans="3:9" ht="13.45" x14ac:dyDescent="0.25">
      <c r="C621" s="18"/>
      <c r="D621" s="18"/>
      <c r="E621" s="18"/>
      <c r="F621" s="301"/>
      <c r="G621" s="301"/>
      <c r="H621" s="319"/>
      <c r="I621" s="18"/>
    </row>
    <row r="622" spans="3:9" ht="13.45" x14ac:dyDescent="0.25">
      <c r="C622" s="18"/>
      <c r="D622" s="18"/>
      <c r="E622" s="18"/>
      <c r="F622" s="301"/>
      <c r="G622" s="301"/>
      <c r="H622" s="319"/>
      <c r="I622" s="18"/>
    </row>
    <row r="623" spans="3:9" ht="13.45" x14ac:dyDescent="0.25">
      <c r="C623" s="18"/>
      <c r="D623" s="18"/>
      <c r="E623" s="18"/>
      <c r="F623" s="301"/>
      <c r="G623" s="301"/>
      <c r="H623" s="319"/>
      <c r="I623" s="18"/>
    </row>
    <row r="624" spans="3:9" ht="13.45" x14ac:dyDescent="0.25">
      <c r="C624" s="18"/>
      <c r="D624" s="18"/>
      <c r="E624" s="18"/>
      <c r="F624" s="301"/>
      <c r="G624" s="301"/>
      <c r="H624" s="319"/>
      <c r="I624" s="18"/>
    </row>
    <row r="625" spans="3:9" ht="13.45" x14ac:dyDescent="0.25">
      <c r="C625" s="18"/>
      <c r="D625" s="18"/>
      <c r="E625" s="18"/>
      <c r="F625" s="301"/>
      <c r="G625" s="301"/>
      <c r="H625" s="319"/>
      <c r="I625" s="18"/>
    </row>
    <row r="626" spans="3:9" ht="13.45" x14ac:dyDescent="0.25">
      <c r="C626" s="18"/>
      <c r="D626" s="18"/>
      <c r="E626" s="18"/>
      <c r="F626" s="301"/>
      <c r="G626" s="301"/>
      <c r="H626" s="319"/>
      <c r="I626" s="18"/>
    </row>
    <row r="627" spans="3:9" ht="13.45" x14ac:dyDescent="0.25">
      <c r="C627" s="18"/>
      <c r="D627" s="18"/>
      <c r="E627" s="18"/>
      <c r="F627" s="301"/>
      <c r="G627" s="301"/>
      <c r="H627" s="319"/>
      <c r="I627" s="18"/>
    </row>
    <row r="628" spans="3:9" ht="13.45" x14ac:dyDescent="0.25">
      <c r="C628" s="18"/>
      <c r="D628" s="18"/>
      <c r="E628" s="18"/>
      <c r="F628" s="301"/>
      <c r="G628" s="301"/>
      <c r="H628" s="319"/>
      <c r="I628" s="18"/>
    </row>
    <row r="629" spans="3:9" ht="13.45" x14ac:dyDescent="0.25">
      <c r="C629" s="18"/>
      <c r="D629" s="18"/>
      <c r="E629" s="18"/>
      <c r="F629" s="301"/>
      <c r="G629" s="301"/>
      <c r="H629" s="319"/>
      <c r="I629" s="18"/>
    </row>
    <row r="630" spans="3:9" ht="13.45" x14ac:dyDescent="0.25">
      <c r="C630" s="18"/>
      <c r="D630" s="18"/>
      <c r="E630" s="18"/>
      <c r="F630" s="301"/>
      <c r="G630" s="301"/>
      <c r="H630" s="319"/>
      <c r="I630" s="18"/>
    </row>
    <row r="631" spans="3:9" ht="13.45" x14ac:dyDescent="0.25">
      <c r="C631" s="18"/>
      <c r="D631" s="18"/>
      <c r="E631" s="18"/>
      <c r="F631" s="301"/>
      <c r="G631" s="301"/>
      <c r="H631" s="319"/>
      <c r="I631" s="18"/>
    </row>
    <row r="632" spans="3:9" ht="13.45" x14ac:dyDescent="0.25">
      <c r="C632" s="18"/>
      <c r="D632" s="18"/>
      <c r="E632" s="18"/>
      <c r="F632" s="301"/>
      <c r="G632" s="301"/>
      <c r="H632" s="319"/>
      <c r="I632" s="18"/>
    </row>
    <row r="633" spans="3:9" ht="13.45" x14ac:dyDescent="0.25">
      <c r="C633" s="18"/>
      <c r="D633" s="18"/>
      <c r="E633" s="18"/>
      <c r="F633" s="301"/>
      <c r="G633" s="301"/>
      <c r="H633" s="319"/>
      <c r="I633" s="18"/>
    </row>
    <row r="634" spans="3:9" ht="13.45" x14ac:dyDescent="0.25">
      <c r="C634" s="18"/>
      <c r="D634" s="18"/>
      <c r="E634" s="18"/>
      <c r="F634" s="301"/>
      <c r="G634" s="301"/>
      <c r="H634" s="319"/>
      <c r="I634" s="18"/>
    </row>
    <row r="635" spans="3:9" ht="13.45" x14ac:dyDescent="0.25">
      <c r="C635" s="18"/>
      <c r="D635" s="18"/>
      <c r="E635" s="18"/>
      <c r="F635" s="301"/>
      <c r="G635" s="301"/>
      <c r="H635" s="319"/>
      <c r="I635" s="18"/>
    </row>
    <row r="636" spans="3:9" ht="13.45" x14ac:dyDescent="0.25">
      <c r="C636" s="18"/>
      <c r="D636" s="18"/>
      <c r="E636" s="18"/>
      <c r="F636" s="301"/>
      <c r="G636" s="301"/>
      <c r="H636" s="319"/>
      <c r="I636" s="18"/>
    </row>
    <row r="637" spans="3:9" ht="13.45" x14ac:dyDescent="0.25">
      <c r="C637" s="18"/>
      <c r="D637" s="18"/>
      <c r="E637" s="18"/>
      <c r="F637" s="301"/>
      <c r="G637" s="301"/>
      <c r="H637" s="319"/>
      <c r="I637" s="18"/>
    </row>
    <row r="638" spans="3:9" ht="13.45" x14ac:dyDescent="0.25">
      <c r="C638" s="18"/>
      <c r="D638" s="18"/>
      <c r="E638" s="18"/>
      <c r="F638" s="301"/>
      <c r="G638" s="301"/>
      <c r="H638" s="319"/>
      <c r="I638" s="18"/>
    </row>
    <row r="639" spans="3:9" ht="13.45" x14ac:dyDescent="0.25">
      <c r="C639" s="18"/>
      <c r="D639" s="18"/>
      <c r="E639" s="18"/>
      <c r="F639" s="301"/>
      <c r="G639" s="301"/>
      <c r="H639" s="319"/>
      <c r="I639" s="18"/>
    </row>
    <row r="640" spans="3:9" ht="13.45" x14ac:dyDescent="0.25">
      <c r="C640" s="18"/>
      <c r="D640" s="18"/>
      <c r="E640" s="18"/>
      <c r="F640" s="301"/>
      <c r="G640" s="301"/>
      <c r="H640" s="319"/>
      <c r="I640" s="18"/>
    </row>
    <row r="641" spans="3:9" ht="13.45" x14ac:dyDescent="0.25">
      <c r="C641" s="18"/>
      <c r="D641" s="18"/>
      <c r="E641" s="18"/>
      <c r="F641" s="301"/>
      <c r="G641" s="301"/>
      <c r="H641" s="319"/>
      <c r="I641" s="18"/>
    </row>
    <row r="642" spans="3:9" ht="13.45" x14ac:dyDescent="0.25">
      <c r="C642" s="18"/>
      <c r="D642" s="18"/>
      <c r="E642" s="18"/>
      <c r="F642" s="301"/>
      <c r="G642" s="301"/>
      <c r="H642" s="319"/>
      <c r="I642" s="18"/>
    </row>
    <row r="643" spans="3:9" ht="13.45" x14ac:dyDescent="0.25">
      <c r="C643" s="18"/>
      <c r="D643" s="18"/>
      <c r="E643" s="18"/>
      <c r="F643" s="301"/>
      <c r="G643" s="301"/>
      <c r="H643" s="319"/>
      <c r="I643" s="18"/>
    </row>
    <row r="644" spans="3:9" ht="13.45" x14ac:dyDescent="0.25">
      <c r="C644" s="18"/>
      <c r="D644" s="18"/>
      <c r="E644" s="18"/>
      <c r="F644" s="301"/>
      <c r="G644" s="301"/>
      <c r="H644" s="319"/>
      <c r="I644" s="18"/>
    </row>
    <row r="645" spans="3:9" ht="13.45" x14ac:dyDescent="0.25">
      <c r="C645" s="18"/>
      <c r="D645" s="18"/>
      <c r="E645" s="18"/>
      <c r="F645" s="301"/>
      <c r="G645" s="301"/>
      <c r="H645" s="319"/>
      <c r="I645" s="18"/>
    </row>
    <row r="646" spans="3:9" ht="13.45" x14ac:dyDescent="0.25">
      <c r="C646" s="18"/>
      <c r="D646" s="18"/>
      <c r="E646" s="18"/>
      <c r="F646" s="301"/>
      <c r="G646" s="301"/>
      <c r="H646" s="319"/>
      <c r="I646" s="18"/>
    </row>
    <row r="647" spans="3:9" ht="13.45" x14ac:dyDescent="0.25">
      <c r="C647" s="18"/>
      <c r="D647" s="18"/>
      <c r="E647" s="18"/>
      <c r="F647" s="301"/>
      <c r="G647" s="301"/>
      <c r="H647" s="319"/>
      <c r="I647" s="18"/>
    </row>
    <row r="648" spans="3:9" ht="13.45" x14ac:dyDescent="0.25">
      <c r="C648" s="18"/>
      <c r="D648" s="18"/>
      <c r="E648" s="18"/>
      <c r="F648" s="301"/>
      <c r="G648" s="301"/>
      <c r="H648" s="319"/>
      <c r="I648" s="18"/>
    </row>
    <row r="649" spans="3:9" ht="13.45" x14ac:dyDescent="0.25">
      <c r="C649" s="18"/>
      <c r="D649" s="18"/>
      <c r="E649" s="18"/>
      <c r="F649" s="301"/>
      <c r="G649" s="301"/>
      <c r="H649" s="319"/>
      <c r="I649" s="18"/>
    </row>
    <row r="650" spans="3:9" ht="13.45" x14ac:dyDescent="0.25">
      <c r="C650" s="18"/>
      <c r="D650" s="18"/>
      <c r="E650" s="18"/>
      <c r="F650" s="301"/>
      <c r="G650" s="301"/>
      <c r="H650" s="319"/>
      <c r="I650" s="18"/>
    </row>
    <row r="651" spans="3:9" ht="13.45" x14ac:dyDescent="0.25">
      <c r="C651" s="18"/>
      <c r="D651" s="18"/>
      <c r="E651" s="18"/>
      <c r="F651" s="301"/>
      <c r="G651" s="301"/>
      <c r="H651" s="319"/>
      <c r="I651" s="18"/>
    </row>
    <row r="652" spans="3:9" ht="13.45" x14ac:dyDescent="0.25">
      <c r="C652" s="18"/>
      <c r="D652" s="18"/>
      <c r="E652" s="18"/>
      <c r="F652" s="301"/>
      <c r="G652" s="301"/>
      <c r="H652" s="319"/>
      <c r="I652" s="18"/>
    </row>
    <row r="653" spans="3:9" ht="13.45" x14ac:dyDescent="0.25">
      <c r="C653" s="18"/>
      <c r="D653" s="18"/>
      <c r="E653" s="18"/>
      <c r="F653" s="301"/>
      <c r="G653" s="301"/>
      <c r="H653" s="319"/>
      <c r="I653" s="18"/>
    </row>
    <row r="654" spans="3:9" ht="13.45" x14ac:dyDescent="0.25">
      <c r="C654" s="18"/>
      <c r="D654" s="18"/>
      <c r="E654" s="18"/>
      <c r="F654" s="301"/>
      <c r="G654" s="301"/>
      <c r="H654" s="319"/>
      <c r="I654" s="18"/>
    </row>
    <row r="655" spans="3:9" ht="13.45" x14ac:dyDescent="0.25">
      <c r="C655" s="18"/>
      <c r="D655" s="18"/>
      <c r="E655" s="18"/>
      <c r="F655" s="301"/>
      <c r="G655" s="301"/>
      <c r="H655" s="319"/>
      <c r="I655" s="18"/>
    </row>
    <row r="656" spans="3:9" ht="13.45" x14ac:dyDescent="0.25">
      <c r="C656" s="18"/>
      <c r="D656" s="18"/>
      <c r="E656" s="18"/>
      <c r="F656" s="301"/>
      <c r="G656" s="301"/>
      <c r="H656" s="319"/>
      <c r="I656" s="18"/>
    </row>
    <row r="657" spans="3:9" ht="13.45" x14ac:dyDescent="0.25">
      <c r="C657" s="18"/>
      <c r="D657" s="18"/>
      <c r="E657" s="18"/>
      <c r="F657" s="301"/>
      <c r="G657" s="301"/>
      <c r="H657" s="319"/>
      <c r="I657" s="18"/>
    </row>
    <row r="658" spans="3:9" ht="13.45" x14ac:dyDescent="0.25">
      <c r="C658" s="18"/>
      <c r="D658" s="18"/>
      <c r="E658" s="18"/>
      <c r="F658" s="301"/>
      <c r="G658" s="301"/>
      <c r="H658" s="319"/>
      <c r="I658" s="18"/>
    </row>
    <row r="659" spans="3:9" ht="13.45" x14ac:dyDescent="0.25">
      <c r="C659" s="18"/>
      <c r="D659" s="18"/>
      <c r="E659" s="18"/>
      <c r="F659" s="301"/>
      <c r="G659" s="301"/>
      <c r="H659" s="319"/>
      <c r="I659" s="18"/>
    </row>
    <row r="660" spans="3:9" ht="13.45" x14ac:dyDescent="0.25">
      <c r="C660" s="18"/>
      <c r="D660" s="18"/>
      <c r="E660" s="18"/>
      <c r="F660" s="301"/>
      <c r="G660" s="301"/>
      <c r="H660" s="319"/>
      <c r="I660" s="18"/>
    </row>
    <row r="661" spans="3:9" ht="13.45" x14ac:dyDescent="0.25">
      <c r="C661" s="18"/>
      <c r="D661" s="18"/>
      <c r="E661" s="18"/>
      <c r="F661" s="301"/>
      <c r="G661" s="301"/>
      <c r="H661" s="319"/>
      <c r="I661" s="18"/>
    </row>
    <row r="662" spans="3:9" ht="13.45" x14ac:dyDescent="0.25">
      <c r="C662" s="18"/>
      <c r="D662" s="18"/>
      <c r="E662" s="18"/>
      <c r="F662" s="301"/>
      <c r="G662" s="301"/>
      <c r="H662" s="319"/>
      <c r="I662" s="18"/>
    </row>
    <row r="663" spans="3:9" ht="13.45" x14ac:dyDescent="0.25">
      <c r="C663" s="18"/>
      <c r="D663" s="18"/>
      <c r="E663" s="18"/>
      <c r="F663" s="301"/>
      <c r="G663" s="301"/>
      <c r="H663" s="319"/>
      <c r="I663" s="18"/>
    </row>
    <row r="664" spans="3:9" ht="13.45" x14ac:dyDescent="0.25">
      <c r="C664" s="18"/>
      <c r="D664" s="18"/>
      <c r="E664" s="18"/>
      <c r="F664" s="301"/>
      <c r="G664" s="301"/>
      <c r="H664" s="319"/>
      <c r="I664" s="18"/>
    </row>
    <row r="665" spans="3:9" ht="13.45" x14ac:dyDescent="0.25">
      <c r="C665" s="18"/>
      <c r="D665" s="18"/>
      <c r="E665" s="18"/>
      <c r="F665" s="301"/>
      <c r="G665" s="301"/>
      <c r="H665" s="319"/>
      <c r="I665" s="18"/>
    </row>
    <row r="666" spans="3:9" ht="13.45" x14ac:dyDescent="0.25">
      <c r="C666" s="18"/>
      <c r="D666" s="18"/>
      <c r="E666" s="18"/>
      <c r="F666" s="301"/>
      <c r="G666" s="301"/>
      <c r="H666" s="319"/>
      <c r="I666" s="18"/>
    </row>
    <row r="667" spans="3:9" ht="13.45" x14ac:dyDescent="0.25">
      <c r="C667" s="18"/>
      <c r="D667" s="18"/>
      <c r="E667" s="18"/>
      <c r="F667" s="301"/>
      <c r="G667" s="301"/>
      <c r="H667" s="319"/>
      <c r="I667" s="18"/>
    </row>
    <row r="668" spans="3:9" ht="13.45" x14ac:dyDescent="0.25">
      <c r="C668" s="18"/>
      <c r="D668" s="18"/>
      <c r="E668" s="18"/>
      <c r="F668" s="301"/>
      <c r="G668" s="301"/>
      <c r="H668" s="319"/>
      <c r="I668" s="18"/>
    </row>
    <row r="669" spans="3:9" ht="13.45" x14ac:dyDescent="0.25">
      <c r="C669" s="18"/>
      <c r="D669" s="18"/>
      <c r="E669" s="18"/>
      <c r="F669" s="301"/>
      <c r="G669" s="301"/>
      <c r="H669" s="319"/>
      <c r="I669" s="18"/>
    </row>
    <row r="670" spans="3:9" ht="13.45" x14ac:dyDescent="0.25">
      <c r="C670" s="18"/>
      <c r="D670" s="18"/>
      <c r="E670" s="18"/>
      <c r="F670" s="301"/>
      <c r="G670" s="301"/>
      <c r="H670" s="319"/>
      <c r="I670" s="18"/>
    </row>
    <row r="671" spans="3:9" ht="13.45" x14ac:dyDescent="0.25">
      <c r="C671" s="18"/>
      <c r="D671" s="18"/>
      <c r="E671" s="18"/>
      <c r="F671" s="301"/>
      <c r="G671" s="301"/>
      <c r="H671" s="319"/>
      <c r="I671" s="18"/>
    </row>
    <row r="672" spans="3:9" ht="13.45" x14ac:dyDescent="0.25">
      <c r="C672" s="18"/>
      <c r="D672" s="18"/>
      <c r="E672" s="18"/>
      <c r="F672" s="301"/>
      <c r="G672" s="301"/>
      <c r="H672" s="319"/>
      <c r="I672" s="18"/>
    </row>
    <row r="673" spans="3:9" ht="13.45" x14ac:dyDescent="0.25">
      <c r="C673" s="18"/>
      <c r="D673" s="18"/>
      <c r="E673" s="18"/>
      <c r="F673" s="301"/>
      <c r="G673" s="301"/>
      <c r="H673" s="319"/>
      <c r="I673" s="18"/>
    </row>
    <row r="674" spans="3:9" ht="13.45" x14ac:dyDescent="0.25">
      <c r="C674" s="18"/>
      <c r="D674" s="18"/>
      <c r="E674" s="18"/>
      <c r="F674" s="301"/>
      <c r="G674" s="301"/>
      <c r="H674" s="319"/>
      <c r="I674" s="18"/>
    </row>
    <row r="675" spans="3:9" ht="13.45" x14ac:dyDescent="0.25">
      <c r="C675" s="18"/>
      <c r="D675" s="18"/>
      <c r="E675" s="18"/>
      <c r="F675" s="301"/>
      <c r="G675" s="301"/>
      <c r="H675" s="319"/>
      <c r="I675" s="18"/>
    </row>
    <row r="676" spans="3:9" ht="13.45" x14ac:dyDescent="0.25">
      <c r="C676" s="18"/>
      <c r="D676" s="18"/>
      <c r="E676" s="18"/>
      <c r="F676" s="301"/>
      <c r="G676" s="301"/>
      <c r="H676" s="319"/>
      <c r="I676" s="18"/>
    </row>
    <row r="677" spans="3:9" ht="13.45" x14ac:dyDescent="0.25">
      <c r="C677" s="18"/>
      <c r="D677" s="18"/>
      <c r="E677" s="18"/>
      <c r="F677" s="301"/>
      <c r="G677" s="301"/>
      <c r="H677" s="319"/>
      <c r="I677" s="18"/>
    </row>
    <row r="678" spans="3:9" ht="13.45" x14ac:dyDescent="0.25">
      <c r="C678" s="18"/>
      <c r="D678" s="18"/>
      <c r="E678" s="18"/>
      <c r="F678" s="301"/>
      <c r="G678" s="301"/>
      <c r="H678" s="319"/>
      <c r="I678" s="18"/>
    </row>
    <row r="679" spans="3:9" ht="13.45" x14ac:dyDescent="0.25">
      <c r="C679" s="18"/>
      <c r="D679" s="18"/>
      <c r="E679" s="18"/>
      <c r="F679" s="301"/>
      <c r="G679" s="301"/>
      <c r="H679" s="319"/>
      <c r="I679" s="18"/>
    </row>
    <row r="680" spans="3:9" ht="13.45" x14ac:dyDescent="0.25">
      <c r="C680" s="18"/>
      <c r="D680" s="18"/>
      <c r="E680" s="18"/>
      <c r="F680" s="301"/>
      <c r="G680" s="301"/>
      <c r="H680" s="319"/>
      <c r="I680" s="18"/>
    </row>
    <row r="681" spans="3:9" ht="13.45" x14ac:dyDescent="0.25">
      <c r="C681" s="18"/>
      <c r="D681" s="18"/>
      <c r="E681" s="18"/>
      <c r="F681" s="301"/>
      <c r="G681" s="301"/>
      <c r="H681" s="319"/>
      <c r="I681" s="18"/>
    </row>
    <row r="682" spans="3:9" ht="13.45" x14ac:dyDescent="0.25">
      <c r="C682" s="18"/>
      <c r="D682" s="18"/>
      <c r="E682" s="18"/>
      <c r="F682" s="301"/>
      <c r="G682" s="301"/>
      <c r="H682" s="319"/>
      <c r="I682" s="18"/>
    </row>
    <row r="683" spans="3:9" ht="13.45" x14ac:dyDescent="0.25">
      <c r="C683" s="18"/>
      <c r="D683" s="18"/>
      <c r="E683" s="18"/>
      <c r="F683" s="301"/>
      <c r="G683" s="301"/>
      <c r="H683" s="319"/>
      <c r="I683" s="18"/>
    </row>
    <row r="684" spans="3:9" ht="13.45" x14ac:dyDescent="0.25">
      <c r="C684" s="18"/>
      <c r="D684" s="18"/>
      <c r="E684" s="18"/>
      <c r="F684" s="301"/>
      <c r="G684" s="301"/>
      <c r="H684" s="319"/>
      <c r="I684" s="18"/>
    </row>
    <row r="685" spans="3:9" ht="13.45" x14ac:dyDescent="0.25">
      <c r="C685" s="18"/>
      <c r="D685" s="18"/>
      <c r="E685" s="18"/>
      <c r="F685" s="301"/>
      <c r="G685" s="301"/>
      <c r="H685" s="319"/>
      <c r="I685" s="18"/>
    </row>
    <row r="686" spans="3:9" ht="13.45" x14ac:dyDescent="0.25">
      <c r="C686" s="18"/>
      <c r="D686" s="18"/>
      <c r="E686" s="18"/>
      <c r="F686" s="301"/>
      <c r="G686" s="301"/>
      <c r="H686" s="319"/>
      <c r="I686" s="18"/>
    </row>
    <row r="687" spans="3:9" ht="13.45" x14ac:dyDescent="0.25">
      <c r="C687" s="18"/>
      <c r="D687" s="18"/>
      <c r="E687" s="18"/>
      <c r="F687" s="301"/>
      <c r="G687" s="301"/>
      <c r="H687" s="319"/>
      <c r="I687" s="18"/>
    </row>
    <row r="688" spans="3:9" ht="13.45" x14ac:dyDescent="0.25">
      <c r="C688" s="18"/>
      <c r="D688" s="18"/>
      <c r="E688" s="18"/>
      <c r="F688" s="301"/>
      <c r="G688" s="301"/>
      <c r="H688" s="319"/>
      <c r="I688" s="18"/>
    </row>
    <row r="689" spans="3:9" ht="13.45" x14ac:dyDescent="0.25">
      <c r="C689" s="18"/>
      <c r="D689" s="18"/>
      <c r="E689" s="18"/>
      <c r="F689" s="301"/>
      <c r="G689" s="301"/>
      <c r="H689" s="319"/>
      <c r="I689" s="18"/>
    </row>
    <row r="690" spans="3:9" ht="13.45" x14ac:dyDescent="0.25">
      <c r="C690" s="18"/>
      <c r="D690" s="18"/>
      <c r="E690" s="18"/>
      <c r="F690" s="301"/>
      <c r="G690" s="301"/>
      <c r="H690" s="319"/>
      <c r="I690" s="18"/>
    </row>
    <row r="691" spans="3:9" ht="13.45" x14ac:dyDescent="0.25">
      <c r="C691" s="18"/>
      <c r="D691" s="18"/>
      <c r="E691" s="18"/>
      <c r="F691" s="301"/>
      <c r="G691" s="301"/>
      <c r="H691" s="319"/>
      <c r="I691" s="18"/>
    </row>
    <row r="692" spans="3:9" ht="13.45" x14ac:dyDescent="0.25">
      <c r="C692" s="18"/>
      <c r="D692" s="18"/>
      <c r="E692" s="18"/>
      <c r="F692" s="301"/>
      <c r="G692" s="301"/>
      <c r="H692" s="319"/>
      <c r="I692" s="18"/>
    </row>
    <row r="693" spans="3:9" ht="13.45" x14ac:dyDescent="0.25">
      <c r="C693" s="18"/>
      <c r="D693" s="18"/>
      <c r="E693" s="18"/>
      <c r="F693" s="301"/>
      <c r="G693" s="301"/>
      <c r="H693" s="319"/>
      <c r="I693" s="18"/>
    </row>
    <row r="694" spans="3:9" ht="13.45" x14ac:dyDescent="0.25">
      <c r="C694" s="18"/>
      <c r="D694" s="18"/>
      <c r="E694" s="18"/>
      <c r="F694" s="301"/>
      <c r="G694" s="301"/>
      <c r="H694" s="319"/>
      <c r="I694" s="18"/>
    </row>
    <row r="695" spans="3:9" ht="13.45" x14ac:dyDescent="0.25">
      <c r="C695" s="18"/>
      <c r="D695" s="18"/>
      <c r="E695" s="18"/>
      <c r="F695" s="301"/>
      <c r="G695" s="301"/>
      <c r="H695" s="319"/>
      <c r="I695" s="18"/>
    </row>
    <row r="696" spans="3:9" ht="13.45" x14ac:dyDescent="0.25">
      <c r="C696" s="18"/>
      <c r="D696" s="18"/>
      <c r="E696" s="18"/>
      <c r="F696" s="301"/>
      <c r="G696" s="301"/>
      <c r="H696" s="319"/>
      <c r="I696" s="18"/>
    </row>
    <row r="697" spans="3:9" ht="13.45" x14ac:dyDescent="0.25">
      <c r="C697" s="18"/>
      <c r="D697" s="18"/>
      <c r="E697" s="18"/>
      <c r="F697" s="301"/>
      <c r="G697" s="301"/>
      <c r="H697" s="319"/>
      <c r="I697" s="18"/>
    </row>
    <row r="698" spans="3:9" ht="13.45" x14ac:dyDescent="0.25">
      <c r="C698" s="18"/>
      <c r="D698" s="18"/>
      <c r="E698" s="18"/>
      <c r="F698" s="301"/>
      <c r="G698" s="301"/>
      <c r="H698" s="319"/>
      <c r="I698" s="18"/>
    </row>
    <row r="699" spans="3:9" ht="13.45" x14ac:dyDescent="0.25">
      <c r="C699" s="18"/>
      <c r="D699" s="18"/>
      <c r="E699" s="18"/>
      <c r="F699" s="301"/>
      <c r="G699" s="301"/>
      <c r="H699" s="319"/>
      <c r="I699" s="18"/>
    </row>
    <row r="700" spans="3:9" ht="13.45" x14ac:dyDescent="0.25">
      <c r="C700" s="18"/>
      <c r="D700" s="18"/>
      <c r="E700" s="18"/>
      <c r="F700" s="301"/>
      <c r="G700" s="301"/>
      <c r="H700" s="319"/>
      <c r="I700" s="18"/>
    </row>
    <row r="701" spans="3:9" ht="13.45" x14ac:dyDescent="0.25">
      <c r="C701" s="18"/>
      <c r="D701" s="18"/>
      <c r="E701" s="18"/>
      <c r="F701" s="301"/>
      <c r="G701" s="301"/>
      <c r="H701" s="319"/>
      <c r="I701" s="18"/>
    </row>
    <row r="702" spans="3:9" ht="13.45" x14ac:dyDescent="0.25">
      <c r="C702" s="18"/>
      <c r="D702" s="18"/>
      <c r="E702" s="18"/>
      <c r="F702" s="301"/>
      <c r="G702" s="301"/>
      <c r="H702" s="319"/>
      <c r="I702" s="18"/>
    </row>
    <row r="703" spans="3:9" ht="13.45" x14ac:dyDescent="0.25">
      <c r="C703" s="18"/>
      <c r="D703" s="18"/>
      <c r="E703" s="18"/>
      <c r="F703" s="301"/>
      <c r="G703" s="301"/>
      <c r="H703" s="319"/>
      <c r="I703" s="18"/>
    </row>
    <row r="704" spans="3:9" ht="13.45" x14ac:dyDescent="0.25">
      <c r="C704" s="18"/>
      <c r="D704" s="18"/>
      <c r="E704" s="18"/>
      <c r="F704" s="301"/>
      <c r="G704" s="301"/>
      <c r="H704" s="319"/>
      <c r="I704" s="18"/>
    </row>
    <row r="705" spans="3:9" ht="13.45" x14ac:dyDescent="0.25">
      <c r="C705" s="18"/>
      <c r="D705" s="18"/>
      <c r="E705" s="18"/>
      <c r="F705" s="301"/>
      <c r="G705" s="301"/>
      <c r="H705" s="319"/>
      <c r="I705" s="18"/>
    </row>
    <row r="706" spans="3:9" ht="13.45" x14ac:dyDescent="0.25">
      <c r="C706" s="18"/>
      <c r="D706" s="18"/>
      <c r="E706" s="18"/>
      <c r="F706" s="301"/>
      <c r="G706" s="301"/>
      <c r="H706" s="319"/>
      <c r="I706" s="18"/>
    </row>
    <row r="707" spans="3:9" ht="13.45" x14ac:dyDescent="0.25">
      <c r="C707" s="18"/>
      <c r="D707" s="18"/>
      <c r="E707" s="18"/>
      <c r="F707" s="301"/>
      <c r="G707" s="301"/>
      <c r="H707" s="319"/>
      <c r="I707" s="18"/>
    </row>
    <row r="708" spans="3:9" ht="13.45" x14ac:dyDescent="0.25">
      <c r="C708" s="18"/>
      <c r="D708" s="18"/>
      <c r="E708" s="18"/>
      <c r="F708" s="301"/>
      <c r="G708" s="301"/>
      <c r="H708" s="319"/>
      <c r="I708" s="18"/>
    </row>
    <row r="709" spans="3:9" ht="13.45" x14ac:dyDescent="0.25">
      <c r="C709" s="18"/>
      <c r="D709" s="18"/>
      <c r="E709" s="18"/>
      <c r="F709" s="301"/>
      <c r="G709" s="301"/>
      <c r="H709" s="319"/>
      <c r="I709" s="18"/>
    </row>
    <row r="710" spans="3:9" ht="13.45" x14ac:dyDescent="0.25">
      <c r="C710" s="18"/>
      <c r="D710" s="18"/>
      <c r="E710" s="18"/>
      <c r="F710" s="301"/>
      <c r="G710" s="301"/>
      <c r="H710" s="319"/>
      <c r="I710" s="18"/>
    </row>
    <row r="711" spans="3:9" ht="13.45" x14ac:dyDescent="0.25">
      <c r="C711" s="18"/>
      <c r="D711" s="18"/>
      <c r="E711" s="18"/>
      <c r="F711" s="301"/>
      <c r="G711" s="301"/>
      <c r="H711" s="319"/>
      <c r="I711" s="18"/>
    </row>
    <row r="712" spans="3:9" ht="13.45" x14ac:dyDescent="0.25">
      <c r="C712" s="18"/>
      <c r="D712" s="18"/>
      <c r="E712" s="18"/>
      <c r="F712" s="301"/>
      <c r="G712" s="301"/>
      <c r="H712" s="319"/>
      <c r="I712" s="18"/>
    </row>
    <row r="713" spans="3:9" ht="13.45" x14ac:dyDescent="0.25">
      <c r="C713" s="18"/>
      <c r="D713" s="18"/>
      <c r="E713" s="18"/>
      <c r="F713" s="301"/>
      <c r="G713" s="301"/>
      <c r="H713" s="319"/>
      <c r="I713" s="18"/>
    </row>
    <row r="714" spans="3:9" ht="13.45" x14ac:dyDescent="0.25">
      <c r="C714" s="18"/>
      <c r="D714" s="18"/>
      <c r="E714" s="18"/>
      <c r="F714" s="301"/>
      <c r="G714" s="301"/>
      <c r="H714" s="319"/>
      <c r="I714" s="18"/>
    </row>
    <row r="715" spans="3:9" ht="13.45" x14ac:dyDescent="0.25">
      <c r="C715" s="18"/>
      <c r="D715" s="18"/>
      <c r="E715" s="18"/>
      <c r="F715" s="301"/>
      <c r="G715" s="301"/>
      <c r="H715" s="319"/>
      <c r="I715" s="18"/>
    </row>
    <row r="716" spans="3:9" ht="13.45" x14ac:dyDescent="0.25">
      <c r="C716" s="18"/>
      <c r="D716" s="18"/>
      <c r="E716" s="18"/>
      <c r="F716" s="301"/>
      <c r="G716" s="301"/>
      <c r="H716" s="319"/>
      <c r="I716" s="18"/>
    </row>
    <row r="717" spans="3:9" ht="13.45" x14ac:dyDescent="0.25">
      <c r="C717" s="18"/>
      <c r="D717" s="18"/>
      <c r="E717" s="18"/>
      <c r="F717" s="301"/>
      <c r="G717" s="301"/>
      <c r="H717" s="319"/>
      <c r="I717" s="18"/>
    </row>
    <row r="718" spans="3:9" ht="13.45" x14ac:dyDescent="0.25">
      <c r="C718" s="18"/>
      <c r="D718" s="18"/>
      <c r="E718" s="18"/>
      <c r="F718" s="301"/>
      <c r="G718" s="301"/>
      <c r="H718" s="319"/>
      <c r="I718" s="18"/>
    </row>
    <row r="719" spans="3:9" ht="13.45" x14ac:dyDescent="0.25">
      <c r="C719" s="18"/>
      <c r="D719" s="18"/>
      <c r="E719" s="18"/>
      <c r="F719" s="301"/>
      <c r="G719" s="301"/>
      <c r="H719" s="319"/>
      <c r="I719" s="18"/>
    </row>
    <row r="720" spans="3:9" ht="13.45" x14ac:dyDescent="0.25">
      <c r="C720" s="18"/>
      <c r="D720" s="18"/>
      <c r="E720" s="18"/>
      <c r="F720" s="301"/>
      <c r="G720" s="301"/>
      <c r="H720" s="319"/>
      <c r="I720" s="18"/>
    </row>
    <row r="721" spans="3:9" ht="13.45" x14ac:dyDescent="0.25">
      <c r="C721" s="18"/>
      <c r="D721" s="18"/>
      <c r="E721" s="18"/>
      <c r="F721" s="301"/>
      <c r="G721" s="301"/>
      <c r="H721" s="319"/>
      <c r="I721" s="18"/>
    </row>
    <row r="722" spans="3:9" ht="13.45" x14ac:dyDescent="0.25">
      <c r="C722" s="18"/>
      <c r="D722" s="18"/>
      <c r="E722" s="18"/>
      <c r="F722" s="301"/>
      <c r="G722" s="301"/>
      <c r="H722" s="319"/>
      <c r="I722" s="18"/>
    </row>
    <row r="723" spans="3:9" ht="13.45" x14ac:dyDescent="0.25">
      <c r="C723" s="18"/>
      <c r="D723" s="18"/>
      <c r="E723" s="18"/>
      <c r="F723" s="301"/>
      <c r="G723" s="301"/>
      <c r="H723" s="319"/>
      <c r="I723" s="18"/>
    </row>
    <row r="724" spans="3:9" ht="13.45" x14ac:dyDescent="0.25">
      <c r="C724" s="18"/>
      <c r="D724" s="18"/>
      <c r="E724" s="18"/>
      <c r="F724" s="301"/>
      <c r="G724" s="301"/>
      <c r="H724" s="319"/>
      <c r="I724" s="18"/>
    </row>
    <row r="725" spans="3:9" ht="13.45" x14ac:dyDescent="0.25">
      <c r="C725" s="18"/>
      <c r="D725" s="18"/>
      <c r="E725" s="18"/>
      <c r="F725" s="301"/>
      <c r="G725" s="301"/>
      <c r="H725" s="319"/>
      <c r="I725" s="18"/>
    </row>
    <row r="726" spans="3:9" ht="13.45" x14ac:dyDescent="0.25">
      <c r="C726" s="18"/>
      <c r="D726" s="18"/>
      <c r="E726" s="18"/>
      <c r="F726" s="301"/>
      <c r="G726" s="301"/>
      <c r="H726" s="319"/>
      <c r="I726" s="18"/>
    </row>
    <row r="727" spans="3:9" ht="13.45" x14ac:dyDescent="0.25">
      <c r="C727" s="18"/>
      <c r="D727" s="18"/>
      <c r="E727" s="18"/>
      <c r="F727" s="301"/>
      <c r="G727" s="301"/>
      <c r="H727" s="319"/>
      <c r="I727" s="18"/>
    </row>
    <row r="728" spans="3:9" ht="13.45" x14ac:dyDescent="0.25">
      <c r="C728" s="18"/>
      <c r="D728" s="18"/>
      <c r="E728" s="18"/>
      <c r="F728" s="301"/>
      <c r="G728" s="301"/>
      <c r="H728" s="319"/>
      <c r="I728" s="18"/>
    </row>
    <row r="729" spans="3:9" ht="13.45" x14ac:dyDescent="0.25">
      <c r="C729" s="18"/>
      <c r="D729" s="18"/>
      <c r="E729" s="18"/>
      <c r="F729" s="301"/>
      <c r="G729" s="301"/>
      <c r="H729" s="319"/>
      <c r="I729" s="18"/>
    </row>
    <row r="730" spans="3:9" ht="13.45" x14ac:dyDescent="0.25">
      <c r="C730" s="18"/>
      <c r="D730" s="18"/>
      <c r="E730" s="18"/>
      <c r="F730" s="301"/>
      <c r="G730" s="301"/>
      <c r="H730" s="319"/>
      <c r="I730" s="18"/>
    </row>
    <row r="731" spans="3:9" ht="13.45" x14ac:dyDescent="0.25">
      <c r="C731" s="18"/>
      <c r="D731" s="18"/>
      <c r="E731" s="18"/>
      <c r="F731" s="301"/>
      <c r="G731" s="301"/>
      <c r="H731" s="319"/>
      <c r="I731" s="18"/>
    </row>
    <row r="732" spans="3:9" ht="13.45" x14ac:dyDescent="0.25">
      <c r="C732" s="18"/>
      <c r="D732" s="18"/>
      <c r="E732" s="18"/>
      <c r="F732" s="301"/>
      <c r="G732" s="301"/>
      <c r="H732" s="319"/>
      <c r="I732" s="18"/>
    </row>
    <row r="733" spans="3:9" ht="13.45" x14ac:dyDescent="0.25">
      <c r="C733" s="18"/>
      <c r="D733" s="18"/>
      <c r="E733" s="18"/>
      <c r="F733" s="301"/>
      <c r="G733" s="301"/>
      <c r="H733" s="319"/>
      <c r="I733" s="18"/>
    </row>
    <row r="734" spans="3:9" ht="13.45" x14ac:dyDescent="0.25">
      <c r="C734" s="18"/>
      <c r="D734" s="18"/>
      <c r="E734" s="18"/>
      <c r="F734" s="301"/>
      <c r="G734" s="301"/>
      <c r="H734" s="319"/>
      <c r="I734" s="18"/>
    </row>
    <row r="735" spans="3:9" ht="13.45" x14ac:dyDescent="0.25">
      <c r="C735" s="18"/>
      <c r="D735" s="18"/>
      <c r="E735" s="18"/>
      <c r="F735" s="301"/>
      <c r="G735" s="301"/>
      <c r="H735" s="319"/>
      <c r="I735" s="18"/>
    </row>
    <row r="736" spans="3:9" ht="13.45" x14ac:dyDescent="0.25">
      <c r="C736" s="18"/>
      <c r="D736" s="18"/>
      <c r="E736" s="18"/>
      <c r="F736" s="301"/>
      <c r="G736" s="301"/>
      <c r="H736" s="319"/>
      <c r="I736" s="18"/>
    </row>
    <row r="737" spans="3:9" ht="13.45" x14ac:dyDescent="0.25">
      <c r="C737" s="18"/>
      <c r="D737" s="18"/>
      <c r="E737" s="18"/>
      <c r="F737" s="301"/>
      <c r="G737" s="301"/>
      <c r="H737" s="319"/>
      <c r="I737" s="18"/>
    </row>
    <row r="738" spans="3:9" ht="13.45" x14ac:dyDescent="0.25">
      <c r="C738" s="18"/>
      <c r="D738" s="18"/>
      <c r="E738" s="18"/>
      <c r="F738" s="301"/>
      <c r="G738" s="301"/>
      <c r="H738" s="319"/>
      <c r="I738" s="18"/>
    </row>
    <row r="739" spans="3:9" ht="13.45" x14ac:dyDescent="0.25">
      <c r="C739" s="18"/>
      <c r="D739" s="18"/>
      <c r="E739" s="18"/>
      <c r="F739" s="301"/>
      <c r="G739" s="301"/>
      <c r="H739" s="319"/>
      <c r="I739" s="18"/>
    </row>
    <row r="740" spans="3:9" ht="13.45" x14ac:dyDescent="0.25">
      <c r="C740" s="18"/>
      <c r="D740" s="18"/>
      <c r="E740" s="18"/>
      <c r="F740" s="301"/>
      <c r="G740" s="301"/>
      <c r="H740" s="319"/>
      <c r="I740" s="18"/>
    </row>
    <row r="741" spans="3:9" ht="13.45" x14ac:dyDescent="0.25">
      <c r="C741" s="18"/>
      <c r="D741" s="18"/>
      <c r="E741" s="18"/>
      <c r="F741" s="301"/>
      <c r="G741" s="301"/>
      <c r="H741" s="319"/>
      <c r="I741" s="18"/>
    </row>
    <row r="742" spans="3:9" ht="13.45" x14ac:dyDescent="0.25">
      <c r="C742" s="18"/>
      <c r="D742" s="18"/>
      <c r="E742" s="18"/>
      <c r="F742" s="301"/>
      <c r="G742" s="301"/>
      <c r="H742" s="319"/>
      <c r="I742" s="18"/>
    </row>
    <row r="743" spans="3:9" ht="13.45" x14ac:dyDescent="0.25">
      <c r="C743" s="18"/>
      <c r="D743" s="18"/>
      <c r="E743" s="18"/>
      <c r="F743" s="301"/>
      <c r="G743" s="301"/>
      <c r="H743" s="319"/>
      <c r="I743" s="18"/>
    </row>
    <row r="744" spans="3:9" ht="13.45" x14ac:dyDescent="0.25">
      <c r="C744" s="18"/>
      <c r="D744" s="18"/>
      <c r="E744" s="18"/>
      <c r="F744" s="301"/>
      <c r="G744" s="301"/>
      <c r="H744" s="319"/>
      <c r="I744" s="18"/>
    </row>
    <row r="745" spans="3:9" ht="13.45" x14ac:dyDescent="0.25">
      <c r="C745" s="18"/>
      <c r="D745" s="18"/>
      <c r="E745" s="18"/>
      <c r="F745" s="301"/>
      <c r="G745" s="301"/>
      <c r="H745" s="319"/>
      <c r="I745" s="18"/>
    </row>
    <row r="746" spans="3:9" ht="13.45" x14ac:dyDescent="0.25">
      <c r="C746" s="18"/>
      <c r="D746" s="18"/>
      <c r="E746" s="18"/>
      <c r="F746" s="301"/>
      <c r="G746" s="301"/>
      <c r="H746" s="319"/>
      <c r="I746" s="18"/>
    </row>
    <row r="747" spans="3:9" ht="13.45" x14ac:dyDescent="0.25">
      <c r="C747" s="18"/>
      <c r="D747" s="18"/>
      <c r="E747" s="18"/>
      <c r="F747" s="301"/>
      <c r="G747" s="301"/>
      <c r="H747" s="319"/>
      <c r="I747" s="18"/>
    </row>
    <row r="748" spans="3:9" ht="13.45" x14ac:dyDescent="0.25">
      <c r="C748" s="18"/>
      <c r="D748" s="18"/>
      <c r="E748" s="18"/>
      <c r="F748" s="301"/>
      <c r="G748" s="301"/>
      <c r="H748" s="319"/>
      <c r="I748" s="18"/>
    </row>
    <row r="749" spans="3:9" ht="13.45" x14ac:dyDescent="0.25">
      <c r="C749" s="18"/>
      <c r="D749" s="18"/>
      <c r="E749" s="18"/>
      <c r="F749" s="301"/>
      <c r="G749" s="301"/>
      <c r="H749" s="319"/>
      <c r="I749" s="18"/>
    </row>
    <row r="750" spans="3:9" ht="13.45" x14ac:dyDescent="0.25">
      <c r="C750" s="18"/>
      <c r="D750" s="18"/>
      <c r="E750" s="18"/>
      <c r="F750" s="301"/>
      <c r="G750" s="301"/>
      <c r="H750" s="319"/>
      <c r="I750" s="18"/>
    </row>
    <row r="751" spans="3:9" ht="13.45" x14ac:dyDescent="0.25">
      <c r="C751" s="18"/>
      <c r="D751" s="18"/>
      <c r="E751" s="18"/>
      <c r="F751" s="301"/>
      <c r="G751" s="301"/>
      <c r="H751" s="319"/>
      <c r="I751" s="18"/>
    </row>
    <row r="752" spans="3:9" ht="13.45" x14ac:dyDescent="0.25">
      <c r="C752" s="18"/>
      <c r="D752" s="18"/>
      <c r="E752" s="18"/>
      <c r="F752" s="301"/>
      <c r="G752" s="301"/>
      <c r="H752" s="319"/>
      <c r="I752" s="18"/>
    </row>
    <row r="753" spans="3:9" ht="13.45" x14ac:dyDescent="0.25">
      <c r="C753" s="18"/>
      <c r="D753" s="18"/>
      <c r="E753" s="18"/>
      <c r="F753" s="301"/>
      <c r="G753" s="301"/>
      <c r="H753" s="319"/>
      <c r="I753" s="18"/>
    </row>
    <row r="754" spans="3:9" ht="13.45" x14ac:dyDescent="0.25">
      <c r="C754" s="18"/>
      <c r="D754" s="18"/>
      <c r="E754" s="18"/>
      <c r="F754" s="301"/>
      <c r="G754" s="301"/>
      <c r="H754" s="319"/>
      <c r="I754" s="18"/>
    </row>
    <row r="755" spans="3:9" ht="13.45" x14ac:dyDescent="0.25">
      <c r="C755" s="18"/>
      <c r="D755" s="18"/>
      <c r="E755" s="18"/>
      <c r="F755" s="301"/>
      <c r="G755" s="301"/>
      <c r="H755" s="319"/>
      <c r="I755" s="18"/>
    </row>
    <row r="756" spans="3:9" ht="13.45" x14ac:dyDescent="0.25">
      <c r="C756" s="18"/>
      <c r="D756" s="18"/>
      <c r="E756" s="18"/>
      <c r="F756" s="301"/>
      <c r="G756" s="301"/>
      <c r="H756" s="319"/>
      <c r="I756" s="18"/>
    </row>
    <row r="757" spans="3:9" ht="13.45" x14ac:dyDescent="0.25">
      <c r="C757" s="18"/>
      <c r="D757" s="18"/>
      <c r="E757" s="18"/>
      <c r="F757" s="301"/>
      <c r="G757" s="301"/>
      <c r="H757" s="319"/>
      <c r="I757" s="18"/>
    </row>
    <row r="758" spans="3:9" ht="13.45" x14ac:dyDescent="0.25">
      <c r="C758" s="18"/>
      <c r="D758" s="18"/>
      <c r="E758" s="18"/>
      <c r="F758" s="301"/>
      <c r="G758" s="301"/>
      <c r="H758" s="319"/>
      <c r="I758" s="18"/>
    </row>
    <row r="759" spans="3:9" ht="13.45" x14ac:dyDescent="0.25">
      <c r="C759" s="18"/>
      <c r="D759" s="18"/>
      <c r="E759" s="18"/>
      <c r="F759" s="301"/>
      <c r="G759" s="301"/>
      <c r="H759" s="319"/>
      <c r="I759" s="18"/>
    </row>
    <row r="760" spans="3:9" ht="13.45" x14ac:dyDescent="0.25">
      <c r="C760" s="18"/>
      <c r="D760" s="18"/>
      <c r="E760" s="18"/>
      <c r="F760" s="301"/>
      <c r="G760" s="301"/>
      <c r="H760" s="319"/>
      <c r="I760" s="18"/>
    </row>
    <row r="761" spans="3:9" ht="13.45" x14ac:dyDescent="0.25">
      <c r="C761" s="18"/>
      <c r="D761" s="18"/>
      <c r="E761" s="18"/>
      <c r="F761" s="301"/>
      <c r="G761" s="301"/>
      <c r="H761" s="319"/>
      <c r="I761" s="18"/>
    </row>
    <row r="762" spans="3:9" ht="13.45" x14ac:dyDescent="0.25">
      <c r="C762" s="18"/>
      <c r="D762" s="18"/>
      <c r="E762" s="18"/>
      <c r="F762" s="301"/>
      <c r="G762" s="301"/>
      <c r="H762" s="319"/>
      <c r="I762" s="18"/>
    </row>
    <row r="763" spans="3:9" ht="13.45" x14ac:dyDescent="0.25">
      <c r="C763" s="18"/>
      <c r="D763" s="18"/>
      <c r="E763" s="18"/>
      <c r="F763" s="301"/>
      <c r="G763" s="301"/>
      <c r="H763" s="319"/>
      <c r="I763" s="18"/>
    </row>
    <row r="764" spans="3:9" ht="13.45" x14ac:dyDescent="0.25">
      <c r="C764" s="18"/>
      <c r="D764" s="18"/>
      <c r="E764" s="18"/>
      <c r="F764" s="301"/>
      <c r="G764" s="301"/>
      <c r="H764" s="319"/>
      <c r="I764" s="18"/>
    </row>
    <row r="765" spans="3:9" ht="13.45" x14ac:dyDescent="0.25">
      <c r="C765" s="18"/>
      <c r="D765" s="18"/>
      <c r="E765" s="18"/>
      <c r="F765" s="301"/>
      <c r="G765" s="301"/>
      <c r="H765" s="319"/>
      <c r="I765" s="18"/>
    </row>
    <row r="766" spans="3:9" ht="13.45" x14ac:dyDescent="0.25">
      <c r="C766" s="18"/>
      <c r="D766" s="18"/>
      <c r="E766" s="18"/>
      <c r="F766" s="301"/>
      <c r="G766" s="301"/>
      <c r="H766" s="319"/>
      <c r="I766" s="18"/>
    </row>
    <row r="767" spans="3:9" ht="13.45" x14ac:dyDescent="0.25">
      <c r="C767" s="18"/>
      <c r="D767" s="18"/>
      <c r="E767" s="18"/>
      <c r="F767" s="301"/>
      <c r="G767" s="301"/>
      <c r="H767" s="319"/>
      <c r="I767" s="18"/>
    </row>
    <row r="768" spans="3:9" ht="13.45" x14ac:dyDescent="0.25">
      <c r="C768" s="18"/>
      <c r="D768" s="18"/>
      <c r="E768" s="18"/>
      <c r="F768" s="301"/>
      <c r="G768" s="301"/>
      <c r="H768" s="319"/>
      <c r="I768" s="18"/>
    </row>
    <row r="769" spans="3:9" ht="13.45" x14ac:dyDescent="0.25">
      <c r="C769" s="18"/>
      <c r="D769" s="18"/>
      <c r="E769" s="18"/>
      <c r="F769" s="301"/>
      <c r="G769" s="301"/>
      <c r="H769" s="319"/>
      <c r="I769" s="18"/>
    </row>
    <row r="770" spans="3:9" ht="13.45" x14ac:dyDescent="0.25">
      <c r="C770" s="18"/>
      <c r="D770" s="18"/>
      <c r="E770" s="18"/>
      <c r="F770" s="301"/>
      <c r="G770" s="301"/>
      <c r="H770" s="319"/>
      <c r="I770" s="18"/>
    </row>
    <row r="771" spans="3:9" ht="13.45" x14ac:dyDescent="0.25">
      <c r="C771" s="18"/>
      <c r="D771" s="18"/>
      <c r="E771" s="18"/>
      <c r="F771" s="301"/>
      <c r="G771" s="301"/>
      <c r="H771" s="319"/>
      <c r="I771" s="18"/>
    </row>
    <row r="772" spans="3:9" ht="13.45" x14ac:dyDescent="0.25">
      <c r="C772" s="18"/>
      <c r="D772" s="18"/>
      <c r="E772" s="18"/>
      <c r="F772" s="301"/>
      <c r="G772" s="301"/>
      <c r="H772" s="319"/>
      <c r="I772" s="18"/>
    </row>
    <row r="773" spans="3:9" ht="13.45" x14ac:dyDescent="0.25">
      <c r="C773" s="18"/>
      <c r="D773" s="18"/>
      <c r="E773" s="18"/>
      <c r="F773" s="301"/>
      <c r="G773" s="301"/>
      <c r="H773" s="319"/>
      <c r="I773" s="18"/>
    </row>
    <row r="774" spans="3:9" ht="13.45" x14ac:dyDescent="0.25">
      <c r="C774" s="18"/>
      <c r="D774" s="18"/>
      <c r="E774" s="18"/>
      <c r="F774" s="301"/>
      <c r="G774" s="301"/>
      <c r="H774" s="319"/>
      <c r="I774" s="18"/>
    </row>
    <row r="775" spans="3:9" ht="13.45" x14ac:dyDescent="0.25">
      <c r="C775" s="18"/>
      <c r="D775" s="18"/>
      <c r="E775" s="18"/>
      <c r="F775" s="301"/>
      <c r="G775" s="301"/>
      <c r="H775" s="319"/>
      <c r="I775" s="18"/>
    </row>
    <row r="776" spans="3:9" ht="13.45" x14ac:dyDescent="0.25">
      <c r="C776" s="18"/>
      <c r="D776" s="18"/>
      <c r="E776" s="18"/>
      <c r="F776" s="301"/>
      <c r="G776" s="301"/>
      <c r="H776" s="319"/>
      <c r="I776" s="18"/>
    </row>
    <row r="777" spans="3:9" ht="13.45" x14ac:dyDescent="0.25">
      <c r="C777" s="18"/>
      <c r="D777" s="18"/>
      <c r="E777" s="18"/>
      <c r="F777" s="301"/>
      <c r="G777" s="301"/>
      <c r="H777" s="319"/>
      <c r="I777" s="18"/>
    </row>
    <row r="778" spans="3:9" ht="13.45" x14ac:dyDescent="0.25">
      <c r="C778" s="18"/>
      <c r="D778" s="18"/>
      <c r="E778" s="18"/>
      <c r="F778" s="301"/>
      <c r="G778" s="301"/>
      <c r="H778" s="319"/>
      <c r="I778" s="18"/>
    </row>
    <row r="779" spans="3:9" ht="13.45" x14ac:dyDescent="0.25">
      <c r="C779" s="18"/>
      <c r="D779" s="18"/>
      <c r="E779" s="18"/>
      <c r="F779" s="301"/>
      <c r="G779" s="301"/>
      <c r="H779" s="319"/>
      <c r="I779" s="18"/>
    </row>
    <row r="780" spans="3:9" ht="13.45" x14ac:dyDescent="0.25">
      <c r="C780" s="18"/>
      <c r="D780" s="18"/>
      <c r="E780" s="18"/>
      <c r="F780" s="301"/>
      <c r="G780" s="301"/>
      <c r="H780" s="319"/>
      <c r="I780" s="18"/>
    </row>
    <row r="781" spans="3:9" ht="13.45" x14ac:dyDescent="0.25">
      <c r="C781" s="18"/>
      <c r="D781" s="18"/>
      <c r="E781" s="18"/>
      <c r="F781" s="301"/>
      <c r="G781" s="301"/>
      <c r="H781" s="319"/>
      <c r="I781" s="18"/>
    </row>
    <row r="782" spans="3:9" ht="13.45" x14ac:dyDescent="0.25">
      <c r="C782" s="18"/>
      <c r="D782" s="18"/>
      <c r="E782" s="18"/>
      <c r="F782" s="301"/>
      <c r="G782" s="301"/>
      <c r="H782" s="319"/>
      <c r="I782" s="18"/>
    </row>
    <row r="783" spans="3:9" ht="13.45" x14ac:dyDescent="0.25">
      <c r="C783" s="18"/>
      <c r="D783" s="18"/>
      <c r="E783" s="18"/>
      <c r="F783" s="301"/>
      <c r="G783" s="301"/>
      <c r="H783" s="319"/>
      <c r="I783" s="18"/>
    </row>
    <row r="784" spans="3:9" ht="13.45" x14ac:dyDescent="0.25">
      <c r="C784" s="18"/>
      <c r="D784" s="18"/>
      <c r="E784" s="18"/>
      <c r="F784" s="301"/>
      <c r="G784" s="301"/>
      <c r="H784" s="319"/>
      <c r="I784" s="18"/>
    </row>
    <row r="785" spans="3:9" ht="13.45" x14ac:dyDescent="0.25">
      <c r="C785" s="18"/>
      <c r="D785" s="18"/>
      <c r="E785" s="18"/>
      <c r="F785" s="301"/>
      <c r="G785" s="301"/>
      <c r="H785" s="319"/>
      <c r="I785" s="18"/>
    </row>
    <row r="786" spans="3:9" ht="13.45" x14ac:dyDescent="0.25">
      <c r="C786" s="18"/>
      <c r="D786" s="18"/>
      <c r="E786" s="18"/>
      <c r="F786" s="301"/>
      <c r="G786" s="301"/>
      <c r="H786" s="319"/>
      <c r="I786" s="18"/>
    </row>
    <row r="787" spans="3:9" ht="13.45" x14ac:dyDescent="0.25">
      <c r="C787" s="18"/>
      <c r="D787" s="18"/>
      <c r="E787" s="18"/>
      <c r="F787" s="301"/>
      <c r="G787" s="301"/>
      <c r="H787" s="319"/>
      <c r="I787" s="18"/>
    </row>
    <row r="788" spans="3:9" ht="13.45" x14ac:dyDescent="0.25">
      <c r="C788" s="18"/>
      <c r="D788" s="18"/>
      <c r="E788" s="18"/>
      <c r="F788" s="301"/>
      <c r="G788" s="301"/>
      <c r="H788" s="319"/>
      <c r="I788" s="18"/>
    </row>
    <row r="789" spans="3:9" ht="13.45" x14ac:dyDescent="0.25">
      <c r="C789" s="18"/>
      <c r="D789" s="18"/>
      <c r="E789" s="18"/>
      <c r="F789" s="301"/>
      <c r="G789" s="301"/>
      <c r="H789" s="319"/>
      <c r="I789" s="18"/>
    </row>
    <row r="790" spans="3:9" ht="13.45" x14ac:dyDescent="0.25">
      <c r="C790" s="18"/>
      <c r="D790" s="18"/>
      <c r="E790" s="18"/>
      <c r="F790" s="301"/>
      <c r="G790" s="301"/>
      <c r="H790" s="319"/>
      <c r="I790" s="18"/>
    </row>
    <row r="791" spans="3:9" ht="13.45" x14ac:dyDescent="0.25">
      <c r="C791" s="18"/>
      <c r="D791" s="18"/>
      <c r="E791" s="18"/>
      <c r="F791" s="301"/>
      <c r="G791" s="301"/>
      <c r="H791" s="319"/>
      <c r="I791" s="18"/>
    </row>
    <row r="792" spans="3:9" ht="13.45" x14ac:dyDescent="0.25">
      <c r="C792" s="18"/>
      <c r="D792" s="18"/>
      <c r="E792" s="18"/>
      <c r="F792" s="301"/>
      <c r="G792" s="301"/>
      <c r="H792" s="319"/>
      <c r="I792" s="18"/>
    </row>
    <row r="793" spans="3:9" ht="13.45" x14ac:dyDescent="0.25">
      <c r="C793" s="18"/>
      <c r="D793" s="18"/>
      <c r="E793" s="18"/>
      <c r="F793" s="301"/>
      <c r="G793" s="301"/>
      <c r="H793" s="319"/>
      <c r="I793" s="18"/>
    </row>
    <row r="794" spans="3:9" ht="13.45" x14ac:dyDescent="0.25">
      <c r="C794" s="18"/>
      <c r="D794" s="18"/>
      <c r="E794" s="18"/>
      <c r="F794" s="301"/>
      <c r="G794" s="301"/>
      <c r="H794" s="319"/>
      <c r="I794" s="18"/>
    </row>
    <row r="795" spans="3:9" ht="13.45" x14ac:dyDescent="0.25">
      <c r="C795" s="18"/>
      <c r="D795" s="18"/>
      <c r="E795" s="18"/>
      <c r="F795" s="301"/>
      <c r="G795" s="301"/>
      <c r="H795" s="319"/>
      <c r="I795" s="18"/>
    </row>
    <row r="796" spans="3:9" ht="13.45" x14ac:dyDescent="0.25">
      <c r="C796" s="18"/>
      <c r="D796" s="18"/>
      <c r="E796" s="18"/>
      <c r="F796" s="301"/>
      <c r="G796" s="301"/>
      <c r="H796" s="319"/>
      <c r="I796" s="18"/>
    </row>
    <row r="797" spans="3:9" ht="13.45" x14ac:dyDescent="0.25">
      <c r="C797" s="18"/>
      <c r="D797" s="18"/>
      <c r="E797" s="18"/>
      <c r="F797" s="301"/>
      <c r="G797" s="301"/>
      <c r="H797" s="319"/>
      <c r="I797" s="18"/>
    </row>
    <row r="798" spans="3:9" ht="13.45" x14ac:dyDescent="0.25">
      <c r="C798" s="18"/>
      <c r="D798" s="18"/>
      <c r="E798" s="18"/>
      <c r="F798" s="301"/>
      <c r="G798" s="301"/>
      <c r="H798" s="319"/>
      <c r="I798" s="18"/>
    </row>
    <row r="799" spans="3:9" ht="13.45" x14ac:dyDescent="0.25">
      <c r="C799" s="18"/>
      <c r="D799" s="18"/>
      <c r="E799" s="18"/>
      <c r="F799" s="301"/>
      <c r="G799" s="301"/>
      <c r="H799" s="319"/>
      <c r="I799" s="18"/>
    </row>
    <row r="800" spans="3:9" ht="13.45" x14ac:dyDescent="0.25">
      <c r="C800" s="18"/>
      <c r="D800" s="18"/>
      <c r="E800" s="18"/>
      <c r="F800" s="301"/>
      <c r="G800" s="301"/>
      <c r="H800" s="319"/>
      <c r="I800" s="18"/>
    </row>
    <row r="801" spans="3:9" ht="13.45" x14ac:dyDescent="0.25">
      <c r="C801" s="18"/>
      <c r="D801" s="18"/>
      <c r="E801" s="18"/>
      <c r="F801" s="301"/>
      <c r="G801" s="301"/>
      <c r="H801" s="319"/>
      <c r="I801" s="18"/>
    </row>
    <row r="802" spans="3:9" ht="13.45" x14ac:dyDescent="0.25">
      <c r="C802" s="18"/>
      <c r="D802" s="18"/>
      <c r="E802" s="18"/>
      <c r="F802" s="301"/>
      <c r="G802" s="301"/>
      <c r="H802" s="319"/>
      <c r="I802" s="18"/>
    </row>
    <row r="803" spans="3:9" ht="13.45" x14ac:dyDescent="0.25">
      <c r="C803" s="18"/>
      <c r="D803" s="18"/>
      <c r="E803" s="18"/>
      <c r="F803" s="301"/>
      <c r="G803" s="301"/>
      <c r="H803" s="319"/>
      <c r="I803" s="18"/>
    </row>
    <row r="804" spans="3:9" ht="13.45" x14ac:dyDescent="0.25">
      <c r="C804" s="18"/>
      <c r="D804" s="18"/>
      <c r="E804" s="18"/>
      <c r="F804" s="301"/>
      <c r="G804" s="301"/>
      <c r="H804" s="319"/>
      <c r="I804" s="18"/>
    </row>
    <row r="805" spans="3:9" ht="13.45" x14ac:dyDescent="0.25">
      <c r="C805" s="18"/>
      <c r="D805" s="18"/>
      <c r="E805" s="18"/>
      <c r="F805" s="301"/>
      <c r="G805" s="301"/>
      <c r="H805" s="319"/>
      <c r="I805" s="18"/>
    </row>
    <row r="806" spans="3:9" ht="13.45" x14ac:dyDescent="0.25">
      <c r="C806" s="18"/>
      <c r="D806" s="18"/>
      <c r="E806" s="18"/>
      <c r="F806" s="301"/>
      <c r="G806" s="301"/>
      <c r="H806" s="319"/>
      <c r="I806" s="18"/>
    </row>
    <row r="807" spans="3:9" ht="13.45" x14ac:dyDescent="0.25">
      <c r="C807" s="18"/>
      <c r="D807" s="18"/>
      <c r="E807" s="18"/>
      <c r="F807" s="301"/>
      <c r="G807" s="301"/>
      <c r="H807" s="319"/>
      <c r="I807" s="18"/>
    </row>
    <row r="808" spans="3:9" ht="13.45" x14ac:dyDescent="0.25">
      <c r="C808" s="18"/>
      <c r="D808" s="18"/>
      <c r="E808" s="18"/>
      <c r="F808" s="301"/>
      <c r="G808" s="301"/>
      <c r="H808" s="319"/>
      <c r="I808" s="18"/>
    </row>
    <row r="809" spans="3:9" ht="13.45" x14ac:dyDescent="0.25">
      <c r="C809" s="18"/>
      <c r="D809" s="18"/>
      <c r="E809" s="18"/>
      <c r="F809" s="301"/>
      <c r="G809" s="301"/>
      <c r="H809" s="319"/>
      <c r="I809" s="18"/>
    </row>
    <row r="810" spans="3:9" ht="13.45" x14ac:dyDescent="0.25">
      <c r="C810" s="18"/>
      <c r="D810" s="18"/>
      <c r="E810" s="18"/>
      <c r="F810" s="301"/>
      <c r="G810" s="301"/>
      <c r="H810" s="319"/>
      <c r="I810" s="18"/>
    </row>
    <row r="811" spans="3:9" ht="13.45" x14ac:dyDescent="0.25">
      <c r="C811" s="18"/>
      <c r="D811" s="18"/>
      <c r="E811" s="18"/>
      <c r="F811" s="301"/>
      <c r="G811" s="301"/>
      <c r="H811" s="319"/>
      <c r="I811" s="18"/>
    </row>
    <row r="812" spans="3:9" ht="13.45" x14ac:dyDescent="0.25">
      <c r="C812" s="18"/>
      <c r="D812" s="18"/>
      <c r="E812" s="18"/>
      <c r="F812" s="301"/>
      <c r="G812" s="301"/>
      <c r="H812" s="319"/>
      <c r="I812" s="18"/>
    </row>
    <row r="813" spans="3:9" ht="13.45" x14ac:dyDescent="0.25">
      <c r="C813" s="18"/>
      <c r="D813" s="18"/>
      <c r="E813" s="18"/>
      <c r="F813" s="301"/>
      <c r="G813" s="301"/>
      <c r="H813" s="319"/>
      <c r="I813" s="18"/>
    </row>
    <row r="814" spans="3:9" ht="13.45" x14ac:dyDescent="0.25">
      <c r="C814" s="18"/>
      <c r="D814" s="18"/>
      <c r="E814" s="18"/>
      <c r="F814" s="301"/>
      <c r="G814" s="301"/>
      <c r="H814" s="319"/>
      <c r="I814" s="18"/>
    </row>
    <row r="815" spans="3:9" ht="13.45" x14ac:dyDescent="0.25">
      <c r="C815" s="18"/>
      <c r="D815" s="18"/>
      <c r="E815" s="18"/>
      <c r="F815" s="301"/>
      <c r="G815" s="301"/>
      <c r="H815" s="319"/>
      <c r="I815" s="18"/>
    </row>
    <row r="816" spans="3:9" ht="13.45" x14ac:dyDescent="0.25">
      <c r="C816" s="18"/>
      <c r="D816" s="18"/>
      <c r="E816" s="18"/>
      <c r="F816" s="301"/>
      <c r="G816" s="301"/>
      <c r="H816" s="319"/>
      <c r="I816" s="18"/>
    </row>
    <row r="817" spans="3:9" ht="13.45" x14ac:dyDescent="0.25">
      <c r="C817" s="18"/>
      <c r="D817" s="18"/>
      <c r="E817" s="18"/>
      <c r="F817" s="301"/>
      <c r="G817" s="301"/>
      <c r="H817" s="319"/>
      <c r="I817" s="18"/>
    </row>
    <row r="818" spans="3:9" ht="13.45" x14ac:dyDescent="0.25">
      <c r="C818" s="18"/>
      <c r="D818" s="18"/>
      <c r="E818" s="18"/>
      <c r="F818" s="301"/>
      <c r="G818" s="301"/>
      <c r="H818" s="319"/>
      <c r="I818" s="18"/>
    </row>
    <row r="819" spans="3:9" ht="13.45" x14ac:dyDescent="0.25">
      <c r="C819" s="18"/>
      <c r="D819" s="18"/>
      <c r="E819" s="18"/>
      <c r="F819" s="301"/>
      <c r="G819" s="301"/>
      <c r="H819" s="319"/>
      <c r="I819" s="18"/>
    </row>
    <row r="820" spans="3:9" ht="13.45" x14ac:dyDescent="0.25">
      <c r="C820" s="18"/>
      <c r="D820" s="18"/>
      <c r="E820" s="18"/>
      <c r="F820" s="301"/>
      <c r="G820" s="301"/>
      <c r="H820" s="319"/>
      <c r="I820" s="18"/>
    </row>
    <row r="821" spans="3:9" ht="13.45" x14ac:dyDescent="0.25">
      <c r="C821" s="18"/>
      <c r="D821" s="18"/>
      <c r="E821" s="18"/>
      <c r="F821" s="301"/>
      <c r="G821" s="301"/>
      <c r="H821" s="319"/>
      <c r="I821" s="18"/>
    </row>
    <row r="822" spans="3:9" ht="13.45" x14ac:dyDescent="0.25">
      <c r="C822" s="18"/>
      <c r="D822" s="18"/>
      <c r="E822" s="18"/>
      <c r="F822" s="301"/>
      <c r="G822" s="301"/>
      <c r="H822" s="319"/>
      <c r="I822" s="18"/>
    </row>
    <row r="823" spans="3:9" ht="13.45" x14ac:dyDescent="0.25">
      <c r="C823" s="18"/>
      <c r="D823" s="18"/>
      <c r="E823" s="18"/>
      <c r="F823" s="301"/>
      <c r="G823" s="301"/>
      <c r="H823" s="319"/>
      <c r="I823" s="18"/>
    </row>
    <row r="824" spans="3:9" ht="13.45" x14ac:dyDescent="0.25">
      <c r="C824" s="18"/>
      <c r="D824" s="18"/>
      <c r="E824" s="18"/>
      <c r="F824" s="301"/>
      <c r="G824" s="301"/>
      <c r="H824" s="319"/>
      <c r="I824" s="18"/>
    </row>
    <row r="825" spans="3:9" ht="13.45" x14ac:dyDescent="0.25">
      <c r="C825" s="18"/>
      <c r="D825" s="18"/>
      <c r="E825" s="18"/>
      <c r="F825" s="301"/>
      <c r="G825" s="301"/>
      <c r="H825" s="319"/>
      <c r="I825" s="18"/>
    </row>
    <row r="826" spans="3:9" ht="13.45" x14ac:dyDescent="0.25">
      <c r="C826" s="18"/>
      <c r="D826" s="18"/>
      <c r="E826" s="18"/>
      <c r="F826" s="301"/>
      <c r="G826" s="301"/>
      <c r="H826" s="319"/>
      <c r="I826" s="18"/>
    </row>
    <row r="827" spans="3:9" ht="13.45" x14ac:dyDescent="0.25">
      <c r="C827" s="18"/>
      <c r="D827" s="18"/>
      <c r="E827" s="18"/>
      <c r="F827" s="301"/>
      <c r="G827" s="301"/>
      <c r="H827" s="319"/>
      <c r="I827" s="18"/>
    </row>
    <row r="828" spans="3:9" ht="13.45" x14ac:dyDescent="0.25">
      <c r="C828" s="18"/>
      <c r="D828" s="18"/>
      <c r="E828" s="18"/>
      <c r="F828" s="301"/>
      <c r="G828" s="301"/>
      <c r="H828" s="319"/>
      <c r="I828" s="18"/>
    </row>
    <row r="829" spans="3:9" ht="13.45" x14ac:dyDescent="0.25">
      <c r="C829" s="18"/>
      <c r="D829" s="18"/>
      <c r="E829" s="18"/>
      <c r="F829" s="301"/>
      <c r="G829" s="301"/>
      <c r="H829" s="319"/>
      <c r="I829" s="18"/>
    </row>
    <row r="830" spans="3:9" ht="13.45" x14ac:dyDescent="0.25">
      <c r="C830" s="18"/>
      <c r="D830" s="18"/>
      <c r="E830" s="18"/>
      <c r="F830" s="301"/>
      <c r="G830" s="301"/>
      <c r="H830" s="319"/>
      <c r="I830" s="18"/>
    </row>
    <row r="831" spans="3:9" ht="13.45" x14ac:dyDescent="0.25">
      <c r="C831" s="18"/>
      <c r="D831" s="18"/>
      <c r="E831" s="18"/>
      <c r="F831" s="301"/>
      <c r="G831" s="301"/>
      <c r="H831" s="319"/>
      <c r="I831" s="18"/>
    </row>
    <row r="832" spans="3:9" ht="13.45" x14ac:dyDescent="0.25">
      <c r="C832" s="18"/>
      <c r="D832" s="18"/>
      <c r="E832" s="18"/>
      <c r="F832" s="301"/>
      <c r="G832" s="301"/>
      <c r="H832" s="319"/>
      <c r="I832" s="18"/>
    </row>
    <row r="833" spans="3:9" ht="13.45" x14ac:dyDescent="0.25">
      <c r="C833" s="18"/>
      <c r="D833" s="18"/>
      <c r="E833" s="18"/>
      <c r="F833" s="301"/>
      <c r="G833" s="301"/>
      <c r="H833" s="319"/>
      <c r="I833" s="18"/>
    </row>
    <row r="834" spans="3:9" ht="13.45" x14ac:dyDescent="0.25">
      <c r="C834" s="18"/>
      <c r="D834" s="18"/>
      <c r="E834" s="18"/>
      <c r="F834" s="301"/>
      <c r="G834" s="301"/>
      <c r="H834" s="319"/>
      <c r="I834" s="18"/>
    </row>
    <row r="835" spans="3:9" ht="13.45" x14ac:dyDescent="0.25">
      <c r="C835" s="18"/>
      <c r="D835" s="18"/>
      <c r="E835" s="18"/>
      <c r="F835" s="301"/>
      <c r="G835" s="301"/>
      <c r="H835" s="319"/>
      <c r="I835" s="18"/>
    </row>
    <row r="836" spans="3:9" ht="13.45" x14ac:dyDescent="0.25">
      <c r="C836" s="18"/>
      <c r="D836" s="18"/>
      <c r="E836" s="18"/>
      <c r="F836" s="301"/>
      <c r="G836" s="301"/>
      <c r="H836" s="319"/>
      <c r="I836" s="18"/>
    </row>
    <row r="837" spans="3:9" ht="13.45" x14ac:dyDescent="0.25">
      <c r="C837" s="18"/>
      <c r="D837" s="18"/>
      <c r="E837" s="18"/>
      <c r="F837" s="301"/>
      <c r="G837" s="301"/>
      <c r="H837" s="319"/>
      <c r="I837" s="18"/>
    </row>
    <row r="838" spans="3:9" ht="13.45" x14ac:dyDescent="0.25">
      <c r="C838" s="18"/>
      <c r="D838" s="18"/>
      <c r="E838" s="18"/>
      <c r="F838" s="301"/>
      <c r="G838" s="301"/>
      <c r="H838" s="319"/>
      <c r="I838" s="18"/>
    </row>
    <row r="839" spans="3:9" ht="13.45" x14ac:dyDescent="0.25">
      <c r="C839" s="18"/>
      <c r="D839" s="18"/>
      <c r="E839" s="18"/>
      <c r="F839" s="301"/>
      <c r="G839" s="301"/>
      <c r="H839" s="319"/>
      <c r="I839" s="18"/>
    </row>
    <row r="840" spans="3:9" ht="13.45" x14ac:dyDescent="0.25">
      <c r="C840" s="18"/>
      <c r="D840" s="18"/>
      <c r="E840" s="18"/>
      <c r="F840" s="301"/>
      <c r="G840" s="301"/>
      <c r="H840" s="319"/>
      <c r="I840" s="18"/>
    </row>
    <row r="841" spans="3:9" ht="13.45" x14ac:dyDescent="0.25">
      <c r="C841" s="18"/>
      <c r="D841" s="18"/>
      <c r="E841" s="18"/>
      <c r="F841" s="301"/>
      <c r="G841" s="301"/>
      <c r="H841" s="319"/>
      <c r="I841" s="18"/>
    </row>
    <row r="842" spans="3:9" ht="13.45" x14ac:dyDescent="0.25">
      <c r="C842" s="18"/>
      <c r="D842" s="18"/>
      <c r="E842" s="18"/>
      <c r="F842" s="301"/>
      <c r="G842" s="301"/>
      <c r="H842" s="319"/>
      <c r="I842" s="18"/>
    </row>
    <row r="843" spans="3:9" ht="13.45" x14ac:dyDescent="0.25">
      <c r="C843" s="18"/>
      <c r="D843" s="18"/>
      <c r="E843" s="18"/>
      <c r="F843" s="301"/>
      <c r="G843" s="301"/>
      <c r="H843" s="319"/>
      <c r="I843" s="18"/>
    </row>
    <row r="844" spans="3:9" ht="13.45" x14ac:dyDescent="0.25">
      <c r="C844" s="18"/>
      <c r="D844" s="18"/>
      <c r="E844" s="18"/>
      <c r="F844" s="301"/>
      <c r="G844" s="301"/>
      <c r="H844" s="319"/>
      <c r="I844" s="18"/>
    </row>
    <row r="845" spans="3:9" ht="13.45" x14ac:dyDescent="0.25">
      <c r="C845" s="18"/>
      <c r="D845" s="18"/>
      <c r="E845" s="18"/>
      <c r="F845" s="301"/>
      <c r="G845" s="301"/>
      <c r="H845" s="319"/>
      <c r="I845" s="18"/>
    </row>
    <row r="846" spans="3:9" ht="13.45" x14ac:dyDescent="0.25">
      <c r="C846" s="18"/>
      <c r="D846" s="18"/>
      <c r="E846" s="18"/>
      <c r="F846" s="301"/>
      <c r="G846" s="301"/>
      <c r="H846" s="319"/>
      <c r="I846" s="18"/>
    </row>
    <row r="847" spans="3:9" ht="13.45" x14ac:dyDescent="0.25">
      <c r="C847" s="18"/>
      <c r="D847" s="18"/>
      <c r="E847" s="18"/>
      <c r="F847" s="301"/>
      <c r="G847" s="301"/>
      <c r="H847" s="319"/>
      <c r="I847" s="18"/>
    </row>
    <row r="848" spans="3:9" ht="13.45" x14ac:dyDescent="0.25">
      <c r="C848" s="18"/>
      <c r="D848" s="18"/>
      <c r="E848" s="18"/>
      <c r="F848" s="301"/>
      <c r="G848" s="301"/>
      <c r="H848" s="319"/>
      <c r="I848" s="18"/>
    </row>
    <row r="849" spans="3:9" ht="13.45" x14ac:dyDescent="0.25">
      <c r="C849" s="18"/>
      <c r="D849" s="18"/>
      <c r="E849" s="18"/>
      <c r="F849" s="301"/>
      <c r="G849" s="301"/>
      <c r="H849" s="319"/>
      <c r="I849" s="18"/>
    </row>
    <row r="850" spans="3:9" ht="13.45" x14ac:dyDescent="0.25">
      <c r="C850" s="18"/>
      <c r="D850" s="18"/>
      <c r="E850" s="18"/>
      <c r="F850" s="301"/>
      <c r="G850" s="301"/>
      <c r="H850" s="319"/>
      <c r="I850" s="18"/>
    </row>
    <row r="851" spans="3:9" ht="13.45" x14ac:dyDescent="0.25">
      <c r="C851" s="18"/>
      <c r="D851" s="18"/>
      <c r="E851" s="18"/>
      <c r="F851" s="301"/>
      <c r="G851" s="301"/>
      <c r="H851" s="319"/>
      <c r="I851" s="18"/>
    </row>
    <row r="852" spans="3:9" ht="13.45" x14ac:dyDescent="0.25">
      <c r="C852" s="18"/>
      <c r="D852" s="18"/>
      <c r="E852" s="18"/>
      <c r="F852" s="301"/>
      <c r="G852" s="301"/>
      <c r="H852" s="319"/>
      <c r="I852" s="18"/>
    </row>
    <row r="853" spans="3:9" ht="13.45" x14ac:dyDescent="0.25">
      <c r="C853" s="18"/>
      <c r="D853" s="18"/>
      <c r="E853" s="18"/>
      <c r="F853" s="301"/>
      <c r="G853" s="301"/>
      <c r="H853" s="319"/>
      <c r="I853" s="18"/>
    </row>
    <row r="854" spans="3:9" ht="13.45" x14ac:dyDescent="0.25">
      <c r="C854" s="18"/>
      <c r="D854" s="18"/>
      <c r="E854" s="18"/>
      <c r="F854" s="301"/>
      <c r="G854" s="301"/>
      <c r="H854" s="319"/>
      <c r="I854" s="18"/>
    </row>
    <row r="855" spans="3:9" ht="13.45" x14ac:dyDescent="0.25">
      <c r="C855" s="18"/>
      <c r="D855" s="18"/>
      <c r="E855" s="18"/>
      <c r="F855" s="301"/>
      <c r="G855" s="301"/>
      <c r="H855" s="319"/>
      <c r="I855" s="18"/>
    </row>
    <row r="856" spans="3:9" ht="13.45" x14ac:dyDescent="0.25">
      <c r="C856" s="18"/>
      <c r="D856" s="18"/>
      <c r="E856" s="18"/>
      <c r="F856" s="301"/>
      <c r="G856" s="301"/>
      <c r="H856" s="319"/>
      <c r="I856" s="18"/>
    </row>
    <row r="857" spans="3:9" ht="13.45" x14ac:dyDescent="0.25">
      <c r="C857" s="18"/>
      <c r="D857" s="18"/>
      <c r="E857" s="18"/>
      <c r="F857" s="301"/>
      <c r="G857" s="301"/>
      <c r="H857" s="319"/>
      <c r="I857" s="18"/>
    </row>
    <row r="858" spans="3:9" ht="13.45" x14ac:dyDescent="0.25">
      <c r="C858" s="18"/>
      <c r="D858" s="18"/>
      <c r="E858" s="18"/>
      <c r="F858" s="301"/>
      <c r="G858" s="301"/>
      <c r="H858" s="319"/>
      <c r="I858" s="18"/>
    </row>
    <row r="859" spans="3:9" ht="13.45" x14ac:dyDescent="0.25">
      <c r="C859" s="18"/>
      <c r="D859" s="18"/>
      <c r="E859" s="18"/>
      <c r="F859" s="301"/>
      <c r="G859" s="301"/>
      <c r="H859" s="319"/>
      <c r="I859" s="18"/>
    </row>
    <row r="860" spans="3:9" ht="13.45" x14ac:dyDescent="0.25">
      <c r="C860" s="18"/>
      <c r="D860" s="18"/>
      <c r="E860" s="18"/>
      <c r="F860" s="301"/>
      <c r="G860" s="301"/>
      <c r="H860" s="319"/>
      <c r="I860" s="18"/>
    </row>
    <row r="861" spans="3:9" ht="13.45" x14ac:dyDescent="0.25">
      <c r="C861" s="18"/>
      <c r="D861" s="18"/>
      <c r="E861" s="18"/>
      <c r="F861" s="301"/>
      <c r="G861" s="301"/>
      <c r="H861" s="319"/>
      <c r="I861" s="18"/>
    </row>
    <row r="862" spans="3:9" ht="13.45" x14ac:dyDescent="0.25">
      <c r="C862" s="18"/>
      <c r="D862" s="18"/>
      <c r="E862" s="18"/>
      <c r="F862" s="301"/>
      <c r="G862" s="301"/>
      <c r="H862" s="319"/>
      <c r="I862" s="18"/>
    </row>
    <row r="863" spans="3:9" ht="13.45" x14ac:dyDescent="0.25">
      <c r="C863" s="18"/>
      <c r="D863" s="18"/>
      <c r="E863" s="18"/>
      <c r="F863" s="301"/>
      <c r="G863" s="301"/>
      <c r="H863" s="319"/>
      <c r="I863" s="18"/>
    </row>
    <row r="864" spans="3:9" ht="13.45" x14ac:dyDescent="0.25">
      <c r="C864" s="18"/>
      <c r="D864" s="18"/>
      <c r="E864" s="18"/>
      <c r="F864" s="301"/>
      <c r="G864" s="301"/>
      <c r="H864" s="319"/>
      <c r="I864" s="18"/>
    </row>
    <row r="865" spans="3:9" ht="13.45" x14ac:dyDescent="0.25">
      <c r="C865" s="18"/>
      <c r="D865" s="18"/>
      <c r="E865" s="18"/>
      <c r="F865" s="301"/>
      <c r="G865" s="301"/>
      <c r="H865" s="319"/>
      <c r="I865" s="18"/>
    </row>
    <row r="866" spans="3:9" ht="13.45" x14ac:dyDescent="0.25">
      <c r="C866" s="18"/>
      <c r="D866" s="18"/>
      <c r="E866" s="18"/>
      <c r="F866" s="301"/>
      <c r="G866" s="301"/>
      <c r="H866" s="319"/>
      <c r="I866" s="18"/>
    </row>
    <row r="867" spans="3:9" ht="13.45" x14ac:dyDescent="0.25">
      <c r="C867" s="18"/>
      <c r="D867" s="18"/>
      <c r="E867" s="18"/>
      <c r="F867" s="301"/>
      <c r="G867" s="301"/>
      <c r="H867" s="319"/>
      <c r="I867" s="18"/>
    </row>
    <row r="868" spans="3:9" ht="13.45" x14ac:dyDescent="0.25">
      <c r="C868" s="18"/>
      <c r="D868" s="18"/>
      <c r="E868" s="18"/>
      <c r="F868" s="301"/>
      <c r="G868" s="301"/>
      <c r="H868" s="319"/>
      <c r="I868" s="18"/>
    </row>
    <row r="869" spans="3:9" ht="13.45" x14ac:dyDescent="0.25">
      <c r="C869" s="18"/>
      <c r="D869" s="18"/>
      <c r="E869" s="18"/>
      <c r="F869" s="301"/>
      <c r="G869" s="301"/>
      <c r="H869" s="319"/>
      <c r="I869" s="18"/>
    </row>
    <row r="870" spans="3:9" ht="13.45" x14ac:dyDescent="0.25">
      <c r="C870" s="18"/>
      <c r="D870" s="18"/>
      <c r="E870" s="18"/>
      <c r="F870" s="301"/>
      <c r="G870" s="301"/>
      <c r="H870" s="319"/>
      <c r="I870" s="18"/>
    </row>
    <row r="871" spans="3:9" ht="13.45" x14ac:dyDescent="0.25">
      <c r="C871" s="18"/>
      <c r="D871" s="18"/>
      <c r="E871" s="18"/>
      <c r="F871" s="301"/>
      <c r="G871" s="301"/>
      <c r="H871" s="319"/>
      <c r="I871" s="18"/>
    </row>
    <row r="872" spans="3:9" ht="13.45" x14ac:dyDescent="0.25">
      <c r="C872" s="18"/>
      <c r="D872" s="18"/>
      <c r="E872" s="18"/>
      <c r="F872" s="301"/>
      <c r="G872" s="301"/>
      <c r="H872" s="319"/>
      <c r="I872" s="18"/>
    </row>
    <row r="873" spans="3:9" ht="13.45" x14ac:dyDescent="0.25">
      <c r="C873" s="18"/>
      <c r="D873" s="18"/>
      <c r="E873" s="18"/>
      <c r="F873" s="301"/>
      <c r="G873" s="301"/>
      <c r="H873" s="319"/>
      <c r="I873" s="18"/>
    </row>
    <row r="874" spans="3:9" ht="13.45" x14ac:dyDescent="0.25">
      <c r="C874" s="18"/>
      <c r="D874" s="18"/>
      <c r="E874" s="18"/>
      <c r="F874" s="301"/>
      <c r="G874" s="301"/>
      <c r="H874" s="319"/>
      <c r="I874" s="18"/>
    </row>
    <row r="875" spans="3:9" ht="13.45" x14ac:dyDescent="0.25">
      <c r="C875" s="18"/>
      <c r="D875" s="18"/>
      <c r="E875" s="18"/>
      <c r="F875" s="301"/>
      <c r="G875" s="301"/>
      <c r="H875" s="319"/>
      <c r="I875" s="18"/>
    </row>
    <row r="876" spans="3:9" ht="13.45" x14ac:dyDescent="0.25">
      <c r="C876" s="18"/>
      <c r="D876" s="18"/>
      <c r="E876" s="18"/>
      <c r="F876" s="301"/>
      <c r="G876" s="301"/>
      <c r="H876" s="319"/>
      <c r="I876" s="18"/>
    </row>
    <row r="877" spans="3:9" ht="13.45" x14ac:dyDescent="0.25">
      <c r="C877" s="18"/>
      <c r="D877" s="18"/>
      <c r="E877" s="18"/>
      <c r="F877" s="301"/>
      <c r="G877" s="301"/>
      <c r="H877" s="319"/>
      <c r="I877" s="18"/>
    </row>
    <row r="878" spans="3:9" ht="13.45" x14ac:dyDescent="0.25">
      <c r="C878" s="18"/>
      <c r="D878" s="18"/>
      <c r="E878" s="18"/>
      <c r="F878" s="301"/>
      <c r="G878" s="301"/>
      <c r="H878" s="319"/>
      <c r="I878" s="18"/>
    </row>
    <row r="879" spans="3:9" ht="13.45" x14ac:dyDescent="0.25">
      <c r="C879" s="18"/>
      <c r="D879" s="18"/>
      <c r="E879" s="18"/>
      <c r="F879" s="301"/>
      <c r="G879" s="301"/>
      <c r="H879" s="319"/>
      <c r="I879" s="18"/>
    </row>
    <row r="880" spans="3:9" ht="13.45" x14ac:dyDescent="0.25">
      <c r="C880" s="18"/>
      <c r="D880" s="18"/>
      <c r="E880" s="18"/>
      <c r="F880" s="301"/>
      <c r="G880" s="301"/>
      <c r="H880" s="319"/>
      <c r="I880" s="18"/>
    </row>
    <row r="881" spans="3:9" ht="13.45" x14ac:dyDescent="0.25">
      <c r="C881" s="18"/>
      <c r="D881" s="18"/>
      <c r="E881" s="18"/>
      <c r="F881" s="301"/>
      <c r="G881" s="301"/>
      <c r="H881" s="319"/>
      <c r="I881" s="18"/>
    </row>
    <row r="882" spans="3:9" ht="13.45" x14ac:dyDescent="0.25">
      <c r="C882" s="18"/>
      <c r="D882" s="18"/>
      <c r="E882" s="18"/>
      <c r="F882" s="301"/>
      <c r="G882" s="301"/>
      <c r="H882" s="319"/>
      <c r="I882" s="18"/>
    </row>
    <row r="883" spans="3:9" ht="13.45" x14ac:dyDescent="0.25">
      <c r="C883" s="18"/>
      <c r="D883" s="18"/>
      <c r="E883" s="18"/>
      <c r="F883" s="301"/>
      <c r="G883" s="301"/>
      <c r="H883" s="319"/>
      <c r="I883" s="18"/>
    </row>
    <row r="884" spans="3:9" ht="13.45" x14ac:dyDescent="0.25">
      <c r="C884" s="18"/>
      <c r="D884" s="18"/>
      <c r="E884" s="18"/>
      <c r="F884" s="301"/>
      <c r="G884" s="301"/>
      <c r="H884" s="319"/>
      <c r="I884" s="18"/>
    </row>
    <row r="885" spans="3:9" ht="13.45" x14ac:dyDescent="0.25">
      <c r="C885" s="18"/>
      <c r="D885" s="18"/>
      <c r="E885" s="18"/>
      <c r="F885" s="301"/>
      <c r="G885" s="301"/>
      <c r="H885" s="319"/>
      <c r="I885" s="18"/>
    </row>
    <row r="886" spans="3:9" ht="13.45" x14ac:dyDescent="0.25">
      <c r="C886" s="18"/>
      <c r="D886" s="18"/>
      <c r="E886" s="18"/>
      <c r="F886" s="301"/>
      <c r="G886" s="301"/>
      <c r="H886" s="319"/>
      <c r="I886" s="18"/>
    </row>
    <row r="887" spans="3:9" ht="13.45" x14ac:dyDescent="0.25">
      <c r="C887" s="18"/>
      <c r="D887" s="18"/>
      <c r="E887" s="18"/>
      <c r="F887" s="301"/>
      <c r="G887" s="301"/>
      <c r="H887" s="319"/>
      <c r="I887" s="18"/>
    </row>
    <row r="888" spans="3:9" ht="13.45" x14ac:dyDescent="0.25">
      <c r="C888" s="18"/>
      <c r="D888" s="18"/>
      <c r="E888" s="18"/>
      <c r="F888" s="301"/>
      <c r="G888" s="301"/>
      <c r="H888" s="319"/>
      <c r="I888" s="18"/>
    </row>
    <row r="889" spans="3:9" ht="13.45" x14ac:dyDescent="0.25">
      <c r="C889" s="18"/>
      <c r="D889" s="18"/>
      <c r="E889" s="18"/>
      <c r="F889" s="301"/>
      <c r="G889" s="301"/>
      <c r="H889" s="319"/>
      <c r="I889" s="18"/>
    </row>
    <row r="890" spans="3:9" ht="13.45" x14ac:dyDescent="0.25">
      <c r="C890" s="18"/>
      <c r="D890" s="18"/>
      <c r="E890" s="18"/>
      <c r="F890" s="301"/>
      <c r="G890" s="301"/>
      <c r="H890" s="319"/>
      <c r="I890" s="18"/>
    </row>
    <row r="891" spans="3:9" ht="13.45" x14ac:dyDescent="0.25">
      <c r="C891" s="18"/>
      <c r="D891" s="18"/>
      <c r="E891" s="18"/>
      <c r="F891" s="301"/>
      <c r="G891" s="301"/>
      <c r="H891" s="319"/>
      <c r="I891" s="18"/>
    </row>
    <row r="892" spans="3:9" ht="13.45" x14ac:dyDescent="0.25">
      <c r="C892" s="18"/>
      <c r="D892" s="18"/>
      <c r="E892" s="18"/>
      <c r="F892" s="301"/>
      <c r="G892" s="301"/>
      <c r="H892" s="319"/>
      <c r="I892" s="18"/>
    </row>
    <row r="893" spans="3:9" ht="13.45" x14ac:dyDescent="0.25">
      <c r="C893" s="18"/>
      <c r="D893" s="18"/>
      <c r="E893" s="18"/>
      <c r="F893" s="301"/>
      <c r="G893" s="301"/>
      <c r="H893" s="319"/>
      <c r="I893" s="18"/>
    </row>
    <row r="894" spans="3:9" ht="13.45" x14ac:dyDescent="0.25">
      <c r="C894" s="18"/>
      <c r="D894" s="18"/>
      <c r="E894" s="18"/>
      <c r="F894" s="301"/>
      <c r="G894" s="301"/>
      <c r="H894" s="319"/>
      <c r="I894" s="18"/>
    </row>
    <row r="895" spans="3:9" ht="13.45" x14ac:dyDescent="0.25">
      <c r="C895" s="18"/>
      <c r="D895" s="18"/>
      <c r="E895" s="18"/>
      <c r="F895" s="301"/>
      <c r="G895" s="301"/>
      <c r="H895" s="319"/>
      <c r="I895" s="18"/>
    </row>
    <row r="896" spans="3:9" ht="13.45" x14ac:dyDescent="0.25">
      <c r="C896" s="18"/>
      <c r="D896" s="18"/>
      <c r="E896" s="18"/>
      <c r="F896" s="301"/>
      <c r="G896" s="301"/>
      <c r="H896" s="319"/>
      <c r="I896" s="18"/>
    </row>
    <row r="897" spans="3:9" ht="13.45" x14ac:dyDescent="0.25">
      <c r="C897" s="18"/>
      <c r="D897" s="18"/>
      <c r="E897" s="18"/>
      <c r="F897" s="301"/>
      <c r="G897" s="301"/>
      <c r="H897" s="319"/>
      <c r="I897" s="18"/>
    </row>
    <row r="898" spans="3:9" ht="13.45" x14ac:dyDescent="0.25">
      <c r="C898" s="18"/>
      <c r="D898" s="18"/>
      <c r="E898" s="18"/>
      <c r="F898" s="301"/>
      <c r="G898" s="301"/>
      <c r="H898" s="319"/>
      <c r="I898" s="18"/>
    </row>
    <row r="899" spans="3:9" ht="13.45" x14ac:dyDescent="0.25">
      <c r="C899" s="18"/>
      <c r="D899" s="18"/>
      <c r="E899" s="18"/>
      <c r="F899" s="301"/>
      <c r="G899" s="301"/>
      <c r="H899" s="319"/>
      <c r="I899" s="18"/>
    </row>
    <row r="900" spans="3:9" ht="13.45" x14ac:dyDescent="0.25">
      <c r="C900" s="18"/>
      <c r="D900" s="18"/>
      <c r="E900" s="18"/>
      <c r="F900" s="301"/>
      <c r="G900" s="301"/>
      <c r="H900" s="319"/>
      <c r="I900" s="18"/>
    </row>
    <row r="901" spans="3:9" ht="13.45" x14ac:dyDescent="0.25">
      <c r="C901" s="18"/>
      <c r="D901" s="18"/>
      <c r="E901" s="18"/>
      <c r="F901" s="301"/>
      <c r="G901" s="301"/>
      <c r="H901" s="319"/>
      <c r="I901" s="18"/>
    </row>
    <row r="902" spans="3:9" ht="13.45" x14ac:dyDescent="0.25">
      <c r="C902" s="18"/>
      <c r="D902" s="18"/>
      <c r="E902" s="18"/>
      <c r="F902" s="301"/>
      <c r="G902" s="301"/>
      <c r="H902" s="319"/>
      <c r="I902" s="18"/>
    </row>
    <row r="903" spans="3:9" ht="13.45" x14ac:dyDescent="0.25">
      <c r="C903" s="18"/>
      <c r="D903" s="18"/>
      <c r="E903" s="18"/>
      <c r="F903" s="301"/>
      <c r="G903" s="301"/>
      <c r="H903" s="319"/>
      <c r="I903" s="18"/>
    </row>
    <row r="904" spans="3:9" ht="13.45" x14ac:dyDescent="0.25">
      <c r="C904" s="18"/>
      <c r="D904" s="18"/>
      <c r="E904" s="18"/>
      <c r="F904" s="301"/>
      <c r="G904" s="301"/>
      <c r="H904" s="319"/>
      <c r="I904" s="18"/>
    </row>
    <row r="905" spans="3:9" ht="13.45" x14ac:dyDescent="0.25">
      <c r="C905" s="18"/>
      <c r="D905" s="18"/>
      <c r="E905" s="18"/>
      <c r="F905" s="301"/>
      <c r="G905" s="301"/>
      <c r="H905" s="319"/>
      <c r="I905" s="18"/>
    </row>
    <row r="906" spans="3:9" ht="13.45" x14ac:dyDescent="0.25">
      <c r="C906" s="18"/>
      <c r="D906" s="18"/>
      <c r="E906" s="18"/>
      <c r="F906" s="301"/>
      <c r="G906" s="301"/>
      <c r="H906" s="319"/>
      <c r="I906" s="18"/>
    </row>
    <row r="907" spans="3:9" ht="13.45" x14ac:dyDescent="0.25">
      <c r="C907" s="18"/>
      <c r="D907" s="18"/>
      <c r="E907" s="18"/>
      <c r="F907" s="301"/>
      <c r="G907" s="301"/>
      <c r="H907" s="319"/>
      <c r="I907" s="18"/>
    </row>
    <row r="908" spans="3:9" ht="13.45" x14ac:dyDescent="0.25">
      <c r="C908" s="18"/>
      <c r="D908" s="18"/>
      <c r="E908" s="18"/>
      <c r="F908" s="301"/>
      <c r="G908" s="301"/>
      <c r="H908" s="319"/>
      <c r="I908" s="18"/>
    </row>
    <row r="909" spans="3:9" ht="13.45" x14ac:dyDescent="0.25">
      <c r="C909" s="18"/>
      <c r="D909" s="18"/>
      <c r="E909" s="18"/>
      <c r="F909" s="301"/>
      <c r="G909" s="301"/>
      <c r="H909" s="319"/>
      <c r="I909" s="18"/>
    </row>
    <row r="910" spans="3:9" ht="13.45" x14ac:dyDescent="0.25">
      <c r="C910" s="18"/>
      <c r="D910" s="18"/>
      <c r="E910" s="18"/>
      <c r="F910" s="301"/>
      <c r="G910" s="301"/>
      <c r="H910" s="319"/>
      <c r="I910" s="18"/>
    </row>
    <row r="911" spans="3:9" ht="13.45" x14ac:dyDescent="0.25">
      <c r="C911" s="18"/>
      <c r="D911" s="18"/>
      <c r="E911" s="18"/>
      <c r="F911" s="301"/>
      <c r="G911" s="301"/>
      <c r="H911" s="319"/>
      <c r="I911" s="18"/>
    </row>
    <row r="912" spans="3:9" ht="13.45" x14ac:dyDescent="0.25">
      <c r="C912" s="18"/>
      <c r="D912" s="18"/>
      <c r="E912" s="18"/>
      <c r="F912" s="301"/>
      <c r="G912" s="301"/>
      <c r="H912" s="319"/>
      <c r="I912" s="18"/>
    </row>
    <row r="913" spans="3:9" ht="13.45" x14ac:dyDescent="0.25">
      <c r="C913" s="18"/>
      <c r="D913" s="18"/>
      <c r="E913" s="18"/>
      <c r="F913" s="301"/>
      <c r="G913" s="301"/>
      <c r="H913" s="319"/>
      <c r="I913" s="18"/>
    </row>
    <row r="914" spans="3:9" ht="13.45" x14ac:dyDescent="0.25">
      <c r="C914" s="18"/>
      <c r="D914" s="18"/>
      <c r="E914" s="18"/>
      <c r="F914" s="301"/>
      <c r="G914" s="301"/>
      <c r="H914" s="319"/>
      <c r="I914" s="18"/>
    </row>
    <row r="915" spans="3:9" ht="13.45" x14ac:dyDescent="0.25">
      <c r="C915" s="18"/>
      <c r="D915" s="18"/>
      <c r="E915" s="18"/>
      <c r="F915" s="301"/>
      <c r="G915" s="301"/>
      <c r="H915" s="319"/>
      <c r="I915" s="18"/>
    </row>
    <row r="916" spans="3:9" ht="13.45" x14ac:dyDescent="0.25">
      <c r="C916" s="18"/>
      <c r="D916" s="18"/>
      <c r="E916" s="18"/>
      <c r="F916" s="301"/>
      <c r="G916" s="301"/>
      <c r="H916" s="319"/>
      <c r="I916" s="18"/>
    </row>
    <row r="917" spans="3:9" ht="13.45" x14ac:dyDescent="0.25">
      <c r="C917" s="18"/>
      <c r="D917" s="18"/>
      <c r="E917" s="18"/>
      <c r="F917" s="301"/>
      <c r="G917" s="301"/>
      <c r="H917" s="319"/>
      <c r="I917" s="18"/>
    </row>
    <row r="918" spans="3:9" ht="13.45" x14ac:dyDescent="0.25">
      <c r="C918" s="18"/>
      <c r="D918" s="18"/>
      <c r="E918" s="18"/>
      <c r="F918" s="301"/>
      <c r="G918" s="301"/>
      <c r="H918" s="319"/>
      <c r="I918" s="18"/>
    </row>
    <row r="919" spans="3:9" ht="13.45" x14ac:dyDescent="0.25">
      <c r="C919" s="18"/>
      <c r="D919" s="18"/>
      <c r="E919" s="18"/>
      <c r="F919" s="301"/>
      <c r="G919" s="301"/>
      <c r="H919" s="319"/>
      <c r="I919" s="18"/>
    </row>
    <row r="920" spans="3:9" ht="13.45" x14ac:dyDescent="0.25">
      <c r="C920" s="18"/>
      <c r="D920" s="18"/>
      <c r="E920" s="18"/>
      <c r="F920" s="301"/>
      <c r="G920" s="301"/>
      <c r="H920" s="319"/>
      <c r="I920" s="18"/>
    </row>
    <row r="921" spans="3:9" ht="13.45" x14ac:dyDescent="0.25">
      <c r="C921" s="18"/>
      <c r="D921" s="18"/>
      <c r="E921" s="18"/>
      <c r="F921" s="301"/>
      <c r="G921" s="301"/>
      <c r="H921" s="319"/>
      <c r="I921" s="18"/>
    </row>
    <row r="922" spans="3:9" ht="13.45" x14ac:dyDescent="0.25">
      <c r="C922" s="18"/>
      <c r="D922" s="18"/>
      <c r="E922" s="18"/>
      <c r="F922" s="301"/>
      <c r="G922" s="301"/>
      <c r="H922" s="319"/>
      <c r="I922" s="18"/>
    </row>
    <row r="923" spans="3:9" ht="13.45" x14ac:dyDescent="0.25">
      <c r="C923" s="18"/>
      <c r="D923" s="18"/>
      <c r="E923" s="18"/>
      <c r="F923" s="301"/>
      <c r="G923" s="301"/>
      <c r="H923" s="319"/>
      <c r="I923" s="18"/>
    </row>
    <row r="924" spans="3:9" ht="13.45" x14ac:dyDescent="0.25">
      <c r="C924" s="18"/>
      <c r="D924" s="18"/>
      <c r="E924" s="18"/>
      <c r="F924" s="301"/>
      <c r="G924" s="301"/>
      <c r="H924" s="319"/>
      <c r="I924" s="18"/>
    </row>
    <row r="925" spans="3:9" ht="13.45" x14ac:dyDescent="0.25">
      <c r="C925" s="18"/>
      <c r="D925" s="18"/>
      <c r="E925" s="18"/>
      <c r="F925" s="301"/>
      <c r="G925" s="301"/>
      <c r="H925" s="319"/>
      <c r="I925" s="18"/>
    </row>
    <row r="926" spans="3:9" ht="13.45" x14ac:dyDescent="0.25">
      <c r="C926" s="18"/>
      <c r="D926" s="18"/>
      <c r="E926" s="18"/>
      <c r="F926" s="301"/>
      <c r="G926" s="301"/>
      <c r="H926" s="319"/>
      <c r="I926" s="18"/>
    </row>
    <row r="927" spans="3:9" ht="13.45" x14ac:dyDescent="0.25">
      <c r="C927" s="18"/>
      <c r="D927" s="18"/>
      <c r="E927" s="18"/>
      <c r="F927" s="301"/>
      <c r="G927" s="301"/>
      <c r="H927" s="319"/>
      <c r="I927" s="18"/>
    </row>
    <row r="928" spans="3:9" ht="13.45" x14ac:dyDescent="0.25">
      <c r="C928" s="18"/>
      <c r="D928" s="18"/>
      <c r="E928" s="18"/>
      <c r="F928" s="301"/>
      <c r="G928" s="301"/>
      <c r="H928" s="319"/>
      <c r="I928" s="18"/>
    </row>
    <row r="929" spans="3:9" ht="13.45" x14ac:dyDescent="0.25">
      <c r="C929" s="18"/>
      <c r="D929" s="18"/>
      <c r="E929" s="18"/>
      <c r="F929" s="301"/>
      <c r="G929" s="301"/>
      <c r="H929" s="319"/>
      <c r="I929" s="18"/>
    </row>
    <row r="930" spans="3:9" ht="13.45" x14ac:dyDescent="0.25">
      <c r="C930" s="18"/>
      <c r="D930" s="18"/>
      <c r="E930" s="18"/>
      <c r="F930" s="301"/>
      <c r="G930" s="301"/>
      <c r="H930" s="319"/>
      <c r="I930" s="18"/>
    </row>
    <row r="931" spans="3:9" ht="13.45" x14ac:dyDescent="0.25">
      <c r="C931" s="18"/>
      <c r="D931" s="18"/>
      <c r="E931" s="18"/>
      <c r="F931" s="301"/>
      <c r="G931" s="301"/>
      <c r="H931" s="319"/>
      <c r="I931" s="18"/>
    </row>
    <row r="932" spans="3:9" ht="13.45" x14ac:dyDescent="0.25">
      <c r="C932" s="18"/>
      <c r="D932" s="18"/>
      <c r="E932" s="18"/>
      <c r="F932" s="301"/>
      <c r="G932" s="301"/>
      <c r="H932" s="319"/>
      <c r="I932" s="18"/>
    </row>
    <row r="933" spans="3:9" ht="13.45" x14ac:dyDescent="0.25">
      <c r="C933" s="18"/>
      <c r="D933" s="18"/>
      <c r="E933" s="18"/>
      <c r="F933" s="301"/>
      <c r="G933" s="301"/>
      <c r="H933" s="319"/>
      <c r="I933" s="18"/>
    </row>
    <row r="934" spans="3:9" ht="13.45" x14ac:dyDescent="0.25">
      <c r="C934" s="18"/>
      <c r="D934" s="18"/>
      <c r="E934" s="18"/>
      <c r="F934" s="301"/>
      <c r="G934" s="301"/>
      <c r="H934" s="319"/>
      <c r="I934" s="18"/>
    </row>
    <row r="935" spans="3:9" ht="13.45" x14ac:dyDescent="0.25">
      <c r="C935" s="18"/>
      <c r="D935" s="18"/>
      <c r="E935" s="18"/>
      <c r="F935" s="301"/>
      <c r="G935" s="301"/>
      <c r="H935" s="319"/>
      <c r="I935" s="18"/>
    </row>
    <row r="936" spans="3:9" ht="13.45" x14ac:dyDescent="0.25">
      <c r="C936" s="18"/>
      <c r="D936" s="18"/>
      <c r="E936" s="18"/>
      <c r="F936" s="301"/>
      <c r="G936" s="301"/>
      <c r="H936" s="319"/>
      <c r="I936" s="18"/>
    </row>
    <row r="937" spans="3:9" ht="13.45" x14ac:dyDescent="0.25">
      <c r="C937" s="18"/>
      <c r="D937" s="18"/>
      <c r="E937" s="18"/>
      <c r="F937" s="301"/>
      <c r="G937" s="301"/>
      <c r="H937" s="319"/>
      <c r="I937" s="18"/>
    </row>
    <row r="938" spans="3:9" ht="13.45" x14ac:dyDescent="0.25">
      <c r="C938" s="18"/>
      <c r="D938" s="18"/>
      <c r="E938" s="18"/>
      <c r="F938" s="301"/>
      <c r="G938" s="301"/>
      <c r="H938" s="319"/>
      <c r="I938" s="18"/>
    </row>
    <row r="939" spans="3:9" ht="13.45" x14ac:dyDescent="0.25">
      <c r="C939" s="18"/>
      <c r="D939" s="18"/>
      <c r="E939" s="18"/>
      <c r="F939" s="301"/>
      <c r="G939" s="301"/>
      <c r="H939" s="319"/>
      <c r="I939" s="18"/>
    </row>
    <row r="940" spans="3:9" ht="13.45" x14ac:dyDescent="0.25">
      <c r="C940" s="18"/>
      <c r="D940" s="18"/>
      <c r="E940" s="18"/>
      <c r="F940" s="301"/>
      <c r="G940" s="301"/>
      <c r="H940" s="319"/>
      <c r="I940" s="18"/>
    </row>
    <row r="941" spans="3:9" ht="13.45" x14ac:dyDescent="0.25">
      <c r="C941" s="18"/>
      <c r="D941" s="18"/>
      <c r="E941" s="18"/>
      <c r="F941" s="301"/>
      <c r="G941" s="301"/>
      <c r="H941" s="319"/>
      <c r="I941" s="18"/>
    </row>
    <row r="942" spans="3:9" ht="13.45" x14ac:dyDescent="0.25">
      <c r="C942" s="18"/>
      <c r="D942" s="18"/>
      <c r="E942" s="18"/>
      <c r="F942" s="301"/>
      <c r="G942" s="301"/>
      <c r="H942" s="319"/>
      <c r="I942" s="18"/>
    </row>
    <row r="943" spans="3:9" ht="13.45" x14ac:dyDescent="0.25">
      <c r="C943" s="18"/>
      <c r="D943" s="18"/>
      <c r="E943" s="18"/>
      <c r="F943" s="301"/>
      <c r="G943" s="301"/>
      <c r="H943" s="319"/>
      <c r="I943" s="18"/>
    </row>
    <row r="944" spans="3:9" ht="13.45" x14ac:dyDescent="0.25">
      <c r="C944" s="18"/>
      <c r="D944" s="18"/>
      <c r="E944" s="18"/>
      <c r="F944" s="301"/>
      <c r="G944" s="301"/>
      <c r="H944" s="319"/>
      <c r="I944" s="18"/>
    </row>
    <row r="945" spans="3:9" ht="13.45" x14ac:dyDescent="0.25">
      <c r="C945" s="18"/>
      <c r="D945" s="18"/>
      <c r="E945" s="18"/>
      <c r="F945" s="301"/>
      <c r="G945" s="301"/>
      <c r="H945" s="319"/>
      <c r="I945" s="18"/>
    </row>
    <row r="946" spans="3:9" ht="13.45" x14ac:dyDescent="0.25">
      <c r="C946" s="18"/>
      <c r="D946" s="18"/>
      <c r="E946" s="18"/>
      <c r="F946" s="301"/>
      <c r="G946" s="301"/>
      <c r="H946" s="319"/>
      <c r="I946" s="18"/>
    </row>
    <row r="947" spans="3:9" ht="13.45" x14ac:dyDescent="0.25">
      <c r="C947" s="18"/>
      <c r="D947" s="18"/>
      <c r="E947" s="18"/>
      <c r="F947" s="301"/>
      <c r="G947" s="301"/>
      <c r="H947" s="319"/>
      <c r="I947" s="18"/>
    </row>
    <row r="948" spans="3:9" ht="13.45" x14ac:dyDescent="0.25">
      <c r="C948" s="18"/>
      <c r="D948" s="18"/>
      <c r="E948" s="18"/>
      <c r="F948" s="301"/>
      <c r="G948" s="301"/>
      <c r="H948" s="319"/>
      <c r="I948" s="18"/>
    </row>
    <row r="949" spans="3:9" ht="13.45" x14ac:dyDescent="0.25">
      <c r="C949" s="18"/>
      <c r="D949" s="18"/>
      <c r="E949" s="18"/>
      <c r="F949" s="301"/>
      <c r="G949" s="301"/>
      <c r="H949" s="319"/>
      <c r="I949" s="18"/>
    </row>
    <row r="950" spans="3:9" ht="13.45" x14ac:dyDescent="0.25">
      <c r="C950" s="18"/>
      <c r="D950" s="18"/>
      <c r="E950" s="18"/>
      <c r="F950" s="301"/>
      <c r="G950" s="301"/>
      <c r="H950" s="319"/>
      <c r="I950" s="18"/>
    </row>
    <row r="951" spans="3:9" ht="13.45" x14ac:dyDescent="0.25">
      <c r="C951" s="18"/>
      <c r="D951" s="18"/>
      <c r="E951" s="18"/>
      <c r="F951" s="301"/>
      <c r="G951" s="301"/>
      <c r="H951" s="319"/>
      <c r="I951" s="18"/>
    </row>
    <row r="952" spans="3:9" ht="13.45" x14ac:dyDescent="0.25">
      <c r="C952" s="18"/>
      <c r="D952" s="18"/>
      <c r="E952" s="18"/>
      <c r="F952" s="301"/>
      <c r="G952" s="301"/>
      <c r="H952" s="319"/>
      <c r="I952" s="18"/>
    </row>
    <row r="953" spans="3:9" ht="13.45" x14ac:dyDescent="0.25">
      <c r="C953" s="18"/>
      <c r="D953" s="18"/>
      <c r="E953" s="18"/>
      <c r="F953" s="301"/>
      <c r="G953" s="301"/>
      <c r="H953" s="319"/>
      <c r="I953" s="18"/>
    </row>
    <row r="954" spans="3:9" ht="13.45" x14ac:dyDescent="0.25">
      <c r="C954" s="18"/>
      <c r="D954" s="18"/>
      <c r="E954" s="18"/>
      <c r="F954" s="301"/>
      <c r="G954" s="301"/>
      <c r="H954" s="319"/>
      <c r="I954" s="18"/>
    </row>
    <row r="955" spans="3:9" ht="13.45" x14ac:dyDescent="0.25">
      <c r="C955" s="18"/>
      <c r="D955" s="18"/>
      <c r="E955" s="18"/>
      <c r="F955" s="301"/>
      <c r="G955" s="301"/>
      <c r="H955" s="319"/>
      <c r="I955" s="18"/>
    </row>
    <row r="956" spans="3:9" ht="13.45" x14ac:dyDescent="0.25">
      <c r="C956" s="18"/>
      <c r="D956" s="18"/>
      <c r="E956" s="18"/>
      <c r="F956" s="301"/>
      <c r="G956" s="301"/>
      <c r="H956" s="319"/>
      <c r="I956" s="18"/>
    </row>
    <row r="957" spans="3:9" ht="13.45" x14ac:dyDescent="0.25">
      <c r="C957" s="18"/>
      <c r="D957" s="18"/>
      <c r="E957" s="18"/>
      <c r="F957" s="301"/>
      <c r="G957" s="301"/>
      <c r="H957" s="319"/>
      <c r="I957" s="18"/>
    </row>
    <row r="958" spans="3:9" ht="13.45" x14ac:dyDescent="0.25">
      <c r="C958" s="18"/>
      <c r="D958" s="18"/>
      <c r="E958" s="18"/>
      <c r="F958" s="301"/>
      <c r="G958" s="301"/>
      <c r="H958" s="319"/>
      <c r="I958" s="18"/>
    </row>
    <row r="959" spans="3:9" ht="13.45" x14ac:dyDescent="0.25">
      <c r="C959" s="18"/>
      <c r="D959" s="18"/>
      <c r="E959" s="18"/>
      <c r="F959" s="301"/>
      <c r="G959" s="301"/>
      <c r="H959" s="319"/>
      <c r="I959" s="18"/>
    </row>
    <row r="960" spans="3:9" ht="13.45" x14ac:dyDescent="0.25">
      <c r="C960" s="18"/>
      <c r="D960" s="18"/>
      <c r="E960" s="18"/>
      <c r="F960" s="301"/>
      <c r="G960" s="301"/>
      <c r="H960" s="319"/>
      <c r="I960" s="18"/>
    </row>
    <row r="961" spans="3:9" ht="13.45" x14ac:dyDescent="0.25">
      <c r="C961" s="18"/>
      <c r="D961" s="18"/>
      <c r="E961" s="18"/>
      <c r="F961" s="301"/>
      <c r="G961" s="301"/>
      <c r="H961" s="319"/>
      <c r="I961" s="18"/>
    </row>
    <row r="962" spans="3:9" ht="13.45" x14ac:dyDescent="0.25">
      <c r="C962" s="18"/>
      <c r="D962" s="18"/>
      <c r="E962" s="18"/>
      <c r="F962" s="301"/>
      <c r="G962" s="301"/>
      <c r="H962" s="319"/>
      <c r="I962" s="18"/>
    </row>
    <row r="963" spans="3:9" ht="13.45" x14ac:dyDescent="0.25">
      <c r="C963" s="18"/>
      <c r="D963" s="18"/>
      <c r="E963" s="18"/>
      <c r="F963" s="301"/>
      <c r="G963" s="301"/>
      <c r="H963" s="319"/>
      <c r="I963" s="18"/>
    </row>
    <row r="964" spans="3:9" ht="13.45" x14ac:dyDescent="0.25">
      <c r="C964" s="18"/>
      <c r="D964" s="18"/>
      <c r="E964" s="18"/>
      <c r="F964" s="301"/>
      <c r="G964" s="301"/>
      <c r="H964" s="319"/>
      <c r="I964" s="18"/>
    </row>
    <row r="965" spans="3:9" ht="13.45" x14ac:dyDescent="0.25">
      <c r="C965" s="18"/>
      <c r="D965" s="18"/>
      <c r="E965" s="18"/>
      <c r="F965" s="301"/>
      <c r="G965" s="301"/>
      <c r="H965" s="319"/>
      <c r="I965" s="18"/>
    </row>
    <row r="966" spans="3:9" ht="13.45" x14ac:dyDescent="0.25">
      <c r="C966" s="18"/>
      <c r="D966" s="18"/>
      <c r="E966" s="18"/>
      <c r="F966" s="301"/>
      <c r="G966" s="301"/>
      <c r="H966" s="319"/>
      <c r="I966" s="18"/>
    </row>
    <row r="967" spans="3:9" ht="13.45" x14ac:dyDescent="0.25">
      <c r="C967" s="18"/>
      <c r="D967" s="18"/>
      <c r="E967" s="18"/>
      <c r="F967" s="301"/>
      <c r="G967" s="301"/>
      <c r="H967" s="319"/>
      <c r="I967" s="18"/>
    </row>
    <row r="968" spans="3:9" ht="13.45" x14ac:dyDescent="0.25">
      <c r="C968" s="18"/>
      <c r="D968" s="18"/>
      <c r="E968" s="18"/>
      <c r="F968" s="301"/>
      <c r="G968" s="301"/>
      <c r="H968" s="319"/>
      <c r="I968" s="18"/>
    </row>
    <row r="969" spans="3:9" ht="13.45" x14ac:dyDescent="0.25">
      <c r="C969" s="18"/>
      <c r="D969" s="18"/>
      <c r="E969" s="18"/>
      <c r="F969" s="301"/>
      <c r="G969" s="301"/>
      <c r="H969" s="319"/>
      <c r="I969" s="18"/>
    </row>
    <row r="970" spans="3:9" ht="13.45" x14ac:dyDescent="0.25">
      <c r="C970" s="18"/>
      <c r="D970" s="18"/>
      <c r="E970" s="18"/>
      <c r="F970" s="301"/>
      <c r="G970" s="301"/>
      <c r="H970" s="319"/>
      <c r="I970" s="18"/>
    </row>
    <row r="971" spans="3:9" ht="13.45" x14ac:dyDescent="0.25">
      <c r="C971" s="18"/>
      <c r="D971" s="18"/>
      <c r="E971" s="18"/>
      <c r="F971" s="301"/>
      <c r="G971" s="301"/>
      <c r="H971" s="319"/>
      <c r="I971" s="18"/>
    </row>
    <row r="972" spans="3:9" ht="13.45" x14ac:dyDescent="0.25">
      <c r="C972" s="18"/>
      <c r="D972" s="18"/>
      <c r="E972" s="18"/>
      <c r="F972" s="301"/>
      <c r="G972" s="301"/>
      <c r="H972" s="319"/>
      <c r="I972" s="18"/>
    </row>
    <row r="973" spans="3:9" ht="13.45" x14ac:dyDescent="0.25">
      <c r="C973" s="18"/>
      <c r="D973" s="18"/>
      <c r="E973" s="18"/>
      <c r="F973" s="301"/>
      <c r="G973" s="301"/>
      <c r="H973" s="319"/>
      <c r="I973" s="18"/>
    </row>
    <row r="974" spans="3:9" ht="13.45" x14ac:dyDescent="0.25">
      <c r="C974" s="18"/>
      <c r="D974" s="18"/>
      <c r="E974" s="18"/>
      <c r="F974" s="301"/>
      <c r="G974" s="301"/>
      <c r="H974" s="319"/>
      <c r="I974" s="18"/>
    </row>
    <row r="975" spans="3:9" ht="13.45" x14ac:dyDescent="0.25">
      <c r="C975" s="18"/>
      <c r="D975" s="18"/>
      <c r="E975" s="18"/>
      <c r="F975" s="301"/>
      <c r="G975" s="301"/>
      <c r="H975" s="319"/>
      <c r="I975" s="18"/>
    </row>
    <row r="976" spans="3:9" ht="13.45" x14ac:dyDescent="0.25">
      <c r="C976" s="18"/>
      <c r="D976" s="18"/>
      <c r="E976" s="18"/>
      <c r="F976" s="301"/>
      <c r="G976" s="301"/>
      <c r="H976" s="319"/>
      <c r="I976" s="18"/>
    </row>
    <row r="977" spans="3:9" ht="13.45" x14ac:dyDescent="0.25">
      <c r="C977" s="18"/>
      <c r="D977" s="18"/>
      <c r="E977" s="18"/>
      <c r="F977" s="301"/>
      <c r="G977" s="301"/>
      <c r="H977" s="319"/>
      <c r="I977" s="18"/>
    </row>
    <row r="978" spans="3:9" ht="13.45" x14ac:dyDescent="0.25">
      <c r="C978" s="18"/>
      <c r="D978" s="18"/>
      <c r="E978" s="18"/>
      <c r="F978" s="301"/>
      <c r="G978" s="301"/>
      <c r="H978" s="319"/>
      <c r="I978" s="18"/>
    </row>
    <row r="979" spans="3:9" ht="13.45" x14ac:dyDescent="0.25">
      <c r="C979" s="18"/>
      <c r="D979" s="18"/>
      <c r="E979" s="18"/>
      <c r="F979" s="301"/>
      <c r="G979" s="301"/>
      <c r="H979" s="319"/>
      <c r="I979" s="18"/>
    </row>
    <row r="980" spans="3:9" ht="13.45" x14ac:dyDescent="0.25">
      <c r="C980" s="18"/>
      <c r="D980" s="18"/>
      <c r="E980" s="18"/>
      <c r="F980" s="301"/>
      <c r="G980" s="301"/>
      <c r="H980" s="319"/>
      <c r="I980" s="18"/>
    </row>
    <row r="981" spans="3:9" ht="13.45" x14ac:dyDescent="0.25">
      <c r="C981" s="18"/>
      <c r="D981" s="18"/>
      <c r="E981" s="18"/>
      <c r="F981" s="301"/>
      <c r="G981" s="301"/>
      <c r="H981" s="319"/>
      <c r="I981" s="18"/>
    </row>
    <row r="982" spans="3:9" ht="13.45" x14ac:dyDescent="0.25">
      <c r="C982" s="18"/>
      <c r="D982" s="18"/>
      <c r="E982" s="18"/>
      <c r="F982" s="301"/>
      <c r="G982" s="301"/>
      <c r="H982" s="319"/>
      <c r="I982" s="18"/>
    </row>
    <row r="983" spans="3:9" ht="13.45" x14ac:dyDescent="0.25">
      <c r="C983" s="18"/>
      <c r="D983" s="18"/>
      <c r="E983" s="18"/>
      <c r="F983" s="301"/>
      <c r="G983" s="301"/>
      <c r="H983" s="319"/>
      <c r="I983" s="18"/>
    </row>
    <row r="984" spans="3:9" ht="13.45" x14ac:dyDescent="0.25">
      <c r="C984" s="18"/>
      <c r="D984" s="18"/>
      <c r="E984" s="18"/>
      <c r="F984" s="301"/>
      <c r="G984" s="301"/>
      <c r="H984" s="319"/>
      <c r="I984" s="18"/>
    </row>
    <row r="985" spans="3:9" ht="13.45" x14ac:dyDescent="0.25">
      <c r="C985" s="18"/>
      <c r="D985" s="18"/>
      <c r="E985" s="18"/>
      <c r="F985" s="301"/>
      <c r="G985" s="301"/>
      <c r="H985" s="319"/>
      <c r="I985" s="18"/>
    </row>
    <row r="986" spans="3:9" ht="13.45" x14ac:dyDescent="0.25">
      <c r="C986" s="18"/>
      <c r="D986" s="18"/>
      <c r="E986" s="18"/>
      <c r="F986" s="301"/>
      <c r="G986" s="301"/>
      <c r="H986" s="319"/>
      <c r="I986" s="18"/>
    </row>
    <row r="987" spans="3:9" ht="13.45" x14ac:dyDescent="0.25">
      <c r="C987" s="18"/>
      <c r="D987" s="18"/>
      <c r="E987" s="18"/>
      <c r="F987" s="301"/>
      <c r="G987" s="301"/>
      <c r="H987" s="319"/>
      <c r="I987" s="18"/>
    </row>
    <row r="988" spans="3:9" ht="13.45" x14ac:dyDescent="0.25">
      <c r="C988" s="18"/>
      <c r="D988" s="18"/>
      <c r="E988" s="18"/>
      <c r="F988" s="301"/>
      <c r="G988" s="301"/>
      <c r="H988" s="319"/>
      <c r="I988" s="18"/>
    </row>
    <row r="989" spans="3:9" ht="13.45" x14ac:dyDescent="0.25">
      <c r="C989" s="18"/>
      <c r="D989" s="18"/>
      <c r="E989" s="18"/>
      <c r="F989" s="301"/>
      <c r="G989" s="301"/>
      <c r="H989" s="319"/>
      <c r="I989" s="18"/>
    </row>
    <row r="990" spans="3:9" ht="13.45" x14ac:dyDescent="0.25">
      <c r="C990" s="18"/>
      <c r="D990" s="18"/>
      <c r="E990" s="18"/>
      <c r="F990" s="301"/>
      <c r="G990" s="301"/>
      <c r="H990" s="319"/>
      <c r="I990" s="18"/>
    </row>
    <row r="991" spans="3:9" ht="13.45" x14ac:dyDescent="0.25">
      <c r="C991" s="18"/>
      <c r="D991" s="18"/>
      <c r="E991" s="18"/>
      <c r="F991" s="301"/>
      <c r="G991" s="301"/>
      <c r="H991" s="319"/>
      <c r="I991" s="18"/>
    </row>
    <row r="992" spans="3:9" ht="13.45" x14ac:dyDescent="0.25">
      <c r="C992" s="18"/>
      <c r="D992" s="18"/>
      <c r="E992" s="18"/>
      <c r="F992" s="301"/>
      <c r="G992" s="301"/>
      <c r="H992" s="319"/>
      <c r="I992" s="18"/>
    </row>
    <row r="993" spans="3:9" ht="13.45" x14ac:dyDescent="0.25">
      <c r="C993" s="18"/>
      <c r="D993" s="18"/>
      <c r="E993" s="18"/>
      <c r="F993" s="301"/>
      <c r="G993" s="301"/>
      <c r="H993" s="319"/>
      <c r="I993" s="18"/>
    </row>
    <row r="994" spans="3:9" ht="13.45" x14ac:dyDescent="0.25">
      <c r="C994" s="18"/>
      <c r="D994" s="18"/>
      <c r="E994" s="18"/>
      <c r="F994" s="301"/>
      <c r="G994" s="301"/>
      <c r="H994" s="319"/>
      <c r="I994" s="18"/>
    </row>
    <row r="995" spans="3:9" ht="13.45" x14ac:dyDescent="0.25">
      <c r="C995" s="18"/>
      <c r="D995" s="18"/>
      <c r="E995" s="18"/>
      <c r="F995" s="301"/>
      <c r="G995" s="301"/>
      <c r="H995" s="319"/>
      <c r="I995" s="18"/>
    </row>
    <row r="996" spans="3:9" ht="13.45" x14ac:dyDescent="0.25">
      <c r="C996" s="18"/>
      <c r="D996" s="18"/>
      <c r="E996" s="18"/>
      <c r="F996" s="301"/>
      <c r="G996" s="301"/>
      <c r="H996" s="319"/>
      <c r="I996" s="18"/>
    </row>
    <row r="997" spans="3:9" ht="13.45" x14ac:dyDescent="0.25">
      <c r="C997" s="18"/>
      <c r="D997" s="18"/>
      <c r="E997" s="18"/>
      <c r="F997" s="301"/>
      <c r="G997" s="301"/>
      <c r="H997" s="319"/>
      <c r="I997" s="18"/>
    </row>
    <row r="998" spans="3:9" ht="13.45" x14ac:dyDescent="0.25">
      <c r="C998" s="18"/>
      <c r="D998" s="18"/>
      <c r="E998" s="18"/>
      <c r="F998" s="301"/>
      <c r="G998" s="301"/>
      <c r="H998" s="319"/>
      <c r="I998" s="18"/>
    </row>
  </sheetData>
  <autoFilter ref="C3:I20" xr:uid="{00000000-0009-0000-0000-000004000000}"/>
  <mergeCells count="2">
    <mergeCell ref="B64:E64"/>
    <mergeCell ref="B65:E65"/>
  </mergeCells>
  <dataValidations count="4">
    <dataValidation type="list" allowBlank="1" showInputMessage="1" showErrorMessage="1" prompt="Clique e insira um valor de a lista de itens" sqref="E4:E6 E8:E20" xr:uid="{00000000-0002-0000-0400-000000000000}">
      <formula1>"AJAJ,AJ-BIBLIOTECONOMIA,TJAA,AJAA,TJAS,AJOJ,AJEC,AJ-INFORMATICA,AJ-DESENVOLVIMENTO,TJ-INFORMÁTICA,AJ-INFRAESTRUTURA,AJ-MEDICINA,AJ-CONTADORIA,AJAE"</formula1>
      <formula2>0</formula2>
    </dataValidation>
    <dataValidation type="list" allowBlank="1" showInputMessage="1" showErrorMessage="1" prompt="Clique e insira um valor de a lista de itens" sqref="F4:F20" xr:uid="{00000000-0002-0000-0400-000001000000}">
      <formula1>"SECAD,NUJUD,NUGEP,NUFICOP,NIST,DTI,NI,NIAP,NUAUD,NEGI,DIRFORO"</formula1>
      <formula2>0</formula2>
    </dataValidation>
    <dataValidation type="list" allowBlank="1" showInputMessage="1" showErrorMessage="1" prompt="Clique e insira um valor de a lista de itens" sqref="I4:I14 I16:I20" xr:uid="{00000000-0002-0000-0400-000002000000}">
      <formula1>"EFETIVO,REQUISITADO,EX. PROVISÓRIO,REMOVIDO,SEM VÍNCULO,VAGO"</formula1>
      <formula2>0</formula2>
    </dataValidation>
    <dataValidation type="list" allowBlank="1" showInputMessage="1" showErrorMessage="1" prompt="Clique e insira um valor de a lista de itens" sqref="I15" xr:uid="{00000000-0002-0000-0400-000003000000}">
      <formula1>"EFETIVO,REQUISITADO,EX. PROVISÓRIO,REMOVIDO,SEM VÍNCULO,VAGO,PROVIDO,A SER PROVIDO"</formula1>
      <formula2>0</formula2>
    </dataValidation>
  </dataValidations>
  <pageMargins left="0.51180555555555596" right="0.51180555555555596" top="0.78749999999999998" bottom="0.78749999999999998" header="0.511811023622047" footer="0.511811023622047"/>
  <pageSetup orientation="landscape" horizontalDpi="300" verticalDpi="300"/>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W1001"/>
  <sheetViews>
    <sheetView showGridLines="0" topLeftCell="A3" zoomScale="60" zoomScaleNormal="60" workbookViewId="0">
      <pane ySplit="3" topLeftCell="A9" activePane="bottomLeft" state="frozen"/>
      <selection activeCell="A3" sqref="A3"/>
      <selection pane="bottomLeft" activeCell="I14" activeCellId="1" sqref="B9 I14"/>
    </sheetView>
  </sheetViews>
  <sheetFormatPr defaultColWidth="12.6328125" defaultRowHeight="14.25" customHeight="1" x14ac:dyDescent="0.25"/>
  <cols>
    <col min="1" max="1" width="12.6328125" style="338"/>
    <col min="2" max="2" width="8.7265625" style="338" customWidth="1"/>
    <col min="3" max="3" width="17" style="338" customWidth="1"/>
    <col min="4" max="4" width="9.90625" style="338" customWidth="1"/>
    <col min="5" max="5" width="7.26953125" style="338" customWidth="1"/>
    <col min="6" max="6" width="17.7265625" style="338" customWidth="1"/>
    <col min="7" max="7" width="0.26953125" style="338" customWidth="1"/>
    <col min="8" max="8" width="11.7265625" style="338" customWidth="1"/>
    <col min="9" max="9" width="9.36328125" style="338" customWidth="1"/>
    <col min="10" max="10" width="30.26953125" style="338" customWidth="1"/>
    <col min="11" max="11" width="25.08984375" style="338" customWidth="1"/>
    <col min="12" max="12" width="14.08984375" style="338" customWidth="1"/>
    <col min="13" max="13" width="15.36328125" style="338" hidden="1" customWidth="1"/>
    <col min="14" max="14" width="13.26953125" style="338" customWidth="1"/>
    <col min="15" max="15" width="19.7265625" style="338" customWidth="1"/>
    <col min="16" max="16" width="15.36328125" style="338" customWidth="1"/>
    <col min="17" max="17" width="31.26953125" style="338" customWidth="1"/>
    <col min="18" max="18" width="32.453125" style="338" customWidth="1"/>
    <col min="19" max="16384" width="12.6328125" style="338"/>
  </cols>
  <sheetData>
    <row r="1" spans="1:18" ht="13.45" hidden="1" x14ac:dyDescent="0.25">
      <c r="A1" s="339"/>
      <c r="I1" s="340"/>
      <c r="L1" s="341"/>
      <c r="R1" s="342"/>
    </row>
    <row r="2" spans="1:18" ht="13.45" hidden="1" x14ac:dyDescent="0.25">
      <c r="I2" s="340"/>
      <c r="L2" s="341"/>
      <c r="R2" s="342"/>
    </row>
    <row r="3" spans="1:18" ht="1.5" customHeight="1" x14ac:dyDescent="0.25">
      <c r="I3" s="340"/>
      <c r="L3" s="341"/>
      <c r="R3" s="342"/>
    </row>
    <row r="4" spans="1:18" ht="33.049999999999997" customHeight="1" x14ac:dyDescent="0.25">
      <c r="B4" s="343" t="s">
        <v>1021</v>
      </c>
      <c r="C4" s="344"/>
      <c r="D4" s="344"/>
      <c r="E4" s="344"/>
      <c r="F4" s="344"/>
      <c r="G4" s="344"/>
      <c r="H4" s="344"/>
      <c r="I4" s="344"/>
      <c r="J4" s="344"/>
      <c r="K4" s="344"/>
      <c r="L4" s="344"/>
      <c r="M4" s="344"/>
      <c r="N4" s="344"/>
      <c r="O4" s="344"/>
      <c r="P4" s="344"/>
      <c r="Q4" s="344"/>
      <c r="R4" s="345"/>
    </row>
    <row r="5" spans="1:18" ht="146.15" x14ac:dyDescent="0.25">
      <c r="B5" s="346" t="s">
        <v>1022</v>
      </c>
      <c r="C5" s="346" t="s">
        <v>1023</v>
      </c>
      <c r="D5" s="347" t="s">
        <v>1024</v>
      </c>
      <c r="E5" s="347" t="s">
        <v>1025</v>
      </c>
      <c r="F5" s="346" t="s">
        <v>1026</v>
      </c>
      <c r="G5" s="346" t="s">
        <v>1027</v>
      </c>
      <c r="H5" s="346" t="s">
        <v>1028</v>
      </c>
      <c r="I5" s="348" t="s">
        <v>1029</v>
      </c>
      <c r="J5" s="346" t="s">
        <v>1030</v>
      </c>
      <c r="K5" s="346" t="s">
        <v>1031</v>
      </c>
      <c r="L5" s="349" t="s">
        <v>1032</v>
      </c>
      <c r="M5" s="347" t="s">
        <v>1033</v>
      </c>
      <c r="N5" s="346" t="s">
        <v>1034</v>
      </c>
      <c r="O5" s="346" t="s">
        <v>1035</v>
      </c>
      <c r="P5" s="346" t="s">
        <v>1036</v>
      </c>
      <c r="Q5" s="346" t="s">
        <v>1037</v>
      </c>
      <c r="R5" s="346" t="s">
        <v>1038</v>
      </c>
    </row>
    <row r="6" spans="1:18" ht="119.3" customHeight="1" x14ac:dyDescent="0.25">
      <c r="B6" s="350">
        <v>1</v>
      </c>
      <c r="C6" s="351" t="s">
        <v>1039</v>
      </c>
      <c r="D6" s="351">
        <v>13</v>
      </c>
      <c r="E6" s="351">
        <f>(COUNTA('TR2'!$D$4:$D$17))-(COUNTIF('TR2'!$E$4:$E$17,"AJOJ"))</f>
        <v>11</v>
      </c>
      <c r="F6" s="351">
        <f>(COUNTIF('TR2'!$E$4:$E$18,"AJOJ"))</f>
        <v>0</v>
      </c>
      <c r="G6" s="351">
        <v>0</v>
      </c>
      <c r="H6" s="351"/>
      <c r="I6" s="352">
        <f t="shared" ref="I6:I28" si="0">E6/D6</f>
        <v>0.84615384615384615</v>
      </c>
      <c r="J6" s="351" t="s">
        <v>1040</v>
      </c>
      <c r="K6" s="351" t="s">
        <v>1041</v>
      </c>
      <c r="L6" s="353">
        <v>43832</v>
      </c>
      <c r="M6" s="353">
        <f t="shared" ref="M6:M28" ca="1" si="1">TODAY()</f>
        <v>45854</v>
      </c>
      <c r="N6" s="351">
        <f t="shared" ref="N6:N21" ca="1" si="2">M6-L6</f>
        <v>2022</v>
      </c>
      <c r="O6" s="351" t="s">
        <v>1042</v>
      </c>
      <c r="P6" s="351">
        <v>55</v>
      </c>
      <c r="Q6" s="351" t="s">
        <v>1043</v>
      </c>
      <c r="R6" s="354" t="s">
        <v>1044</v>
      </c>
    </row>
    <row r="7" spans="1:18" ht="76.599999999999994" customHeight="1" x14ac:dyDescent="0.25">
      <c r="B7" s="350">
        <v>2</v>
      </c>
      <c r="C7" s="351" t="s">
        <v>1045</v>
      </c>
      <c r="D7" s="351">
        <f>16</f>
        <v>16</v>
      </c>
      <c r="E7" s="351">
        <f>(COUNTA('26ªVara'!$D$4:$D$19))-(COUNTIF('26ªVara'!$E$4:$E$19,"AJOJ"))</f>
        <v>14</v>
      </c>
      <c r="F7" s="351">
        <f>(COUNTIF('26ªVara'!$E$4:$E$19,"AJOJ"))</f>
        <v>2</v>
      </c>
      <c r="G7" s="351">
        <v>0</v>
      </c>
      <c r="H7" s="351"/>
      <c r="I7" s="352">
        <f t="shared" si="0"/>
        <v>0.875</v>
      </c>
      <c r="J7" s="351" t="s">
        <v>1046</v>
      </c>
      <c r="K7" s="351" t="s">
        <v>1047</v>
      </c>
      <c r="L7" s="353">
        <v>43587</v>
      </c>
      <c r="M7" s="353">
        <f t="shared" ca="1" si="1"/>
        <v>45854</v>
      </c>
      <c r="N7" s="351">
        <f t="shared" ca="1" si="2"/>
        <v>2267</v>
      </c>
      <c r="O7" s="351" t="s">
        <v>1048</v>
      </c>
      <c r="P7" s="351">
        <v>49</v>
      </c>
      <c r="Q7" s="351" t="s">
        <v>1049</v>
      </c>
      <c r="R7" s="354" t="s">
        <v>1050</v>
      </c>
    </row>
    <row r="8" spans="1:18" ht="149.25" customHeight="1" x14ac:dyDescent="0.25">
      <c r="B8" s="350">
        <v>3</v>
      </c>
      <c r="C8" s="351" t="s">
        <v>1051</v>
      </c>
      <c r="D8" s="351">
        <v>16</v>
      </c>
      <c r="E8" s="351">
        <f>(COUNTA('10ªVara'!$D$4:$D$19))-(COUNTIF('10ªVara'!$E$4:$E$19,"AJOJ"))</f>
        <v>14</v>
      </c>
      <c r="F8" s="351">
        <f>(COUNTIF('10ªVara'!$E$4:$E$20,"AJOJ"))</f>
        <v>0</v>
      </c>
      <c r="G8" s="351">
        <v>0</v>
      </c>
      <c r="H8" s="351"/>
      <c r="I8" s="352">
        <f t="shared" si="0"/>
        <v>0.875</v>
      </c>
      <c r="J8" s="351" t="s">
        <v>1052</v>
      </c>
      <c r="K8" s="351" t="s">
        <v>1053</v>
      </c>
      <c r="L8" s="353">
        <v>44713</v>
      </c>
      <c r="M8" s="353">
        <f t="shared" ca="1" si="1"/>
        <v>45854</v>
      </c>
      <c r="N8" s="351">
        <f t="shared" ca="1" si="2"/>
        <v>1141</v>
      </c>
      <c r="O8" s="351" t="s">
        <v>1054</v>
      </c>
      <c r="P8" s="351">
        <v>20</v>
      </c>
      <c r="Q8" s="351" t="s">
        <v>1052</v>
      </c>
      <c r="R8" s="354" t="s">
        <v>1055</v>
      </c>
    </row>
    <row r="9" spans="1:18" ht="61.8" x14ac:dyDescent="0.25">
      <c r="B9" s="350">
        <v>4</v>
      </c>
      <c r="C9" s="351" t="s">
        <v>1056</v>
      </c>
      <c r="D9" s="351">
        <v>13</v>
      </c>
      <c r="E9" s="351">
        <f>(COUNTA('TR3'!$D$4:$D$22))-(COUNTIF('TR3'!$E$4:$E$22,"AJOJ"))</f>
        <v>12</v>
      </c>
      <c r="F9" s="351">
        <f>(COUNTIF('TR3'!$E$4:$E$22,"AJOJ"))</f>
        <v>0</v>
      </c>
      <c r="G9" s="355">
        <v>0</v>
      </c>
      <c r="H9" s="351"/>
      <c r="I9" s="352">
        <f t="shared" si="0"/>
        <v>0.92307692307692313</v>
      </c>
      <c r="J9" s="351" t="s">
        <v>1057</v>
      </c>
      <c r="K9" s="351" t="s">
        <v>1058</v>
      </c>
      <c r="L9" s="353">
        <v>44306</v>
      </c>
      <c r="M9" s="353">
        <f t="shared" ca="1" si="1"/>
        <v>45854</v>
      </c>
      <c r="N9" s="351">
        <f t="shared" ca="1" si="2"/>
        <v>1548</v>
      </c>
      <c r="O9" s="351" t="s">
        <v>1059</v>
      </c>
      <c r="P9" s="351">
        <v>57</v>
      </c>
      <c r="Q9" s="351" t="s">
        <v>1060</v>
      </c>
      <c r="R9" s="354" t="s">
        <v>1061</v>
      </c>
    </row>
    <row r="10" spans="1:18" ht="61.8" x14ac:dyDescent="0.25">
      <c r="B10" s="350">
        <v>5</v>
      </c>
      <c r="C10" s="351" t="s">
        <v>1062</v>
      </c>
      <c r="D10" s="351">
        <v>16</v>
      </c>
      <c r="E10" s="351">
        <f>(COUNTA('5ªVara'!$D$4:$D$19))-(COUNTIF('5ªVara'!$E$4:$E$19,"AJOJ"))</f>
        <v>15</v>
      </c>
      <c r="F10" s="351">
        <f>(COUNTIF('5ªVara'!$E$4:$E$48,"AJOJ"))</f>
        <v>0</v>
      </c>
      <c r="G10" s="351">
        <v>0</v>
      </c>
      <c r="H10" s="351"/>
      <c r="I10" s="352">
        <f t="shared" si="0"/>
        <v>0.9375</v>
      </c>
      <c r="J10" s="351" t="s">
        <v>1063</v>
      </c>
      <c r="K10" s="351" t="s">
        <v>1053</v>
      </c>
      <c r="L10" s="353">
        <v>44214</v>
      </c>
      <c r="M10" s="353">
        <f t="shared" ca="1" si="1"/>
        <v>45854</v>
      </c>
      <c r="N10" s="351">
        <f t="shared" ca="1" si="2"/>
        <v>1640</v>
      </c>
      <c r="O10" s="351" t="s">
        <v>1064</v>
      </c>
      <c r="P10" s="351">
        <v>15</v>
      </c>
      <c r="Q10" s="351" t="s">
        <v>1065</v>
      </c>
      <c r="R10" s="354" t="s">
        <v>1066</v>
      </c>
    </row>
    <row r="11" spans="1:18" ht="83.3" customHeight="1" x14ac:dyDescent="0.25">
      <c r="B11" s="350">
        <v>6</v>
      </c>
      <c r="C11" s="351" t="s">
        <v>1067</v>
      </c>
      <c r="D11" s="351">
        <v>16</v>
      </c>
      <c r="E11" s="351">
        <f>(COUNTA('11ªVara'!$D$4:$D$21))-(COUNTIF('11ªVara'!$E$4:$E$21,"AJOJ"))</f>
        <v>15</v>
      </c>
      <c r="F11" s="351">
        <f>(COUNTIF('11ªVara'!$E$4:$E$48,"AJOJ"))</f>
        <v>0</v>
      </c>
      <c r="G11" s="351">
        <v>0</v>
      </c>
      <c r="H11" s="351"/>
      <c r="I11" s="352">
        <f t="shared" si="0"/>
        <v>0.9375</v>
      </c>
      <c r="J11" s="351" t="s">
        <v>1068</v>
      </c>
      <c r="K11" s="351" t="s">
        <v>1069</v>
      </c>
      <c r="L11" s="353">
        <v>44592</v>
      </c>
      <c r="M11" s="353">
        <f t="shared" ca="1" si="1"/>
        <v>45854</v>
      </c>
      <c r="N11" s="351">
        <f t="shared" ca="1" si="2"/>
        <v>1262</v>
      </c>
      <c r="O11" s="351" t="s">
        <v>1070</v>
      </c>
      <c r="P11" s="351">
        <v>11</v>
      </c>
      <c r="Q11" s="351" t="s">
        <v>1068</v>
      </c>
      <c r="R11" s="354" t="s">
        <v>1071</v>
      </c>
    </row>
    <row r="12" spans="1:18" ht="81" customHeight="1" x14ac:dyDescent="0.25">
      <c r="B12" s="350">
        <v>7</v>
      </c>
      <c r="C12" s="351" t="s">
        <v>1072</v>
      </c>
      <c r="D12" s="351">
        <v>16</v>
      </c>
      <c r="E12" s="351">
        <f>(COUNTA('1ªVara'!$D$4:$D$28))-(COUNTIF('1ªVara'!$E$4:$E$28,"AJOJ"))</f>
        <v>15</v>
      </c>
      <c r="F12" s="351">
        <f>(COUNTIF('1ªVara'!$E$4:$E$57,"AJOJ"))</f>
        <v>0</v>
      </c>
      <c r="G12" s="351">
        <v>0</v>
      </c>
      <c r="H12" s="351"/>
      <c r="I12" s="352">
        <f t="shared" si="0"/>
        <v>0.9375</v>
      </c>
      <c r="J12" s="351" t="s">
        <v>1073</v>
      </c>
      <c r="K12" s="351" t="s">
        <v>1053</v>
      </c>
      <c r="L12" s="356">
        <v>44809</v>
      </c>
      <c r="M12" s="353">
        <f t="shared" ca="1" si="1"/>
        <v>45854</v>
      </c>
      <c r="N12" s="351">
        <f t="shared" ca="1" si="2"/>
        <v>1045</v>
      </c>
      <c r="O12" s="351" t="s">
        <v>1074</v>
      </c>
      <c r="P12" s="351">
        <v>16</v>
      </c>
      <c r="Q12" s="351" t="s">
        <v>1073</v>
      </c>
      <c r="R12" s="354" t="s">
        <v>1075</v>
      </c>
    </row>
    <row r="13" spans="1:18" ht="82.5" customHeight="1" x14ac:dyDescent="0.25">
      <c r="B13" s="350">
        <v>8</v>
      </c>
      <c r="C13" s="351" t="s">
        <v>1076</v>
      </c>
      <c r="D13" s="351">
        <f>16</f>
        <v>16</v>
      </c>
      <c r="E13" s="351">
        <f>(COUNTA('14ªVara'!$D$4:$D$21)-(COUNTIF('14ªVara'!$E$4:$E$21,"AJOJ")))</f>
        <v>15</v>
      </c>
      <c r="F13" s="351">
        <f>(COUNTIF('14ªVara'!$E$4:$E$48,"AJOJ"))</f>
        <v>2</v>
      </c>
      <c r="G13" s="351">
        <v>0</v>
      </c>
      <c r="H13" s="351"/>
      <c r="I13" s="352">
        <f t="shared" si="0"/>
        <v>0.9375</v>
      </c>
      <c r="J13" s="351" t="s">
        <v>1077</v>
      </c>
      <c r="K13" s="351" t="s">
        <v>1058</v>
      </c>
      <c r="L13" s="353">
        <v>44973</v>
      </c>
      <c r="M13" s="353">
        <f t="shared" ca="1" si="1"/>
        <v>45854</v>
      </c>
      <c r="N13" s="351">
        <f t="shared" ca="1" si="2"/>
        <v>881</v>
      </c>
      <c r="O13" s="351" t="s">
        <v>1078</v>
      </c>
      <c r="P13" s="351">
        <v>43</v>
      </c>
      <c r="Q13" s="351" t="s">
        <v>1077</v>
      </c>
      <c r="R13" s="354" t="s">
        <v>1079</v>
      </c>
    </row>
    <row r="14" spans="1:18" ht="122.25" customHeight="1" x14ac:dyDescent="0.25">
      <c r="B14" s="350">
        <v>9</v>
      </c>
      <c r="C14" s="351" t="s">
        <v>1080</v>
      </c>
      <c r="D14" s="351">
        <f>16</f>
        <v>16</v>
      </c>
      <c r="E14" s="351">
        <f>(COUNTA('28ªVara'!$D$4:$D$20))-((COUNTIF('28ªVara'!$E$4:$E$20,"AJOJ")))+1</f>
        <v>15</v>
      </c>
      <c r="F14" s="351">
        <f>(COUNTIF('28ªVara'!$E$4:$E$17,"AJOJ"))</f>
        <v>3</v>
      </c>
      <c r="G14" s="351">
        <v>0</v>
      </c>
      <c r="H14" s="351"/>
      <c r="I14" s="352">
        <f t="shared" si="0"/>
        <v>0.9375</v>
      </c>
      <c r="J14" s="351" t="s">
        <v>1081</v>
      </c>
      <c r="K14" s="351" t="s">
        <v>1058</v>
      </c>
      <c r="L14" s="353">
        <v>44974</v>
      </c>
      <c r="M14" s="353">
        <f t="shared" ca="1" si="1"/>
        <v>45854</v>
      </c>
      <c r="N14" s="351">
        <f t="shared" ca="1" si="2"/>
        <v>880</v>
      </c>
      <c r="O14" s="351" t="s">
        <v>1082</v>
      </c>
      <c r="P14" s="351">
        <v>86</v>
      </c>
      <c r="Q14" s="351" t="s">
        <v>1083</v>
      </c>
      <c r="R14" s="354" t="s">
        <v>1084</v>
      </c>
    </row>
    <row r="15" spans="1:18" ht="31.2" x14ac:dyDescent="0.25">
      <c r="B15" s="350">
        <v>10</v>
      </c>
      <c r="C15" s="351" t="s">
        <v>1085</v>
      </c>
      <c r="D15" s="351">
        <v>16</v>
      </c>
      <c r="E15" s="351">
        <f>(COUNTA('33ªVara'!$D$4:$D$20))-(COUNTIF('33ªVara'!$E$4:$E$20,"AJOJ"))</f>
        <v>15</v>
      </c>
      <c r="F15" s="351">
        <f>(COUNTIF('33ªVara'!$E$4:$E$48,"AJOJ"))</f>
        <v>0</v>
      </c>
      <c r="G15" s="351">
        <v>0</v>
      </c>
      <c r="H15" s="351"/>
      <c r="I15" s="352">
        <f t="shared" si="0"/>
        <v>0.9375</v>
      </c>
      <c r="J15" s="351" t="s">
        <v>1086</v>
      </c>
      <c r="K15" s="351" t="s">
        <v>1053</v>
      </c>
      <c r="L15" s="353">
        <v>45201</v>
      </c>
      <c r="M15" s="353">
        <f t="shared" ca="1" si="1"/>
        <v>45854</v>
      </c>
      <c r="N15" s="351">
        <f t="shared" ca="1" si="2"/>
        <v>653</v>
      </c>
      <c r="O15" s="351" t="s">
        <v>1087</v>
      </c>
      <c r="P15" s="351">
        <v>28</v>
      </c>
      <c r="Q15" s="351" t="s">
        <v>1086</v>
      </c>
      <c r="R15" s="354" t="s">
        <v>1088</v>
      </c>
    </row>
    <row r="16" spans="1:18" ht="15.6" x14ac:dyDescent="0.25">
      <c r="B16" s="350">
        <v>11</v>
      </c>
      <c r="C16" s="351" t="s">
        <v>1089</v>
      </c>
      <c r="D16" s="351">
        <f>16</f>
        <v>16</v>
      </c>
      <c r="E16" s="351">
        <f>(COUNTA('21ªVara'!$D$4:$D$20))-(COUNTIF('21ªVara'!$E$4:$E$20,"AJOJ"))</f>
        <v>15</v>
      </c>
      <c r="F16" s="351">
        <f>(COUNTIF('21ªVara'!$E$4:$E$47,"AJOJ"))</f>
        <v>2</v>
      </c>
      <c r="G16" s="351">
        <v>0</v>
      </c>
      <c r="H16" s="351"/>
      <c r="I16" s="352">
        <f t="shared" si="0"/>
        <v>0.9375</v>
      </c>
      <c r="J16" s="351" t="s">
        <v>1090</v>
      </c>
      <c r="K16" s="351" t="s">
        <v>1053</v>
      </c>
      <c r="L16" s="353">
        <v>45261</v>
      </c>
      <c r="M16" s="353">
        <f t="shared" ca="1" si="1"/>
        <v>45854</v>
      </c>
      <c r="N16" s="351">
        <f t="shared" ca="1" si="2"/>
        <v>593</v>
      </c>
      <c r="O16" s="351" t="s">
        <v>1091</v>
      </c>
      <c r="P16" s="351">
        <v>1</v>
      </c>
      <c r="Q16" s="351"/>
      <c r="R16" s="357"/>
    </row>
    <row r="17" spans="2:18" ht="49.45" x14ac:dyDescent="0.25">
      <c r="B17" s="350">
        <v>12</v>
      </c>
      <c r="C17" s="351" t="s">
        <v>1092</v>
      </c>
      <c r="D17" s="351">
        <v>16</v>
      </c>
      <c r="E17" s="351">
        <f>(COUNTA('2ªVara'!$D$4:$D$19))-(COUNTIF('2ªVara'!$E$4:$E$19,"AJOJ"))</f>
        <v>15</v>
      </c>
      <c r="F17" s="351">
        <f>(COUNTIF('2ªVara'!$E$4:$E$45,"AJOJ"))</f>
        <v>0</v>
      </c>
      <c r="G17" s="351">
        <v>0</v>
      </c>
      <c r="H17" s="351"/>
      <c r="I17" s="352">
        <f t="shared" si="0"/>
        <v>0.9375</v>
      </c>
      <c r="J17" s="351" t="s">
        <v>1093</v>
      </c>
      <c r="K17" s="351" t="s">
        <v>1053</v>
      </c>
      <c r="L17" s="353">
        <v>45275</v>
      </c>
      <c r="M17" s="353">
        <f t="shared" ca="1" si="1"/>
        <v>45854</v>
      </c>
      <c r="N17" s="351">
        <f t="shared" ca="1" si="2"/>
        <v>579</v>
      </c>
      <c r="O17" s="351" t="s">
        <v>1094</v>
      </c>
      <c r="P17" s="351">
        <v>14</v>
      </c>
      <c r="Q17" s="358" t="s">
        <v>1095</v>
      </c>
      <c r="R17" s="354" t="s">
        <v>1096</v>
      </c>
    </row>
    <row r="18" spans="2:18" ht="61.8" x14ac:dyDescent="0.25">
      <c r="B18" s="350">
        <v>13</v>
      </c>
      <c r="C18" s="351" t="s">
        <v>1097</v>
      </c>
      <c r="D18" s="351">
        <v>16</v>
      </c>
      <c r="E18" s="351">
        <f>(COUNTA('7ªVara'!$D$4:$D$20))-(COUNTIF('7ªVara'!$E$4:$E$20,"AJOJ"))</f>
        <v>15</v>
      </c>
      <c r="F18" s="351">
        <f>(COUNTIF('7ªVara'!$E$4:$E$48,"AJOJ"))</f>
        <v>0</v>
      </c>
      <c r="G18" s="351">
        <v>0</v>
      </c>
      <c r="H18" s="351"/>
      <c r="I18" s="352">
        <f t="shared" si="0"/>
        <v>0.9375</v>
      </c>
      <c r="J18" s="351" t="s">
        <v>1098</v>
      </c>
      <c r="K18" s="351" t="s">
        <v>1053</v>
      </c>
      <c r="L18" s="353">
        <v>45275</v>
      </c>
      <c r="M18" s="353">
        <f t="shared" ca="1" si="1"/>
        <v>45854</v>
      </c>
      <c r="N18" s="351">
        <f t="shared" ca="1" si="2"/>
        <v>579</v>
      </c>
      <c r="O18" s="351" t="s">
        <v>1099</v>
      </c>
      <c r="P18" s="351">
        <v>24</v>
      </c>
      <c r="Q18" s="351" t="s">
        <v>1100</v>
      </c>
      <c r="R18" s="354" t="s">
        <v>1101</v>
      </c>
    </row>
    <row r="19" spans="2:18" ht="55.9" x14ac:dyDescent="0.25">
      <c r="B19" s="350">
        <v>14</v>
      </c>
      <c r="C19" s="351" t="s">
        <v>1102</v>
      </c>
      <c r="D19" s="351">
        <v>16</v>
      </c>
      <c r="E19" s="351">
        <f>(COUNTA('32ªVara'!$D$4:$D$19))-(COUNTIF('32ªVara'!$E$4:$E$19,"AJOJ"))</f>
        <v>15</v>
      </c>
      <c r="F19" s="351">
        <f>(COUNTIF('32ªVara'!$E$4:$E$47,"AJOJ"))</f>
        <v>0</v>
      </c>
      <c r="G19" s="351">
        <v>0</v>
      </c>
      <c r="H19" s="351"/>
      <c r="I19" s="352">
        <f t="shared" si="0"/>
        <v>0.9375</v>
      </c>
      <c r="J19" s="351" t="s">
        <v>1103</v>
      </c>
      <c r="K19" s="351" t="s">
        <v>1053</v>
      </c>
      <c r="L19" s="353">
        <v>45275</v>
      </c>
      <c r="M19" s="353">
        <f t="shared" ca="1" si="1"/>
        <v>45854</v>
      </c>
      <c r="N19" s="351">
        <f t="shared" ca="1" si="2"/>
        <v>579</v>
      </c>
      <c r="O19" s="351" t="s">
        <v>1104</v>
      </c>
      <c r="P19" s="351">
        <v>38</v>
      </c>
      <c r="Q19" s="351" t="s">
        <v>1105</v>
      </c>
      <c r="R19" s="359" t="s">
        <v>1106</v>
      </c>
    </row>
    <row r="20" spans="2:18" ht="49.45" x14ac:dyDescent="0.25">
      <c r="B20" s="350">
        <v>15</v>
      </c>
      <c r="C20" s="351" t="s">
        <v>1107</v>
      </c>
      <c r="D20" s="351">
        <v>13</v>
      </c>
      <c r="E20" s="351">
        <f>(COUNTA('TR1'!$D$4:$D$22))-(COUNTIF('TR1'!$E$4:$E$22,"AJOJ"))</f>
        <v>13</v>
      </c>
      <c r="F20" s="351">
        <f>(COUNTIF('TR1'!$E$4:$E$23,"AJOJ"))</f>
        <v>0</v>
      </c>
      <c r="G20" s="351">
        <v>0</v>
      </c>
      <c r="H20" s="351"/>
      <c r="I20" s="352">
        <f t="shared" si="0"/>
        <v>1</v>
      </c>
      <c r="J20" s="351" t="s">
        <v>1108</v>
      </c>
      <c r="K20" s="351" t="s">
        <v>1109</v>
      </c>
      <c r="L20" s="353">
        <v>44319</v>
      </c>
      <c r="M20" s="353">
        <f t="shared" ca="1" si="1"/>
        <v>45854</v>
      </c>
      <c r="N20" s="351">
        <f t="shared" ca="1" si="2"/>
        <v>1535</v>
      </c>
      <c r="O20" s="351" t="s">
        <v>1110</v>
      </c>
      <c r="P20" s="351">
        <v>74</v>
      </c>
      <c r="Q20" s="351" t="s">
        <v>966</v>
      </c>
      <c r="R20" s="354" t="s">
        <v>1111</v>
      </c>
    </row>
    <row r="21" spans="2:18" ht="207.8" customHeight="1" x14ac:dyDescent="0.25">
      <c r="B21" s="350">
        <v>16</v>
      </c>
      <c r="C21" s="351" t="s">
        <v>1112</v>
      </c>
      <c r="D21" s="351">
        <v>16</v>
      </c>
      <c r="E21" s="351">
        <f>(COUNTA('4ªVara'!$D$4:$D$19))-(COUNTIF('4ªVara'!$E$4:$E$19,"AJOJ"))</f>
        <v>16</v>
      </c>
      <c r="F21" s="351">
        <f>(COUNTIF('4ªVara'!$E$4:$E$19,"AJOJ"))</f>
        <v>0</v>
      </c>
      <c r="G21" s="351">
        <v>0</v>
      </c>
      <c r="H21" s="351"/>
      <c r="I21" s="352">
        <f t="shared" si="0"/>
        <v>1</v>
      </c>
      <c r="J21" s="351" t="s">
        <v>1113</v>
      </c>
      <c r="K21" s="351" t="s">
        <v>1053</v>
      </c>
      <c r="L21" s="353">
        <v>45064</v>
      </c>
      <c r="M21" s="353">
        <f t="shared" ca="1" si="1"/>
        <v>45854</v>
      </c>
      <c r="N21" s="351">
        <f t="shared" ca="1" si="2"/>
        <v>790</v>
      </c>
      <c r="O21" s="351" t="s">
        <v>1114</v>
      </c>
      <c r="P21" s="351">
        <v>21</v>
      </c>
      <c r="Q21" s="351" t="s">
        <v>1115</v>
      </c>
      <c r="R21" s="354" t="s">
        <v>1116</v>
      </c>
    </row>
    <row r="22" spans="2:18" ht="15.6" x14ac:dyDescent="0.25">
      <c r="B22" s="350">
        <v>17</v>
      </c>
      <c r="C22" s="351" t="s">
        <v>1117</v>
      </c>
      <c r="D22" s="351">
        <v>16</v>
      </c>
      <c r="E22" s="351">
        <f>(COUNTA('8ªVara'!$D$4:$D$21))-(COUNTIF('8ªVara'!$E$4:$E$21,"AJOJ"))</f>
        <v>16</v>
      </c>
      <c r="F22" s="351">
        <f>(COUNTIF('3ªVara'!$E$4:$E$48,"AJOJ"))</f>
        <v>0</v>
      </c>
      <c r="G22" s="351">
        <v>0</v>
      </c>
      <c r="H22" s="351"/>
      <c r="I22" s="352">
        <f t="shared" si="0"/>
        <v>1</v>
      </c>
      <c r="J22" s="351"/>
      <c r="K22" s="351"/>
      <c r="L22" s="353"/>
      <c r="M22" s="353">
        <f t="shared" ca="1" si="1"/>
        <v>45854</v>
      </c>
      <c r="N22" s="351"/>
      <c r="O22" s="351" t="s">
        <v>1118</v>
      </c>
      <c r="P22" s="351">
        <v>19</v>
      </c>
      <c r="Q22" s="360"/>
      <c r="R22" s="359"/>
    </row>
    <row r="23" spans="2:18" ht="31.2" x14ac:dyDescent="0.25">
      <c r="B23" s="350">
        <v>18</v>
      </c>
      <c r="C23" s="351" t="s">
        <v>1119</v>
      </c>
      <c r="D23" s="351">
        <v>16</v>
      </c>
      <c r="E23" s="351">
        <f>(COUNTA('9ªVara'!$D$4:$D$29))-(COUNTIF('9ªVara'!$E$4:$E$29,"AJOJ"))</f>
        <v>16</v>
      </c>
      <c r="F23" s="351">
        <f>(COUNTIF('3ªVara'!$E$4:$E$48,"AJOJ"))</f>
        <v>0</v>
      </c>
      <c r="G23" s="351">
        <v>0</v>
      </c>
      <c r="H23" s="351"/>
      <c r="I23" s="352">
        <f t="shared" si="0"/>
        <v>1</v>
      </c>
      <c r="J23" s="351"/>
      <c r="K23" s="351"/>
      <c r="L23" s="353"/>
      <c r="M23" s="353">
        <f t="shared" ca="1" si="1"/>
        <v>45854</v>
      </c>
      <c r="N23" s="351"/>
      <c r="O23" s="351" t="s">
        <v>1120</v>
      </c>
      <c r="P23" s="351">
        <v>29</v>
      </c>
      <c r="Q23" s="351" t="s">
        <v>1083</v>
      </c>
      <c r="R23" s="359" t="s">
        <v>1121</v>
      </c>
    </row>
    <row r="24" spans="2:18" ht="15.6" x14ac:dyDescent="0.25">
      <c r="B24" s="350">
        <v>19</v>
      </c>
      <c r="C24" s="351" t="s">
        <v>1122</v>
      </c>
      <c r="D24" s="351">
        <v>16</v>
      </c>
      <c r="E24" s="351">
        <f>(COUNTA('12ªVara'!$D$3:$D$21))-(COUNTIF('12ªVara'!$E$3:$E$21,"AJOJ"))</f>
        <v>16</v>
      </c>
      <c r="F24" s="351">
        <f>(COUNTIF('3ªVara'!$E$4:$E$48,"AJOJ"))</f>
        <v>0</v>
      </c>
      <c r="G24" s="351">
        <v>0</v>
      </c>
      <c r="H24" s="351"/>
      <c r="I24" s="352">
        <f t="shared" si="0"/>
        <v>1</v>
      </c>
      <c r="J24" s="351"/>
      <c r="K24" s="351"/>
      <c r="L24" s="353"/>
      <c r="M24" s="353">
        <f t="shared" ca="1" si="1"/>
        <v>45854</v>
      </c>
      <c r="N24" s="351"/>
      <c r="O24" s="351" t="s">
        <v>1123</v>
      </c>
      <c r="P24" s="351">
        <v>33</v>
      </c>
      <c r="Q24" s="360"/>
      <c r="R24" s="359"/>
    </row>
    <row r="25" spans="2:18" ht="39.799999999999997" customHeight="1" x14ac:dyDescent="0.25">
      <c r="B25" s="350">
        <v>20</v>
      </c>
      <c r="C25" s="351" t="s">
        <v>1124</v>
      </c>
      <c r="D25" s="351">
        <v>16</v>
      </c>
      <c r="E25" s="351">
        <f>(COUNTA('6ªVara'!$D$4:$D$22))-(COUNTIF('6ªVara'!$E$4:$E$22,"AJOJ"))</f>
        <v>16</v>
      </c>
      <c r="F25" s="351">
        <f>(COUNTIF('3ªVara'!$E$4:$E$48,"AJOJ"))</f>
        <v>0</v>
      </c>
      <c r="G25" s="351">
        <v>0</v>
      </c>
      <c r="H25" s="351"/>
      <c r="I25" s="352">
        <f t="shared" si="0"/>
        <v>1</v>
      </c>
      <c r="J25" s="351"/>
      <c r="K25" s="351"/>
      <c r="L25" s="353"/>
      <c r="M25" s="353">
        <f t="shared" ca="1" si="1"/>
        <v>45854</v>
      </c>
      <c r="N25" s="351"/>
      <c r="O25" s="351" t="s">
        <v>1125</v>
      </c>
      <c r="P25" s="351">
        <v>34</v>
      </c>
      <c r="Q25" s="360"/>
      <c r="R25" s="359"/>
    </row>
    <row r="26" spans="2:18" ht="43.55" customHeight="1" x14ac:dyDescent="0.25">
      <c r="B26" s="350">
        <v>21</v>
      </c>
      <c r="C26" s="351" t="s">
        <v>1126</v>
      </c>
      <c r="D26" s="351">
        <v>16</v>
      </c>
      <c r="E26" s="351">
        <v>17</v>
      </c>
      <c r="F26" s="351">
        <f>(COUNTIF('3ªVara'!$E$4:$E$48,"AJOJ"))</f>
        <v>0</v>
      </c>
      <c r="G26" s="351">
        <v>0</v>
      </c>
      <c r="H26" s="351"/>
      <c r="I26" s="352">
        <f t="shared" si="0"/>
        <v>1.0625</v>
      </c>
      <c r="J26" s="351" t="s">
        <v>1057</v>
      </c>
      <c r="K26" s="351" t="s">
        <v>1047</v>
      </c>
      <c r="L26" s="353">
        <v>44749</v>
      </c>
      <c r="M26" s="353">
        <f t="shared" ca="1" si="1"/>
        <v>45854</v>
      </c>
      <c r="N26" s="351">
        <f ca="1">M26-L26</f>
        <v>1105</v>
      </c>
      <c r="O26" s="351" t="s">
        <v>1127</v>
      </c>
      <c r="P26" s="351">
        <v>26</v>
      </c>
      <c r="Q26" s="351" t="s">
        <v>1128</v>
      </c>
      <c r="R26" s="354" t="s">
        <v>1129</v>
      </c>
    </row>
    <row r="27" spans="2:18" ht="43.55" customHeight="1" x14ac:dyDescent="0.25">
      <c r="B27" s="350">
        <v>22</v>
      </c>
      <c r="C27" s="351" t="s">
        <v>1130</v>
      </c>
      <c r="D27" s="351">
        <v>16</v>
      </c>
      <c r="E27" s="351">
        <f>(COUNTA('20ªVara'!$D$4:$D$20))-(COUNTIF('20ªVara'!$E$4:$E$20,"AJOJ"))</f>
        <v>17</v>
      </c>
      <c r="F27" s="351">
        <f>(COUNTIF('20ªVara'!$E$4:$E$48,"AJOJ"))</f>
        <v>0</v>
      </c>
      <c r="G27" s="351">
        <v>0</v>
      </c>
      <c r="H27" s="351"/>
      <c r="I27" s="352">
        <f t="shared" si="0"/>
        <v>1.0625</v>
      </c>
      <c r="J27" s="351"/>
      <c r="K27" s="351"/>
      <c r="L27" s="353"/>
      <c r="M27" s="353">
        <f t="shared" ca="1" si="1"/>
        <v>45854</v>
      </c>
      <c r="N27" s="351"/>
      <c r="O27" s="351" t="s">
        <v>1131</v>
      </c>
      <c r="P27" s="351">
        <v>13</v>
      </c>
      <c r="Q27" s="351" t="s">
        <v>422</v>
      </c>
      <c r="R27" s="354" t="s">
        <v>1132</v>
      </c>
    </row>
    <row r="28" spans="2:18" ht="96.05" customHeight="1" x14ac:dyDescent="0.25">
      <c r="B28" s="350">
        <v>23</v>
      </c>
      <c r="C28" s="351" t="s">
        <v>1133</v>
      </c>
      <c r="D28" s="351">
        <f>16</f>
        <v>16</v>
      </c>
      <c r="E28" s="351">
        <f>(COUNTA('13ªVara'!$D$4:$D$18))-(COUNTIF('13ªVara'!$E$4:$E$18,"AJOJ"))+1</f>
        <v>15</v>
      </c>
      <c r="F28" s="351">
        <f>(COUNTIF('13ªVara'!$E$3:$E$17,"AJOJ"))</f>
        <v>2</v>
      </c>
      <c r="G28" s="361">
        <v>1</v>
      </c>
      <c r="H28" s="362" t="s">
        <v>1134</v>
      </c>
      <c r="I28" s="352">
        <f t="shared" si="0"/>
        <v>0.9375</v>
      </c>
      <c r="J28" s="351" t="s">
        <v>1135</v>
      </c>
      <c r="K28" s="351" t="s">
        <v>1058</v>
      </c>
      <c r="L28" s="353">
        <v>44970</v>
      </c>
      <c r="M28" s="353">
        <f t="shared" ca="1" si="1"/>
        <v>45854</v>
      </c>
      <c r="N28" s="351">
        <f ca="1">M28-L28</f>
        <v>884</v>
      </c>
      <c r="O28" s="351" t="s">
        <v>1136</v>
      </c>
      <c r="P28" s="351">
        <v>87</v>
      </c>
      <c r="Q28" s="351" t="s">
        <v>1137</v>
      </c>
      <c r="R28" s="354" t="s">
        <v>1138</v>
      </c>
    </row>
    <row r="29" spans="2:18" ht="14" x14ac:dyDescent="0.3">
      <c r="B29" s="363"/>
      <c r="C29" s="613" t="s">
        <v>1139</v>
      </c>
      <c r="D29" s="613"/>
      <c r="E29" s="613"/>
      <c r="F29" s="613"/>
      <c r="G29" s="613"/>
      <c r="H29" s="613"/>
      <c r="I29" s="613"/>
      <c r="J29" s="613"/>
      <c r="K29" s="613"/>
      <c r="L29" s="613"/>
      <c r="M29" s="613"/>
      <c r="N29" s="613"/>
      <c r="O29" s="613"/>
      <c r="P29" s="613"/>
      <c r="Q29" s="613"/>
      <c r="R29" s="613"/>
    </row>
    <row r="30" spans="2:18" ht="14" x14ac:dyDescent="0.3">
      <c r="B30" s="363"/>
      <c r="C30" s="363"/>
      <c r="D30" s="363"/>
      <c r="E30" s="364"/>
      <c r="F30" s="363"/>
      <c r="G30" s="363"/>
      <c r="H30" s="363"/>
      <c r="I30" s="365"/>
      <c r="J30" s="363"/>
      <c r="K30" s="363"/>
      <c r="L30" s="366"/>
      <c r="M30" s="363"/>
      <c r="N30" s="363"/>
      <c r="O30" s="363"/>
      <c r="P30" s="363"/>
      <c r="Q30" s="363"/>
      <c r="R30" s="367"/>
    </row>
    <row r="31" spans="2:18" ht="16.7" x14ac:dyDescent="0.35">
      <c r="B31" s="363"/>
      <c r="C31" s="363"/>
      <c r="D31" s="363"/>
      <c r="E31" s="368" t="s">
        <v>1140</v>
      </c>
      <c r="F31" s="368"/>
      <c r="G31" s="368"/>
      <c r="H31" s="368"/>
      <c r="I31" s="369"/>
      <c r="J31" s="368"/>
      <c r="K31" s="368"/>
      <c r="L31" s="370"/>
      <c r="M31" s="368"/>
      <c r="N31" s="371"/>
      <c r="O31" s="371"/>
      <c r="P31" s="371"/>
      <c r="Q31" s="371"/>
      <c r="R31" s="372"/>
    </row>
    <row r="32" spans="2:18" ht="16.7" x14ac:dyDescent="0.35">
      <c r="B32" s="363"/>
      <c r="C32" s="363"/>
      <c r="D32" s="363"/>
      <c r="E32" s="373" t="s">
        <v>1141</v>
      </c>
      <c r="F32" s="373"/>
      <c r="G32" s="373"/>
      <c r="H32" s="373"/>
      <c r="I32" s="374"/>
      <c r="J32" s="373"/>
      <c r="K32" s="373"/>
      <c r="L32" s="375"/>
      <c r="M32" s="371"/>
      <c r="N32" s="371"/>
      <c r="O32" s="371"/>
      <c r="P32" s="371"/>
      <c r="Q32" s="371"/>
      <c r="R32" s="372"/>
    </row>
    <row r="33" spans="2:18" ht="16.7" x14ac:dyDescent="0.35">
      <c r="B33" s="363"/>
      <c r="C33" s="363"/>
      <c r="D33" s="363"/>
      <c r="E33" s="373" t="s">
        <v>1142</v>
      </c>
      <c r="F33" s="373"/>
      <c r="G33" s="373"/>
      <c r="H33" s="373"/>
      <c r="I33" s="374"/>
      <c r="J33" s="373"/>
      <c r="K33" s="373"/>
      <c r="L33" s="376"/>
      <c r="M33" s="371"/>
      <c r="N33" s="371"/>
      <c r="O33" s="371"/>
      <c r="P33" s="371"/>
      <c r="Q33" s="371"/>
      <c r="R33" s="372"/>
    </row>
    <row r="34" spans="2:18" ht="18.8" x14ac:dyDescent="0.35">
      <c r="B34" s="363"/>
      <c r="C34" s="363"/>
      <c r="D34" s="363"/>
      <c r="E34" s="377" t="s">
        <v>1143</v>
      </c>
      <c r="F34" s="373"/>
      <c r="G34" s="373"/>
      <c r="H34" s="373"/>
      <c r="I34" s="374"/>
      <c r="J34" s="373"/>
      <c r="K34" s="373"/>
      <c r="L34" s="376"/>
      <c r="M34" s="371"/>
      <c r="N34" s="371"/>
      <c r="O34" s="371"/>
      <c r="P34" s="371"/>
      <c r="Q34" s="371"/>
      <c r="R34" s="372"/>
    </row>
    <row r="35" spans="2:18" ht="18.8" x14ac:dyDescent="0.35">
      <c r="B35" s="363"/>
      <c r="C35" s="363"/>
      <c r="D35" s="363"/>
      <c r="E35" s="377" t="s">
        <v>1144</v>
      </c>
      <c r="F35" s="373"/>
      <c r="G35" s="373"/>
      <c r="H35" s="373"/>
      <c r="I35" s="374"/>
      <c r="J35" s="373"/>
      <c r="K35" s="373"/>
      <c r="L35" s="375"/>
      <c r="M35" s="371"/>
      <c r="N35" s="371"/>
      <c r="O35" s="371"/>
      <c r="P35" s="371"/>
      <c r="Q35" s="371"/>
      <c r="R35" s="372"/>
    </row>
    <row r="36" spans="2:18" ht="18.8" x14ac:dyDescent="0.35">
      <c r="B36" s="363"/>
      <c r="C36" s="363"/>
      <c r="D36" s="363"/>
      <c r="E36" s="377" t="s">
        <v>1145</v>
      </c>
      <c r="F36" s="373"/>
      <c r="G36" s="373"/>
      <c r="H36" s="373"/>
      <c r="I36" s="378"/>
      <c r="J36" s="371"/>
      <c r="K36" s="371"/>
      <c r="L36" s="376"/>
      <c r="M36" s="371"/>
      <c r="N36" s="371"/>
      <c r="O36" s="371"/>
      <c r="P36" s="371"/>
      <c r="Q36" s="371"/>
      <c r="R36" s="372"/>
    </row>
    <row r="37" spans="2:18" ht="18.8" x14ac:dyDescent="0.35">
      <c r="B37" s="363"/>
      <c r="C37" s="363"/>
      <c r="D37" s="363"/>
      <c r="E37" s="377" t="s">
        <v>1146</v>
      </c>
      <c r="F37" s="371"/>
      <c r="G37" s="371"/>
      <c r="H37" s="371"/>
      <c r="I37" s="378"/>
      <c r="J37" s="371"/>
      <c r="K37" s="371"/>
      <c r="L37" s="376"/>
      <c r="M37" s="371"/>
      <c r="N37" s="371"/>
      <c r="O37" s="371"/>
      <c r="P37" s="371"/>
      <c r="Q37" s="371"/>
      <c r="R37" s="372"/>
    </row>
    <row r="38" spans="2:18" ht="18.8" x14ac:dyDescent="0.35">
      <c r="B38" s="363"/>
      <c r="C38" s="363"/>
      <c r="D38" s="363"/>
      <c r="E38" s="377" t="s">
        <v>1147</v>
      </c>
      <c r="F38" s="373"/>
      <c r="G38" s="373"/>
      <c r="H38" s="373"/>
      <c r="I38" s="374"/>
      <c r="J38" s="371"/>
      <c r="K38" s="371"/>
      <c r="L38" s="376"/>
      <c r="M38" s="371"/>
      <c r="N38" s="371"/>
      <c r="O38" s="371"/>
      <c r="P38" s="371"/>
      <c r="Q38" s="371"/>
      <c r="R38" s="372"/>
    </row>
    <row r="39" spans="2:18" ht="18.8" x14ac:dyDescent="0.35">
      <c r="B39" s="363"/>
      <c r="C39" s="363"/>
      <c r="D39" s="363"/>
      <c r="E39" s="377" t="s">
        <v>1148</v>
      </c>
      <c r="F39" s="373"/>
      <c r="G39" s="373"/>
      <c r="H39" s="373"/>
      <c r="I39" s="374"/>
      <c r="J39" s="371"/>
      <c r="K39" s="371"/>
      <c r="L39" s="376"/>
      <c r="M39" s="371"/>
      <c r="N39" s="371"/>
      <c r="O39" s="371"/>
      <c r="P39" s="371"/>
      <c r="Q39" s="371"/>
      <c r="R39" s="372"/>
    </row>
    <row r="40" spans="2:18" ht="16.7" x14ac:dyDescent="0.35">
      <c r="B40" s="363"/>
      <c r="C40" s="363"/>
      <c r="D40" s="363"/>
      <c r="E40" s="373" t="s">
        <v>1149</v>
      </c>
      <c r="F40" s="373"/>
      <c r="G40" s="373"/>
      <c r="H40" s="373"/>
      <c r="I40" s="374"/>
      <c r="J40" s="371"/>
      <c r="K40" s="371"/>
      <c r="L40" s="376"/>
      <c r="M40" s="371"/>
      <c r="N40" s="371"/>
      <c r="O40" s="371"/>
      <c r="P40" s="371"/>
      <c r="Q40" s="371"/>
      <c r="R40" s="372"/>
    </row>
    <row r="41" spans="2:18" ht="18.8" x14ac:dyDescent="0.35">
      <c r="B41" s="363"/>
      <c r="C41" s="363"/>
      <c r="D41" s="363"/>
      <c r="E41" s="377" t="s">
        <v>1150</v>
      </c>
      <c r="F41" s="373"/>
      <c r="G41" s="373"/>
      <c r="H41" s="373"/>
      <c r="I41" s="378"/>
      <c r="J41" s="371"/>
      <c r="K41" s="371"/>
      <c r="L41" s="376"/>
      <c r="M41" s="371"/>
      <c r="N41" s="371"/>
      <c r="O41" s="371"/>
      <c r="P41" s="371"/>
      <c r="Q41" s="371"/>
      <c r="R41" s="372"/>
    </row>
    <row r="42" spans="2:18" ht="16.7" x14ac:dyDescent="0.35">
      <c r="B42" s="363"/>
      <c r="C42" s="363"/>
      <c r="D42" s="363"/>
      <c r="E42" s="373" t="s">
        <v>1151</v>
      </c>
      <c r="F42" s="373"/>
      <c r="G42" s="373"/>
      <c r="H42" s="373"/>
      <c r="I42" s="378"/>
      <c r="J42" s="371"/>
      <c r="K42" s="371"/>
      <c r="L42" s="376"/>
      <c r="M42" s="371"/>
      <c r="N42" s="371"/>
      <c r="O42" s="371"/>
      <c r="P42" s="371"/>
      <c r="Q42" s="371"/>
      <c r="R42" s="372"/>
    </row>
    <row r="43" spans="2:18" ht="16.7" x14ac:dyDescent="0.35">
      <c r="B43" s="363"/>
      <c r="C43" s="363"/>
      <c r="D43" s="363"/>
      <c r="E43" s="373" t="s">
        <v>1152</v>
      </c>
      <c r="F43" s="373"/>
      <c r="G43" s="373"/>
      <c r="H43" s="373"/>
      <c r="I43" s="378"/>
      <c r="J43" s="371"/>
      <c r="K43" s="371"/>
      <c r="L43" s="376"/>
      <c r="M43" s="371"/>
      <c r="N43" s="371"/>
      <c r="O43" s="371"/>
      <c r="P43" s="371"/>
      <c r="Q43" s="371"/>
      <c r="R43" s="372"/>
    </row>
    <row r="44" spans="2:18" ht="16.7" x14ac:dyDescent="0.35">
      <c r="B44" s="363"/>
      <c r="C44" s="363"/>
      <c r="D44" s="363"/>
      <c r="E44" s="373" t="s">
        <v>1153</v>
      </c>
      <c r="F44" s="373"/>
      <c r="G44" s="373"/>
      <c r="H44" s="373"/>
      <c r="I44" s="378"/>
      <c r="J44" s="371"/>
      <c r="K44" s="371"/>
      <c r="L44" s="376"/>
      <c r="M44" s="371"/>
      <c r="N44" s="371"/>
      <c r="O44" s="371"/>
      <c r="P44" s="371"/>
      <c r="Q44" s="371"/>
      <c r="R44" s="372"/>
    </row>
    <row r="45" spans="2:18" ht="18.8" x14ac:dyDescent="0.35">
      <c r="B45" s="363"/>
      <c r="C45" s="363"/>
      <c r="D45" s="363"/>
      <c r="E45" s="377" t="s">
        <v>1154</v>
      </c>
      <c r="F45" s="371"/>
      <c r="G45" s="371"/>
      <c r="H45" s="371"/>
      <c r="I45" s="378"/>
      <c r="J45" s="371"/>
      <c r="K45" s="371"/>
      <c r="L45" s="376"/>
      <c r="M45" s="371"/>
      <c r="N45" s="371"/>
      <c r="O45" s="371"/>
      <c r="P45" s="371"/>
      <c r="Q45" s="371"/>
      <c r="R45" s="372"/>
    </row>
    <row r="46" spans="2:18" ht="18.8" x14ac:dyDescent="0.35">
      <c r="B46" s="363"/>
      <c r="C46" s="363"/>
      <c r="D46" s="363"/>
      <c r="E46" s="377" t="s">
        <v>1155</v>
      </c>
      <c r="F46" s="371"/>
      <c r="G46" s="371"/>
      <c r="H46" s="371"/>
      <c r="I46" s="378"/>
      <c r="J46" s="371"/>
      <c r="K46" s="371"/>
      <c r="L46" s="376"/>
      <c r="M46" s="371"/>
      <c r="N46" s="371"/>
      <c r="O46" s="371"/>
      <c r="P46" s="371"/>
      <c r="Q46" s="371"/>
      <c r="R46" s="372"/>
    </row>
    <row r="47" spans="2:18" ht="16.7" x14ac:dyDescent="0.35">
      <c r="B47" s="363"/>
      <c r="C47" s="363"/>
      <c r="D47" s="363"/>
      <c r="E47" s="373" t="s">
        <v>1156</v>
      </c>
      <c r="F47" s="371"/>
      <c r="G47" s="371"/>
      <c r="H47" s="371"/>
      <c r="I47" s="378"/>
      <c r="J47" s="371"/>
      <c r="K47" s="371"/>
      <c r="L47" s="376"/>
      <c r="M47" s="371"/>
      <c r="N47" s="371"/>
      <c r="O47" s="371"/>
      <c r="P47" s="371"/>
      <c r="Q47" s="371"/>
      <c r="R47" s="372"/>
    </row>
    <row r="48" spans="2:18" ht="16.7" x14ac:dyDescent="0.35">
      <c r="B48" s="363"/>
      <c r="C48" s="363"/>
      <c r="D48" s="363"/>
      <c r="E48" s="373" t="s">
        <v>1157</v>
      </c>
      <c r="F48" s="373"/>
      <c r="G48" s="373"/>
      <c r="H48" s="373"/>
      <c r="I48" s="374"/>
      <c r="J48" s="371"/>
      <c r="K48" s="371"/>
      <c r="L48" s="376"/>
      <c r="M48" s="371"/>
      <c r="N48" s="371"/>
      <c r="O48" s="371"/>
      <c r="P48" s="371"/>
      <c r="Q48" s="371"/>
      <c r="R48" s="372"/>
    </row>
    <row r="49" spans="2:18" ht="16.7" x14ac:dyDescent="0.35">
      <c r="B49" s="363"/>
      <c r="C49" s="363"/>
      <c r="D49" s="363"/>
      <c r="E49" s="373" t="s">
        <v>1158</v>
      </c>
      <c r="F49" s="373"/>
      <c r="G49" s="373"/>
      <c r="H49" s="373"/>
      <c r="I49" s="378"/>
      <c r="J49" s="371"/>
      <c r="K49" s="371"/>
      <c r="L49" s="376"/>
      <c r="M49" s="371"/>
      <c r="N49" s="371"/>
      <c r="O49" s="371"/>
      <c r="P49" s="371"/>
      <c r="Q49" s="371"/>
      <c r="R49" s="372"/>
    </row>
    <row r="50" spans="2:18" ht="18.8" x14ac:dyDescent="0.35">
      <c r="B50" s="363"/>
      <c r="C50" s="363"/>
      <c r="D50" s="363"/>
      <c r="E50" s="377" t="s">
        <v>1159</v>
      </c>
      <c r="F50" s="371"/>
      <c r="G50" s="371"/>
      <c r="H50" s="371"/>
      <c r="I50" s="378"/>
      <c r="J50" s="371"/>
      <c r="K50" s="371"/>
      <c r="L50" s="376"/>
      <c r="M50" s="371"/>
      <c r="N50" s="371"/>
      <c r="O50" s="371"/>
      <c r="P50" s="371"/>
      <c r="Q50" s="371"/>
      <c r="R50" s="372"/>
    </row>
    <row r="51" spans="2:18" ht="16.7" x14ac:dyDescent="0.35">
      <c r="B51" s="363"/>
      <c r="C51" s="363"/>
      <c r="D51" s="363"/>
      <c r="E51" s="373" t="s">
        <v>1160</v>
      </c>
      <c r="F51" s="373"/>
      <c r="G51" s="373"/>
      <c r="H51" s="373"/>
      <c r="I51" s="378"/>
      <c r="J51" s="371"/>
      <c r="K51" s="371"/>
      <c r="L51" s="376"/>
      <c r="M51" s="371"/>
      <c r="N51" s="371"/>
      <c r="O51" s="371"/>
      <c r="P51" s="371"/>
      <c r="Q51" s="371"/>
      <c r="R51" s="372"/>
    </row>
    <row r="52" spans="2:18" ht="18.8" x14ac:dyDescent="0.35">
      <c r="B52" s="363"/>
      <c r="C52" s="363"/>
      <c r="D52" s="363"/>
      <c r="E52" s="377" t="s">
        <v>1161</v>
      </c>
      <c r="F52" s="373"/>
      <c r="G52" s="373"/>
      <c r="H52" s="373"/>
      <c r="I52" s="374"/>
      <c r="J52" s="371"/>
      <c r="K52" s="371"/>
      <c r="L52" s="376"/>
      <c r="M52" s="371"/>
      <c r="N52" s="371"/>
      <c r="O52" s="371"/>
      <c r="P52" s="371"/>
      <c r="Q52" s="371"/>
      <c r="R52" s="372"/>
    </row>
    <row r="53" spans="2:18" ht="18.8" x14ac:dyDescent="0.35">
      <c r="B53" s="363"/>
      <c r="C53" s="363"/>
      <c r="D53" s="363"/>
      <c r="E53" s="377" t="s">
        <v>1162</v>
      </c>
      <c r="F53" s="373"/>
      <c r="G53" s="373"/>
      <c r="H53" s="373"/>
      <c r="I53" s="378"/>
      <c r="J53" s="371"/>
      <c r="K53" s="371"/>
      <c r="L53" s="376"/>
      <c r="M53" s="371"/>
      <c r="N53" s="371"/>
      <c r="O53" s="371"/>
      <c r="P53" s="371"/>
      <c r="Q53" s="371"/>
      <c r="R53" s="372"/>
    </row>
    <row r="54" spans="2:18" ht="18.8" x14ac:dyDescent="0.35">
      <c r="B54" s="363"/>
      <c r="C54" s="363"/>
      <c r="D54" s="363"/>
      <c r="E54" s="377" t="s">
        <v>1163</v>
      </c>
      <c r="F54" s="373"/>
      <c r="G54" s="373"/>
      <c r="H54" s="373"/>
      <c r="I54" s="378"/>
      <c r="J54" s="371"/>
      <c r="K54" s="371"/>
      <c r="L54" s="376"/>
      <c r="M54" s="371"/>
      <c r="N54" s="371"/>
      <c r="O54" s="371"/>
      <c r="P54" s="371"/>
      <c r="Q54" s="371"/>
      <c r="R54" s="372"/>
    </row>
    <row r="55" spans="2:18" ht="18.8" x14ac:dyDescent="0.35">
      <c r="B55" s="363"/>
      <c r="C55" s="363"/>
      <c r="D55" s="363"/>
      <c r="E55" s="377" t="s">
        <v>1164</v>
      </c>
      <c r="F55" s="373"/>
      <c r="G55" s="373"/>
      <c r="H55" s="373"/>
      <c r="I55" s="374"/>
      <c r="J55" s="371"/>
      <c r="K55" s="371"/>
      <c r="L55" s="376"/>
      <c r="M55" s="371"/>
      <c r="N55" s="371"/>
      <c r="O55" s="371"/>
      <c r="P55" s="371"/>
      <c r="Q55" s="371"/>
      <c r="R55" s="372"/>
    </row>
    <row r="56" spans="2:18" ht="18.8" x14ac:dyDescent="0.35">
      <c r="B56" s="363"/>
      <c r="C56" s="363"/>
      <c r="D56" s="363"/>
      <c r="E56" s="377" t="s">
        <v>1165</v>
      </c>
      <c r="F56" s="373"/>
      <c r="G56" s="373"/>
      <c r="H56" s="373"/>
      <c r="I56" s="378"/>
      <c r="J56" s="371"/>
      <c r="K56" s="371"/>
      <c r="L56" s="376"/>
      <c r="M56" s="371"/>
      <c r="N56" s="371"/>
      <c r="O56" s="371"/>
      <c r="P56" s="371"/>
      <c r="Q56" s="371"/>
      <c r="R56" s="372"/>
    </row>
    <row r="57" spans="2:18" ht="18.8" x14ac:dyDescent="0.35">
      <c r="B57" s="363"/>
      <c r="C57" s="363"/>
      <c r="D57" s="363"/>
      <c r="E57" s="377" t="s">
        <v>1166</v>
      </c>
      <c r="F57" s="371"/>
      <c r="G57" s="371"/>
      <c r="H57" s="371"/>
      <c r="I57" s="378"/>
      <c r="J57" s="371"/>
      <c r="K57" s="371"/>
      <c r="L57" s="376"/>
      <c r="M57" s="371"/>
      <c r="N57" s="371"/>
      <c r="O57" s="371"/>
      <c r="P57" s="371"/>
      <c r="Q57" s="371"/>
      <c r="R57" s="372"/>
    </row>
    <row r="58" spans="2:18" ht="18.8" x14ac:dyDescent="0.35">
      <c r="B58" s="363"/>
      <c r="C58" s="363"/>
      <c r="D58" s="363"/>
      <c r="E58" s="377" t="s">
        <v>1167</v>
      </c>
      <c r="F58" s="371"/>
      <c r="G58" s="371"/>
      <c r="H58" s="371"/>
      <c r="I58" s="378"/>
      <c r="J58" s="371"/>
      <c r="K58" s="371"/>
      <c r="L58" s="376"/>
      <c r="M58" s="371"/>
      <c r="N58" s="371"/>
      <c r="O58" s="371"/>
      <c r="P58" s="371"/>
      <c r="Q58" s="371"/>
      <c r="R58" s="372"/>
    </row>
    <row r="59" spans="2:18" ht="18.8" x14ac:dyDescent="0.35">
      <c r="B59" s="363"/>
      <c r="C59" s="363"/>
      <c r="D59" s="363"/>
      <c r="E59" s="377" t="s">
        <v>1168</v>
      </c>
      <c r="F59" s="373"/>
      <c r="G59" s="373"/>
      <c r="H59" s="373"/>
      <c r="I59" s="374"/>
      <c r="J59" s="371"/>
      <c r="K59" s="371"/>
      <c r="L59" s="376"/>
      <c r="M59" s="371"/>
      <c r="N59" s="371"/>
      <c r="O59" s="371"/>
      <c r="P59" s="371"/>
      <c r="Q59" s="371"/>
      <c r="R59" s="372"/>
    </row>
    <row r="60" spans="2:18" ht="18.8" x14ac:dyDescent="0.35">
      <c r="B60" s="363"/>
      <c r="C60" s="363"/>
      <c r="D60" s="363"/>
      <c r="E60" s="377" t="s">
        <v>1169</v>
      </c>
      <c r="F60" s="373"/>
      <c r="G60" s="373"/>
      <c r="H60" s="373"/>
      <c r="I60" s="378"/>
      <c r="J60" s="371"/>
      <c r="K60" s="371"/>
      <c r="L60" s="376"/>
      <c r="M60" s="371"/>
      <c r="N60" s="371"/>
      <c r="O60" s="371"/>
      <c r="P60" s="371"/>
      <c r="Q60" s="371"/>
      <c r="R60" s="372"/>
    </row>
    <row r="61" spans="2:18" ht="18.8" x14ac:dyDescent="0.35">
      <c r="B61" s="363"/>
      <c r="C61" s="363"/>
      <c r="D61" s="363"/>
      <c r="E61" s="377" t="s">
        <v>1170</v>
      </c>
      <c r="F61" s="373"/>
      <c r="G61" s="373"/>
      <c r="H61" s="373"/>
      <c r="I61" s="378"/>
      <c r="J61" s="371"/>
      <c r="K61" s="371"/>
      <c r="L61" s="376"/>
      <c r="M61" s="371"/>
      <c r="N61" s="371"/>
      <c r="O61" s="371"/>
      <c r="P61" s="371"/>
      <c r="Q61" s="371"/>
      <c r="R61" s="372"/>
    </row>
    <row r="62" spans="2:18" ht="18.8" x14ac:dyDescent="0.35">
      <c r="B62" s="363"/>
      <c r="C62" s="363"/>
      <c r="D62" s="363"/>
      <c r="E62" s="377" t="s">
        <v>1171</v>
      </c>
      <c r="F62" s="373"/>
      <c r="G62" s="373"/>
      <c r="H62" s="373"/>
      <c r="I62" s="378"/>
      <c r="J62" s="371"/>
      <c r="K62" s="371"/>
      <c r="L62" s="376"/>
      <c r="M62" s="371"/>
      <c r="N62" s="371"/>
      <c r="O62" s="371"/>
      <c r="P62" s="371"/>
      <c r="Q62" s="371"/>
      <c r="R62" s="372"/>
    </row>
    <row r="63" spans="2:18" ht="18.8" x14ac:dyDescent="0.35">
      <c r="B63" s="363"/>
      <c r="C63" s="363"/>
      <c r="D63" s="363"/>
      <c r="E63" s="377" t="s">
        <v>1172</v>
      </c>
      <c r="F63" s="371"/>
      <c r="G63" s="371"/>
      <c r="H63" s="371"/>
      <c r="I63" s="378"/>
      <c r="J63" s="371"/>
      <c r="K63" s="371"/>
      <c r="L63" s="376"/>
      <c r="M63" s="371"/>
      <c r="N63" s="371"/>
      <c r="O63" s="371"/>
      <c r="P63" s="371"/>
      <c r="Q63" s="371"/>
      <c r="R63" s="372"/>
    </row>
    <row r="64" spans="2:18" ht="18.8" x14ac:dyDescent="0.35">
      <c r="B64" s="363"/>
      <c r="C64" s="363"/>
      <c r="D64" s="363"/>
      <c r="E64" s="377" t="s">
        <v>1173</v>
      </c>
      <c r="F64" s="373"/>
      <c r="G64" s="373"/>
      <c r="H64" s="373"/>
      <c r="I64" s="374"/>
      <c r="J64" s="371"/>
      <c r="K64" s="371"/>
      <c r="L64" s="376"/>
      <c r="M64" s="371"/>
      <c r="N64" s="371"/>
      <c r="O64" s="371"/>
      <c r="P64" s="371"/>
      <c r="Q64" s="371"/>
      <c r="R64" s="372"/>
    </row>
    <row r="65" spans="2:23" ht="18.8" x14ac:dyDescent="0.35">
      <c r="B65" s="363"/>
      <c r="C65" s="363"/>
      <c r="D65" s="363"/>
      <c r="E65" s="377" t="s">
        <v>1174</v>
      </c>
      <c r="F65" s="373"/>
      <c r="G65" s="373"/>
      <c r="H65" s="373"/>
      <c r="I65" s="374"/>
      <c r="J65" s="373"/>
      <c r="K65" s="373"/>
      <c r="L65" s="375"/>
      <c r="M65" s="373"/>
      <c r="N65" s="373"/>
      <c r="O65" s="373"/>
      <c r="P65" s="373"/>
      <c r="Q65" s="371"/>
      <c r="R65" s="372"/>
    </row>
    <row r="66" spans="2:23" ht="16.7" x14ac:dyDescent="0.35">
      <c r="B66" s="363"/>
      <c r="C66" s="363"/>
      <c r="D66" s="379"/>
      <c r="E66" s="380" t="s">
        <v>1175</v>
      </c>
      <c r="F66" s="380"/>
      <c r="G66" s="380"/>
      <c r="H66" s="380"/>
      <c r="I66" s="381"/>
      <c r="J66" s="380"/>
      <c r="K66" s="380"/>
      <c r="L66" s="382"/>
      <c r="M66" s="380"/>
      <c r="N66" s="380"/>
      <c r="O66" s="380"/>
      <c r="P66" s="380"/>
      <c r="Q66" s="371"/>
      <c r="R66" s="372"/>
    </row>
    <row r="67" spans="2:23" ht="18.8" x14ac:dyDescent="0.35">
      <c r="B67" s="363"/>
      <c r="C67" s="363"/>
      <c r="D67" s="363"/>
      <c r="E67" s="377" t="s">
        <v>1176</v>
      </c>
      <c r="F67" s="373"/>
      <c r="G67" s="373"/>
      <c r="H67" s="373"/>
      <c r="I67" s="378"/>
      <c r="J67" s="371"/>
      <c r="K67" s="371"/>
      <c r="L67" s="376"/>
      <c r="M67" s="371"/>
      <c r="N67" s="371"/>
      <c r="O67" s="371"/>
      <c r="P67" s="371"/>
      <c r="Q67" s="371"/>
      <c r="R67" s="372"/>
    </row>
    <row r="68" spans="2:23" ht="18.8" x14ac:dyDescent="0.35">
      <c r="B68" s="363"/>
      <c r="C68" s="363"/>
      <c r="D68" s="363"/>
      <c r="E68" s="377" t="s">
        <v>1177</v>
      </c>
      <c r="F68" s="373"/>
      <c r="G68" s="373"/>
      <c r="H68" s="373"/>
      <c r="I68" s="378"/>
      <c r="J68" s="371"/>
      <c r="K68" s="371"/>
      <c r="L68" s="376"/>
      <c r="M68" s="371"/>
      <c r="N68" s="371"/>
      <c r="O68" s="371"/>
      <c r="P68" s="371"/>
      <c r="Q68" s="371"/>
      <c r="R68" s="372"/>
    </row>
    <row r="69" spans="2:23" ht="18.8" x14ac:dyDescent="0.35">
      <c r="B69" s="363"/>
      <c r="C69" s="363"/>
      <c r="D69" s="363"/>
      <c r="E69" s="377" t="s">
        <v>1178</v>
      </c>
      <c r="F69" s="373"/>
      <c r="G69" s="373"/>
      <c r="H69" s="373"/>
      <c r="I69" s="374"/>
      <c r="J69" s="371"/>
      <c r="K69" s="371"/>
      <c r="L69" s="376"/>
      <c r="M69" s="371"/>
      <c r="N69" s="371"/>
      <c r="O69" s="371"/>
      <c r="P69" s="371"/>
      <c r="Q69" s="371"/>
      <c r="R69" s="372"/>
    </row>
    <row r="70" spans="2:23" ht="18.8" x14ac:dyDescent="0.35">
      <c r="B70" s="363"/>
      <c r="C70" s="363"/>
      <c r="D70" s="363"/>
      <c r="E70" s="377" t="s">
        <v>1179</v>
      </c>
      <c r="F70" s="371"/>
      <c r="G70" s="371"/>
      <c r="H70" s="371"/>
      <c r="I70" s="378"/>
      <c r="J70" s="371"/>
      <c r="K70" s="371"/>
      <c r="L70" s="376"/>
      <c r="M70" s="371"/>
      <c r="N70" s="371"/>
      <c r="O70" s="371"/>
      <c r="P70" s="371"/>
      <c r="Q70" s="371"/>
      <c r="R70" s="372"/>
    </row>
    <row r="71" spans="2:23" ht="16.7" x14ac:dyDescent="0.35">
      <c r="B71" s="363"/>
      <c r="C71" s="363"/>
      <c r="D71" s="363"/>
      <c r="E71" s="373" t="s">
        <v>1180</v>
      </c>
      <c r="F71" s="373"/>
      <c r="G71" s="373"/>
      <c r="H71" s="373"/>
      <c r="I71" s="374"/>
      <c r="J71" s="371"/>
      <c r="K71" s="371"/>
      <c r="L71" s="376"/>
      <c r="M71" s="371"/>
      <c r="N71" s="371"/>
      <c r="O71" s="371"/>
      <c r="P71" s="371"/>
      <c r="Q71" s="371"/>
      <c r="R71" s="372"/>
    </row>
    <row r="72" spans="2:23" ht="18.8" x14ac:dyDescent="0.35">
      <c r="B72" s="363"/>
      <c r="C72" s="363"/>
      <c r="D72" s="363"/>
      <c r="E72" s="377" t="s">
        <v>1181</v>
      </c>
      <c r="F72" s="373"/>
      <c r="G72" s="373"/>
      <c r="H72" s="373"/>
      <c r="I72" s="374"/>
      <c r="J72" s="373"/>
      <c r="K72" s="373"/>
      <c r="L72" s="375"/>
      <c r="M72" s="373"/>
      <c r="N72" s="371"/>
      <c r="O72" s="371"/>
      <c r="P72" s="371"/>
      <c r="Q72" s="371"/>
      <c r="R72" s="372"/>
    </row>
    <row r="73" spans="2:23" ht="18.8" x14ac:dyDescent="0.35">
      <c r="B73" s="363"/>
      <c r="C73" s="363"/>
      <c r="D73" s="363"/>
      <c r="E73" s="377" t="s">
        <v>1182</v>
      </c>
      <c r="F73" s="371"/>
      <c r="G73" s="371"/>
      <c r="H73" s="371"/>
      <c r="I73" s="378"/>
      <c r="J73" s="371"/>
      <c r="K73" s="371"/>
      <c r="L73" s="376"/>
      <c r="M73" s="371"/>
      <c r="N73" s="371"/>
      <c r="O73" s="371"/>
      <c r="P73" s="371"/>
      <c r="Q73" s="371"/>
      <c r="R73" s="372"/>
    </row>
    <row r="74" spans="2:23" ht="18.8" x14ac:dyDescent="0.35">
      <c r="B74" s="363"/>
      <c r="C74" s="363"/>
      <c r="D74" s="363"/>
      <c r="E74" s="377" t="s">
        <v>1183</v>
      </c>
      <c r="F74" s="371"/>
      <c r="G74" s="371"/>
      <c r="H74" s="371"/>
      <c r="I74" s="378"/>
      <c r="J74" s="371"/>
      <c r="K74" s="371"/>
      <c r="L74" s="376"/>
      <c r="M74" s="371"/>
      <c r="N74" s="371"/>
      <c r="O74" s="371"/>
      <c r="P74" s="371"/>
      <c r="Q74" s="371"/>
      <c r="R74" s="372"/>
    </row>
    <row r="75" spans="2:23" ht="18.8" x14ac:dyDescent="0.35">
      <c r="B75" s="363"/>
      <c r="C75" s="363"/>
      <c r="D75" s="363"/>
      <c r="E75" s="377" t="s">
        <v>1184</v>
      </c>
      <c r="F75" s="373"/>
      <c r="G75" s="373"/>
      <c r="H75" s="373"/>
      <c r="I75" s="374"/>
      <c r="J75" s="373"/>
      <c r="K75" s="371"/>
      <c r="L75" s="376"/>
      <c r="M75" s="371"/>
      <c r="N75" s="371"/>
      <c r="O75" s="371"/>
      <c r="P75" s="371"/>
      <c r="Q75" s="371"/>
      <c r="R75" s="372"/>
    </row>
    <row r="76" spans="2:23" ht="16.7" x14ac:dyDescent="0.35">
      <c r="B76" s="363"/>
      <c r="C76" s="383"/>
      <c r="D76" s="384"/>
      <c r="E76" s="380" t="s">
        <v>1185</v>
      </c>
      <c r="F76" s="380"/>
      <c r="G76" s="380"/>
      <c r="H76" s="380"/>
      <c r="I76" s="381"/>
      <c r="J76" s="380"/>
      <c r="K76" s="385"/>
      <c r="L76" s="386"/>
      <c r="M76" s="385"/>
      <c r="N76" s="385"/>
      <c r="O76" s="385"/>
      <c r="P76" s="385"/>
      <c r="Q76" s="385"/>
      <c r="R76" s="387"/>
      <c r="S76" s="388"/>
      <c r="T76" s="388"/>
      <c r="U76" s="388"/>
      <c r="V76" s="388"/>
      <c r="W76" s="388"/>
    </row>
    <row r="77" spans="2:23" ht="18.8" x14ac:dyDescent="0.35">
      <c r="B77" s="363"/>
      <c r="C77" s="383"/>
      <c r="D77" s="383"/>
      <c r="E77" s="389" t="s">
        <v>1186</v>
      </c>
      <c r="F77" s="380"/>
      <c r="G77" s="380"/>
      <c r="H77" s="380"/>
      <c r="I77" s="381"/>
      <c r="J77" s="380"/>
      <c r="K77" s="385"/>
      <c r="L77" s="386"/>
      <c r="M77" s="385"/>
      <c r="N77" s="385"/>
      <c r="O77" s="385"/>
      <c r="P77" s="385"/>
      <c r="Q77" s="385"/>
      <c r="R77" s="387"/>
      <c r="S77" s="388"/>
      <c r="T77" s="388"/>
      <c r="U77" s="388"/>
      <c r="V77" s="388"/>
      <c r="W77" s="388"/>
    </row>
    <row r="78" spans="2:23" ht="18.8" x14ac:dyDescent="0.35">
      <c r="B78" s="363"/>
      <c r="C78" s="383"/>
      <c r="D78" s="383"/>
      <c r="E78" s="389" t="s">
        <v>1187</v>
      </c>
      <c r="F78" s="380"/>
      <c r="G78" s="380"/>
      <c r="H78" s="380"/>
      <c r="I78" s="390"/>
      <c r="J78" s="385"/>
      <c r="K78" s="385"/>
      <c r="L78" s="386"/>
      <c r="M78" s="385"/>
      <c r="N78" s="385"/>
      <c r="O78" s="385"/>
      <c r="P78" s="385"/>
      <c r="Q78" s="385"/>
      <c r="R78" s="387"/>
      <c r="S78" s="388"/>
      <c r="T78" s="388"/>
      <c r="U78" s="388"/>
      <c r="V78" s="388"/>
      <c r="W78" s="388"/>
    </row>
    <row r="79" spans="2:23" ht="18.8" x14ac:dyDescent="0.35">
      <c r="B79" s="363"/>
      <c r="C79" s="383"/>
      <c r="D79" s="383"/>
      <c r="E79" s="389" t="s">
        <v>1188</v>
      </c>
      <c r="F79" s="380"/>
      <c r="G79" s="380"/>
      <c r="H79" s="380"/>
      <c r="I79" s="381"/>
      <c r="J79" s="380"/>
      <c r="K79" s="380"/>
      <c r="L79" s="382"/>
      <c r="M79" s="380"/>
      <c r="N79" s="380"/>
      <c r="O79" s="380"/>
      <c r="P79" s="380"/>
      <c r="Q79" s="380"/>
      <c r="R79" s="391"/>
      <c r="S79" s="388"/>
      <c r="T79" s="388"/>
      <c r="U79" s="388"/>
      <c r="V79" s="388"/>
      <c r="W79" s="388"/>
    </row>
    <row r="80" spans="2:23" ht="18.8" x14ac:dyDescent="0.35">
      <c r="B80" s="363"/>
      <c r="C80" s="383"/>
      <c r="D80" s="383"/>
      <c r="E80" s="389" t="s">
        <v>1189</v>
      </c>
      <c r="F80" s="380"/>
      <c r="G80" s="380"/>
      <c r="H80" s="380"/>
      <c r="I80" s="381"/>
      <c r="J80" s="380"/>
      <c r="K80" s="380"/>
      <c r="L80" s="382"/>
      <c r="M80" s="380"/>
      <c r="N80" s="380"/>
      <c r="O80" s="380"/>
      <c r="P80" s="385"/>
      <c r="Q80" s="385"/>
      <c r="R80" s="387"/>
      <c r="S80" s="388"/>
      <c r="T80" s="388"/>
      <c r="U80" s="388"/>
      <c r="V80" s="388"/>
      <c r="W80" s="388"/>
    </row>
    <row r="81" spans="2:23" ht="18.8" x14ac:dyDescent="0.35">
      <c r="B81" s="363"/>
      <c r="C81" s="383"/>
      <c r="D81" s="383"/>
      <c r="E81" s="389" t="s">
        <v>1190</v>
      </c>
      <c r="F81" s="380"/>
      <c r="G81" s="380"/>
      <c r="H81" s="380"/>
      <c r="I81" s="381"/>
      <c r="J81" s="385"/>
      <c r="K81" s="385"/>
      <c r="L81" s="386"/>
      <c r="M81" s="385"/>
      <c r="N81" s="385"/>
      <c r="O81" s="385"/>
      <c r="P81" s="385"/>
      <c r="Q81" s="385"/>
      <c r="R81" s="387"/>
      <c r="S81" s="388"/>
      <c r="T81" s="388"/>
      <c r="U81" s="388"/>
      <c r="V81" s="388"/>
      <c r="W81" s="388"/>
    </row>
    <row r="82" spans="2:23" ht="18.8" x14ac:dyDescent="0.35">
      <c r="B82" s="363"/>
      <c r="C82" s="383"/>
      <c r="D82" s="383"/>
      <c r="E82" s="389" t="s">
        <v>1191</v>
      </c>
      <c r="F82" s="380"/>
      <c r="G82" s="380"/>
      <c r="H82" s="380"/>
      <c r="I82" s="381"/>
      <c r="J82" s="385"/>
      <c r="K82" s="385"/>
      <c r="L82" s="386"/>
      <c r="M82" s="385"/>
      <c r="N82" s="385"/>
      <c r="O82" s="385"/>
      <c r="P82" s="385"/>
      <c r="Q82" s="385"/>
      <c r="R82" s="387"/>
      <c r="S82" s="388"/>
      <c r="T82" s="388"/>
      <c r="U82" s="388"/>
      <c r="V82" s="388"/>
      <c r="W82" s="388"/>
    </row>
    <row r="83" spans="2:23" ht="18.8" x14ac:dyDescent="0.35">
      <c r="B83" s="363"/>
      <c r="C83" s="383"/>
      <c r="D83" s="383"/>
      <c r="E83" s="389" t="s">
        <v>1192</v>
      </c>
      <c r="F83" s="380"/>
      <c r="G83" s="380"/>
      <c r="H83" s="380"/>
      <c r="I83" s="381"/>
      <c r="J83" s="380"/>
      <c r="K83" s="380"/>
      <c r="L83" s="382"/>
      <c r="M83" s="385"/>
      <c r="N83" s="385"/>
      <c r="O83" s="385"/>
      <c r="P83" s="385"/>
      <c r="Q83" s="385"/>
      <c r="R83" s="387"/>
      <c r="S83" s="388"/>
      <c r="T83" s="388"/>
      <c r="U83" s="388"/>
      <c r="V83" s="388"/>
      <c r="W83" s="388"/>
    </row>
    <row r="84" spans="2:23" ht="18.8" x14ac:dyDescent="0.35">
      <c r="B84" s="363"/>
      <c r="C84" s="383"/>
      <c r="D84" s="383"/>
      <c r="E84" s="389" t="s">
        <v>1193</v>
      </c>
      <c r="F84" s="385"/>
      <c r="G84" s="385"/>
      <c r="H84" s="385"/>
      <c r="I84" s="390"/>
      <c r="J84" s="385"/>
      <c r="K84" s="385"/>
      <c r="L84" s="386"/>
      <c r="M84" s="385"/>
      <c r="N84" s="385"/>
      <c r="O84" s="385"/>
      <c r="P84" s="385"/>
      <c r="Q84" s="385"/>
      <c r="R84" s="387"/>
      <c r="S84" s="388"/>
      <c r="T84" s="388"/>
      <c r="U84" s="388"/>
      <c r="V84" s="388"/>
      <c r="W84" s="388"/>
    </row>
    <row r="85" spans="2:23" ht="18.8" x14ac:dyDescent="0.35">
      <c r="B85" s="363"/>
      <c r="C85" s="383"/>
      <c r="D85" s="383"/>
      <c r="E85" s="389" t="s">
        <v>1194</v>
      </c>
      <c r="F85" s="380"/>
      <c r="G85" s="380"/>
      <c r="H85" s="380"/>
      <c r="I85" s="381"/>
      <c r="J85" s="385"/>
      <c r="K85" s="385"/>
      <c r="L85" s="386"/>
      <c r="M85" s="385"/>
      <c r="N85" s="385"/>
      <c r="O85" s="385"/>
      <c r="P85" s="385"/>
      <c r="Q85" s="385"/>
      <c r="R85" s="387"/>
      <c r="S85" s="388"/>
      <c r="T85" s="388"/>
      <c r="U85" s="388"/>
      <c r="V85" s="388"/>
      <c r="W85" s="388"/>
    </row>
    <row r="86" spans="2:23" ht="18.8" x14ac:dyDescent="0.35">
      <c r="B86" s="363"/>
      <c r="C86" s="383"/>
      <c r="D86" s="383"/>
      <c r="E86" s="389" t="s">
        <v>1195</v>
      </c>
      <c r="F86" s="380"/>
      <c r="G86" s="380"/>
      <c r="H86" s="380"/>
      <c r="I86" s="390"/>
      <c r="J86" s="385"/>
      <c r="K86" s="385"/>
      <c r="L86" s="386"/>
      <c r="M86" s="385"/>
      <c r="N86" s="385"/>
      <c r="O86" s="385"/>
      <c r="P86" s="385"/>
      <c r="Q86" s="385"/>
      <c r="R86" s="387"/>
      <c r="S86" s="388"/>
      <c r="T86" s="388"/>
      <c r="U86" s="388"/>
      <c r="V86" s="388"/>
      <c r="W86" s="388"/>
    </row>
    <row r="87" spans="2:23" ht="18.8" x14ac:dyDescent="0.35">
      <c r="B87" s="363"/>
      <c r="C87" s="383"/>
      <c r="D87" s="383"/>
      <c r="E87" s="389" t="s">
        <v>1196</v>
      </c>
      <c r="F87" s="380"/>
      <c r="G87" s="380"/>
      <c r="H87" s="380"/>
      <c r="I87" s="390"/>
      <c r="J87" s="385"/>
      <c r="K87" s="385"/>
      <c r="L87" s="386"/>
      <c r="M87" s="385"/>
      <c r="N87" s="385"/>
      <c r="O87" s="385"/>
      <c r="P87" s="385"/>
      <c r="Q87" s="385"/>
      <c r="R87" s="387"/>
      <c r="S87" s="388"/>
      <c r="T87" s="388"/>
      <c r="U87" s="388"/>
      <c r="V87" s="388"/>
      <c r="W87" s="388"/>
    </row>
    <row r="88" spans="2:23" ht="18.8" x14ac:dyDescent="0.35">
      <c r="B88" s="363"/>
      <c r="C88" s="383"/>
      <c r="D88" s="383"/>
      <c r="E88" s="389" t="s">
        <v>1197</v>
      </c>
      <c r="F88" s="385"/>
      <c r="G88" s="385"/>
      <c r="H88" s="385"/>
      <c r="I88" s="390"/>
      <c r="J88" s="385"/>
      <c r="K88" s="385"/>
      <c r="L88" s="386"/>
      <c r="M88" s="385"/>
      <c r="N88" s="385"/>
      <c r="O88" s="385"/>
      <c r="P88" s="385"/>
      <c r="Q88" s="385"/>
      <c r="R88" s="387"/>
      <c r="S88" s="388"/>
      <c r="T88" s="388"/>
      <c r="U88" s="388"/>
      <c r="V88" s="388"/>
      <c r="W88" s="388"/>
    </row>
    <row r="89" spans="2:23" ht="16.7" x14ac:dyDescent="0.35">
      <c r="B89" s="363"/>
      <c r="C89" s="383"/>
      <c r="D89" s="383"/>
      <c r="E89" s="380" t="s">
        <v>1198</v>
      </c>
      <c r="F89" s="380"/>
      <c r="G89" s="380"/>
      <c r="H89" s="380"/>
      <c r="I89" s="381"/>
      <c r="J89" s="380"/>
      <c r="K89" s="380"/>
      <c r="L89" s="382"/>
      <c r="M89" s="380"/>
      <c r="N89" s="385"/>
      <c r="O89" s="385"/>
      <c r="P89" s="385"/>
      <c r="Q89" s="385"/>
      <c r="R89" s="387"/>
      <c r="S89" s="388"/>
      <c r="T89" s="388"/>
      <c r="U89" s="388"/>
      <c r="V89" s="388"/>
      <c r="W89" s="388"/>
    </row>
    <row r="90" spans="2:23" ht="18.8" x14ac:dyDescent="0.35">
      <c r="B90" s="363"/>
      <c r="C90" s="383"/>
      <c r="D90" s="383"/>
      <c r="E90" s="389" t="s">
        <v>1199</v>
      </c>
      <c r="F90" s="380"/>
      <c r="G90" s="380"/>
      <c r="H90" s="380"/>
      <c r="I90" s="381"/>
      <c r="J90" s="380"/>
      <c r="K90" s="385"/>
      <c r="L90" s="386"/>
      <c r="M90" s="385"/>
      <c r="N90" s="385"/>
      <c r="O90" s="385"/>
      <c r="P90" s="385"/>
      <c r="Q90" s="385"/>
      <c r="R90" s="387"/>
      <c r="S90" s="388"/>
      <c r="T90" s="388"/>
      <c r="U90" s="388"/>
      <c r="V90" s="388"/>
      <c r="W90" s="388"/>
    </row>
    <row r="91" spans="2:23" ht="18.8" x14ac:dyDescent="0.35">
      <c r="B91" s="363"/>
      <c r="C91" s="383"/>
      <c r="D91" s="383"/>
      <c r="E91" s="389" t="s">
        <v>1200</v>
      </c>
      <c r="F91" s="380"/>
      <c r="G91" s="380"/>
      <c r="H91" s="380"/>
      <c r="I91" s="381"/>
      <c r="J91" s="380"/>
      <c r="K91" s="385"/>
      <c r="L91" s="386"/>
      <c r="M91" s="385"/>
      <c r="N91" s="385"/>
      <c r="O91" s="385"/>
      <c r="P91" s="385"/>
      <c r="Q91" s="385"/>
      <c r="R91" s="387"/>
      <c r="S91" s="388"/>
      <c r="T91" s="388"/>
      <c r="U91" s="388"/>
      <c r="V91" s="388"/>
      <c r="W91" s="388"/>
    </row>
    <row r="92" spans="2:23" ht="18.8" x14ac:dyDescent="0.35">
      <c r="B92" s="363"/>
      <c r="C92" s="383"/>
      <c r="D92" s="383"/>
      <c r="E92" s="389" t="s">
        <v>1201</v>
      </c>
      <c r="F92" s="380"/>
      <c r="G92" s="380"/>
      <c r="H92" s="380"/>
      <c r="I92" s="390"/>
      <c r="J92" s="385"/>
      <c r="K92" s="385"/>
      <c r="L92" s="386"/>
      <c r="M92" s="385"/>
      <c r="N92" s="385"/>
      <c r="O92" s="385"/>
      <c r="P92" s="385"/>
      <c r="Q92" s="385"/>
      <c r="R92" s="387"/>
      <c r="S92" s="388"/>
      <c r="T92" s="388"/>
      <c r="U92" s="388"/>
      <c r="V92" s="388"/>
      <c r="W92" s="388"/>
    </row>
    <row r="93" spans="2:23" ht="18.8" x14ac:dyDescent="0.35">
      <c r="B93" s="363"/>
      <c r="C93" s="383"/>
      <c r="D93" s="383"/>
      <c r="E93" s="389" t="s">
        <v>1202</v>
      </c>
      <c r="F93" s="380"/>
      <c r="G93" s="380"/>
      <c r="H93" s="380"/>
      <c r="I93" s="390"/>
      <c r="J93" s="385"/>
      <c r="K93" s="385"/>
      <c r="L93" s="386"/>
      <c r="M93" s="385"/>
      <c r="N93" s="385"/>
      <c r="O93" s="385"/>
      <c r="P93" s="385"/>
      <c r="Q93" s="385"/>
      <c r="R93" s="387"/>
      <c r="S93" s="388"/>
      <c r="T93" s="388"/>
      <c r="U93" s="388"/>
      <c r="V93" s="388"/>
      <c r="W93" s="388"/>
    </row>
    <row r="94" spans="2:23" ht="18.8" x14ac:dyDescent="0.35">
      <c r="B94" s="379"/>
      <c r="C94" s="384"/>
      <c r="D94" s="384"/>
      <c r="E94" s="389" t="s">
        <v>1203</v>
      </c>
      <c r="F94" s="380"/>
      <c r="G94" s="380"/>
      <c r="H94" s="380"/>
      <c r="I94" s="381"/>
      <c r="J94" s="380"/>
      <c r="K94" s="380"/>
      <c r="L94" s="382"/>
      <c r="M94" s="380"/>
      <c r="N94" s="380"/>
      <c r="O94" s="380"/>
      <c r="P94" s="380"/>
      <c r="Q94" s="380"/>
      <c r="R94" s="391"/>
      <c r="S94" s="388"/>
      <c r="T94" s="388"/>
      <c r="U94" s="388"/>
      <c r="V94" s="388"/>
      <c r="W94" s="388"/>
    </row>
    <row r="95" spans="2:23" ht="16.7" x14ac:dyDescent="0.35">
      <c r="B95" s="384"/>
      <c r="C95" s="384"/>
      <c r="D95" s="384"/>
      <c r="E95" s="380" t="s">
        <v>1204</v>
      </c>
      <c r="F95" s="380"/>
      <c r="G95" s="380"/>
      <c r="H95" s="380"/>
      <c r="I95" s="381"/>
      <c r="J95" s="380"/>
      <c r="K95" s="380"/>
      <c r="L95" s="382"/>
      <c r="M95" s="380"/>
      <c r="N95" s="380"/>
      <c r="O95" s="380"/>
      <c r="P95" s="380"/>
      <c r="Q95" s="380"/>
      <c r="R95" s="391"/>
      <c r="S95" s="388"/>
      <c r="T95" s="388"/>
      <c r="U95" s="388"/>
      <c r="V95" s="388"/>
      <c r="W95" s="388"/>
    </row>
    <row r="96" spans="2:23" ht="18.8" x14ac:dyDescent="0.35">
      <c r="B96" s="363"/>
      <c r="C96" s="383"/>
      <c r="D96" s="383"/>
      <c r="E96" s="389" t="s">
        <v>1205</v>
      </c>
      <c r="F96" s="380"/>
      <c r="G96" s="380"/>
      <c r="H96" s="380"/>
      <c r="I96" s="381"/>
      <c r="J96" s="380"/>
      <c r="K96" s="385"/>
      <c r="L96" s="386"/>
      <c r="M96" s="385"/>
      <c r="N96" s="385"/>
      <c r="O96" s="385"/>
      <c r="P96" s="385"/>
      <c r="Q96" s="385"/>
      <c r="R96" s="387"/>
      <c r="S96" s="388"/>
      <c r="T96" s="388"/>
      <c r="U96" s="388"/>
      <c r="V96" s="388"/>
      <c r="W96" s="388"/>
    </row>
    <row r="97" spans="2:23" ht="18.8" x14ac:dyDescent="0.35">
      <c r="B97" s="363"/>
      <c r="C97" s="383"/>
      <c r="D97" s="383"/>
      <c r="E97" s="389" t="s">
        <v>1206</v>
      </c>
      <c r="F97" s="380"/>
      <c r="G97" s="380"/>
      <c r="H97" s="380"/>
      <c r="I97" s="381"/>
      <c r="J97" s="380"/>
      <c r="K97" s="385"/>
      <c r="L97" s="386"/>
      <c r="M97" s="385"/>
      <c r="N97" s="385"/>
      <c r="O97" s="385"/>
      <c r="P97" s="385"/>
      <c r="Q97" s="385"/>
      <c r="R97" s="387"/>
      <c r="S97" s="388"/>
      <c r="T97" s="388"/>
      <c r="U97" s="388"/>
      <c r="V97" s="388"/>
      <c r="W97" s="388"/>
    </row>
    <row r="98" spans="2:23" ht="18.8" x14ac:dyDescent="0.35">
      <c r="B98" s="363"/>
      <c r="C98" s="383"/>
      <c r="D98" s="383"/>
      <c r="E98" s="389" t="s">
        <v>1207</v>
      </c>
      <c r="F98" s="385"/>
      <c r="G98" s="385"/>
      <c r="H98" s="385"/>
      <c r="I98" s="390"/>
      <c r="J98" s="385"/>
      <c r="K98" s="385"/>
      <c r="L98" s="386"/>
      <c r="M98" s="385"/>
      <c r="N98" s="385"/>
      <c r="O98" s="385"/>
      <c r="P98" s="385"/>
      <c r="Q98" s="385"/>
      <c r="R98" s="387"/>
      <c r="S98" s="388"/>
      <c r="T98" s="388"/>
      <c r="U98" s="388"/>
      <c r="V98" s="388"/>
      <c r="W98" s="388"/>
    </row>
    <row r="99" spans="2:23" ht="18.8" x14ac:dyDescent="0.35">
      <c r="B99" s="363"/>
      <c r="C99" s="383"/>
      <c r="D99" s="383"/>
      <c r="E99" s="389" t="s">
        <v>1208</v>
      </c>
      <c r="F99" s="380"/>
      <c r="G99" s="380"/>
      <c r="H99" s="380"/>
      <c r="I99" s="390"/>
      <c r="J99" s="385"/>
      <c r="K99" s="385"/>
      <c r="L99" s="386"/>
      <c r="M99" s="385"/>
      <c r="N99" s="385"/>
      <c r="O99" s="385"/>
      <c r="P99" s="385"/>
      <c r="Q99" s="385"/>
      <c r="R99" s="387"/>
      <c r="S99" s="388"/>
      <c r="T99" s="388"/>
      <c r="U99" s="388"/>
      <c r="V99" s="388"/>
      <c r="W99" s="388"/>
    </row>
    <row r="100" spans="2:23" ht="18.8" x14ac:dyDescent="0.35">
      <c r="B100" s="363"/>
      <c r="C100" s="383"/>
      <c r="D100" s="383"/>
      <c r="E100" s="389" t="s">
        <v>1209</v>
      </c>
      <c r="F100" s="385"/>
      <c r="G100" s="385"/>
      <c r="H100" s="385"/>
      <c r="I100" s="390"/>
      <c r="J100" s="385"/>
      <c r="K100" s="385"/>
      <c r="L100" s="386"/>
      <c r="M100" s="385"/>
      <c r="N100" s="385"/>
      <c r="O100" s="385"/>
      <c r="P100" s="385"/>
      <c r="Q100" s="385"/>
      <c r="R100" s="387"/>
      <c r="S100" s="388"/>
      <c r="T100" s="388"/>
      <c r="U100" s="388"/>
      <c r="V100" s="388"/>
      <c r="W100" s="388"/>
    </row>
    <row r="101" spans="2:23" ht="18.8" x14ac:dyDescent="0.35">
      <c r="B101" s="363"/>
      <c r="C101" s="363"/>
      <c r="D101" s="363"/>
      <c r="E101" s="377" t="s">
        <v>1210</v>
      </c>
      <c r="F101" s="371"/>
      <c r="G101" s="371"/>
      <c r="H101" s="371"/>
      <c r="I101" s="378"/>
      <c r="J101" s="371"/>
      <c r="K101" s="371"/>
      <c r="L101" s="376"/>
      <c r="M101" s="371"/>
      <c r="N101" s="371"/>
      <c r="O101" s="371"/>
      <c r="P101" s="371"/>
      <c r="Q101" s="371"/>
      <c r="R101" s="372"/>
    </row>
    <row r="102" spans="2:23" ht="18.8" x14ac:dyDescent="0.35">
      <c r="B102" s="363"/>
      <c r="C102" s="363"/>
      <c r="D102" s="363"/>
      <c r="E102" s="377" t="s">
        <v>1211</v>
      </c>
      <c r="F102" s="373"/>
      <c r="G102" s="373"/>
      <c r="H102" s="373"/>
      <c r="I102" s="378"/>
      <c r="J102" s="371"/>
      <c r="K102" s="371"/>
      <c r="L102" s="376"/>
      <c r="M102" s="371"/>
      <c r="N102" s="371"/>
      <c r="O102" s="371"/>
      <c r="P102" s="371"/>
      <c r="Q102" s="371"/>
      <c r="R102" s="372"/>
    </row>
    <row r="103" spans="2:23" ht="18.8" x14ac:dyDescent="0.35">
      <c r="B103" s="363"/>
      <c r="C103" s="363"/>
      <c r="D103" s="363"/>
      <c r="E103" s="377" t="s">
        <v>1212</v>
      </c>
      <c r="F103" s="373"/>
      <c r="G103" s="373"/>
      <c r="H103" s="373"/>
      <c r="I103" s="378"/>
      <c r="J103" s="371"/>
      <c r="K103" s="371"/>
      <c r="L103" s="376"/>
      <c r="M103" s="371"/>
      <c r="N103" s="371"/>
      <c r="O103" s="371"/>
      <c r="P103" s="371"/>
      <c r="Q103" s="371"/>
      <c r="R103" s="372"/>
    </row>
    <row r="104" spans="2:23" ht="16.7" x14ac:dyDescent="0.35">
      <c r="B104" s="363"/>
      <c r="C104" s="363"/>
      <c r="D104" s="363"/>
      <c r="E104" s="371" t="s">
        <v>1213</v>
      </c>
      <c r="F104" s="371"/>
      <c r="G104" s="371"/>
      <c r="H104" s="371"/>
      <c r="I104" s="378"/>
      <c r="J104" s="371"/>
      <c r="K104" s="371"/>
      <c r="L104" s="376"/>
      <c r="M104" s="371"/>
      <c r="N104" s="371"/>
      <c r="O104" s="371"/>
      <c r="P104" s="371"/>
      <c r="Q104" s="371"/>
      <c r="R104" s="372"/>
    </row>
    <row r="105" spans="2:23" ht="16.7" x14ac:dyDescent="0.35">
      <c r="B105" s="363"/>
      <c r="C105" s="363"/>
      <c r="D105" s="363"/>
      <c r="E105" s="371" t="s">
        <v>1214</v>
      </c>
      <c r="F105" s="371"/>
      <c r="G105" s="371"/>
      <c r="H105" s="371"/>
      <c r="I105" s="378"/>
      <c r="J105" s="371"/>
      <c r="K105" s="371"/>
      <c r="L105" s="376"/>
      <c r="M105" s="371"/>
      <c r="N105" s="371"/>
      <c r="O105" s="371"/>
      <c r="P105" s="371"/>
      <c r="Q105" s="371"/>
      <c r="R105" s="372"/>
    </row>
    <row r="106" spans="2:23" ht="16.7" x14ac:dyDescent="0.35">
      <c r="B106" s="363"/>
      <c r="C106" s="363"/>
      <c r="D106" s="363"/>
      <c r="E106" s="371" t="s">
        <v>1215</v>
      </c>
      <c r="F106" s="371"/>
      <c r="G106" s="371"/>
      <c r="H106" s="371"/>
      <c r="I106" s="378"/>
      <c r="J106" s="371"/>
      <c r="K106" s="371"/>
      <c r="L106" s="376"/>
      <c r="M106" s="371"/>
      <c r="N106" s="371"/>
      <c r="O106" s="371"/>
      <c r="P106" s="371"/>
      <c r="Q106" s="371"/>
      <c r="R106" s="372"/>
    </row>
    <row r="107" spans="2:23" ht="16.7" x14ac:dyDescent="0.35">
      <c r="B107" s="363"/>
      <c r="C107" s="363"/>
      <c r="D107" s="363"/>
      <c r="E107" s="371" t="s">
        <v>1216</v>
      </c>
      <c r="F107" s="371"/>
      <c r="G107" s="371"/>
      <c r="H107" s="371"/>
      <c r="I107" s="378"/>
      <c r="J107" s="371"/>
      <c r="K107" s="371"/>
      <c r="L107" s="376"/>
      <c r="M107" s="371"/>
      <c r="N107" s="371"/>
      <c r="O107" s="371"/>
      <c r="P107" s="371"/>
      <c r="Q107" s="371"/>
      <c r="R107" s="372"/>
    </row>
    <row r="108" spans="2:23" ht="16.7" x14ac:dyDescent="0.35">
      <c r="E108" s="392" t="s">
        <v>1217</v>
      </c>
      <c r="F108" s="392"/>
      <c r="G108" s="392"/>
      <c r="H108" s="392"/>
      <c r="I108" s="392"/>
      <c r="J108" s="392"/>
      <c r="K108" s="392"/>
      <c r="L108" s="393"/>
      <c r="M108" s="392"/>
      <c r="N108" s="392"/>
      <c r="O108" s="392"/>
      <c r="P108" s="392"/>
      <c r="Q108" s="392"/>
      <c r="R108" s="394"/>
    </row>
    <row r="109" spans="2:23" ht="16.7" x14ac:dyDescent="0.35">
      <c r="E109" s="392" t="s">
        <v>1218</v>
      </c>
      <c r="F109" s="392"/>
      <c r="G109" s="392"/>
      <c r="H109" s="392"/>
      <c r="I109" s="392"/>
      <c r="J109" s="392"/>
      <c r="K109" s="392"/>
      <c r="L109" s="393"/>
      <c r="M109" s="392"/>
      <c r="N109" s="392"/>
      <c r="O109" s="392"/>
      <c r="P109" s="392"/>
      <c r="Q109" s="392"/>
      <c r="R109" s="394"/>
    </row>
    <row r="110" spans="2:23" ht="16.7" x14ac:dyDescent="0.35">
      <c r="E110" s="395" t="s">
        <v>1219</v>
      </c>
      <c r="F110" s="392"/>
      <c r="G110" s="392"/>
      <c r="H110" s="392"/>
      <c r="I110" s="396"/>
      <c r="J110" s="392"/>
      <c r="K110" s="392"/>
      <c r="L110" s="393"/>
      <c r="M110" s="392"/>
      <c r="N110" s="392"/>
      <c r="O110" s="392"/>
      <c r="P110" s="392"/>
      <c r="Q110" s="392"/>
      <c r="R110" s="394"/>
    </row>
    <row r="111" spans="2:23" ht="16.7" x14ac:dyDescent="0.35">
      <c r="E111" s="392"/>
      <c r="F111" s="392"/>
      <c r="G111" s="392"/>
      <c r="H111" s="392"/>
      <c r="I111" s="396"/>
      <c r="J111" s="392"/>
      <c r="K111" s="392"/>
      <c r="L111" s="393"/>
      <c r="M111" s="392"/>
      <c r="N111" s="392"/>
      <c r="O111" s="392"/>
      <c r="P111" s="392"/>
      <c r="Q111" s="392"/>
      <c r="R111" s="394"/>
    </row>
    <row r="112" spans="2:23" ht="16.7" x14ac:dyDescent="0.35">
      <c r="E112" s="392"/>
      <c r="F112" s="392"/>
      <c r="G112" s="392"/>
      <c r="H112" s="392"/>
      <c r="I112" s="396"/>
      <c r="J112" s="392"/>
      <c r="K112" s="392"/>
      <c r="L112" s="393"/>
      <c r="M112" s="392"/>
      <c r="N112" s="392"/>
      <c r="O112" s="392"/>
      <c r="P112" s="392"/>
      <c r="Q112" s="392"/>
      <c r="R112" s="394"/>
    </row>
    <row r="113" spans="9:18" ht="13.45" x14ac:dyDescent="0.25">
      <c r="I113" s="340"/>
      <c r="L113" s="341"/>
      <c r="R113" s="342"/>
    </row>
    <row r="114" spans="9:18" ht="13.45" x14ac:dyDescent="0.25">
      <c r="I114" s="340"/>
      <c r="L114" s="341"/>
      <c r="R114" s="342"/>
    </row>
    <row r="115" spans="9:18" ht="13.45" x14ac:dyDescent="0.25">
      <c r="I115" s="340"/>
      <c r="L115" s="341"/>
      <c r="R115" s="342"/>
    </row>
    <row r="116" spans="9:18" ht="13.45" x14ac:dyDescent="0.25">
      <c r="I116" s="340"/>
      <c r="L116" s="341"/>
      <c r="R116" s="342"/>
    </row>
    <row r="117" spans="9:18" ht="13.45" x14ac:dyDescent="0.25">
      <c r="I117" s="340"/>
      <c r="L117" s="341"/>
      <c r="R117" s="342"/>
    </row>
    <row r="118" spans="9:18" ht="13.45" x14ac:dyDescent="0.25">
      <c r="I118" s="340"/>
      <c r="L118" s="341"/>
      <c r="R118" s="342"/>
    </row>
    <row r="119" spans="9:18" ht="13.45" x14ac:dyDescent="0.25">
      <c r="I119" s="340"/>
      <c r="L119" s="341"/>
      <c r="R119" s="342"/>
    </row>
    <row r="120" spans="9:18" ht="13.45" x14ac:dyDescent="0.25">
      <c r="I120" s="340"/>
      <c r="L120" s="341"/>
      <c r="R120" s="342"/>
    </row>
    <row r="121" spans="9:18" ht="13.45" x14ac:dyDescent="0.25">
      <c r="I121" s="340"/>
      <c r="L121" s="341"/>
      <c r="R121" s="342"/>
    </row>
    <row r="122" spans="9:18" ht="13.45" x14ac:dyDescent="0.25">
      <c r="I122" s="340"/>
      <c r="L122" s="341"/>
      <c r="R122" s="342"/>
    </row>
    <row r="123" spans="9:18" ht="13.45" x14ac:dyDescent="0.25">
      <c r="I123" s="340"/>
      <c r="L123" s="341"/>
      <c r="R123" s="342"/>
    </row>
    <row r="124" spans="9:18" ht="13.45" x14ac:dyDescent="0.25">
      <c r="I124" s="340"/>
      <c r="L124" s="341"/>
      <c r="R124" s="342"/>
    </row>
    <row r="125" spans="9:18" ht="13.45" x14ac:dyDescent="0.25">
      <c r="I125" s="340"/>
      <c r="L125" s="341"/>
      <c r="R125" s="342"/>
    </row>
    <row r="126" spans="9:18" ht="13.45" x14ac:dyDescent="0.25">
      <c r="I126" s="340"/>
      <c r="L126" s="341"/>
      <c r="R126" s="342"/>
    </row>
    <row r="127" spans="9:18" ht="13.45" x14ac:dyDescent="0.25">
      <c r="I127" s="340"/>
      <c r="L127" s="341"/>
      <c r="R127" s="342"/>
    </row>
    <row r="128" spans="9:18" ht="13.45" x14ac:dyDescent="0.25">
      <c r="I128" s="340"/>
      <c r="L128" s="341"/>
      <c r="R128" s="342"/>
    </row>
    <row r="129" spans="9:18" ht="13.45" x14ac:dyDescent="0.25">
      <c r="I129" s="340"/>
      <c r="L129" s="341"/>
      <c r="R129" s="342"/>
    </row>
    <row r="130" spans="9:18" ht="13.45" x14ac:dyDescent="0.25">
      <c r="I130" s="340"/>
      <c r="L130" s="341"/>
      <c r="R130" s="342"/>
    </row>
    <row r="131" spans="9:18" ht="13.45" x14ac:dyDescent="0.25">
      <c r="I131" s="340"/>
      <c r="L131" s="341"/>
      <c r="R131" s="342"/>
    </row>
    <row r="132" spans="9:18" ht="13.45" x14ac:dyDescent="0.25">
      <c r="I132" s="340"/>
      <c r="L132" s="341"/>
      <c r="R132" s="342"/>
    </row>
    <row r="133" spans="9:18" ht="13.45" x14ac:dyDescent="0.25">
      <c r="I133" s="340"/>
      <c r="L133" s="341"/>
      <c r="R133" s="342"/>
    </row>
    <row r="134" spans="9:18" ht="13.45" x14ac:dyDescent="0.25">
      <c r="I134" s="340"/>
      <c r="L134" s="341"/>
      <c r="R134" s="342"/>
    </row>
    <row r="135" spans="9:18" ht="13.45" x14ac:dyDescent="0.25">
      <c r="I135" s="340"/>
      <c r="L135" s="341"/>
      <c r="R135" s="342"/>
    </row>
    <row r="136" spans="9:18" ht="13.45" x14ac:dyDescent="0.25">
      <c r="I136" s="340"/>
      <c r="L136" s="341"/>
      <c r="R136" s="342"/>
    </row>
    <row r="137" spans="9:18" ht="13.45" x14ac:dyDescent="0.25">
      <c r="I137" s="340"/>
      <c r="L137" s="341"/>
      <c r="R137" s="342"/>
    </row>
    <row r="138" spans="9:18" ht="13.45" x14ac:dyDescent="0.25">
      <c r="I138" s="340"/>
      <c r="L138" s="341"/>
      <c r="R138" s="342"/>
    </row>
    <row r="139" spans="9:18" ht="13.45" x14ac:dyDescent="0.25">
      <c r="I139" s="340"/>
      <c r="L139" s="341"/>
      <c r="R139" s="342"/>
    </row>
    <row r="140" spans="9:18" ht="13.45" x14ac:dyDescent="0.25">
      <c r="I140" s="340"/>
      <c r="L140" s="341"/>
      <c r="R140" s="342"/>
    </row>
    <row r="141" spans="9:18" ht="13.45" x14ac:dyDescent="0.25">
      <c r="I141" s="340"/>
      <c r="L141" s="341"/>
      <c r="R141" s="342"/>
    </row>
    <row r="142" spans="9:18" ht="13.45" x14ac:dyDescent="0.25">
      <c r="I142" s="340"/>
      <c r="L142" s="341"/>
      <c r="R142" s="342"/>
    </row>
    <row r="143" spans="9:18" ht="13.45" x14ac:dyDescent="0.25">
      <c r="I143" s="340"/>
      <c r="L143" s="341"/>
      <c r="R143" s="342"/>
    </row>
    <row r="144" spans="9:18" ht="13.45" x14ac:dyDescent="0.25">
      <c r="I144" s="340"/>
      <c r="L144" s="341"/>
      <c r="R144" s="342"/>
    </row>
    <row r="145" spans="9:18" ht="13.45" x14ac:dyDescent="0.25">
      <c r="I145" s="340"/>
      <c r="L145" s="341"/>
      <c r="R145" s="342"/>
    </row>
    <row r="146" spans="9:18" ht="13.45" x14ac:dyDescent="0.25">
      <c r="I146" s="340"/>
      <c r="L146" s="341"/>
      <c r="R146" s="342"/>
    </row>
    <row r="147" spans="9:18" ht="13.45" x14ac:dyDescent="0.25">
      <c r="I147" s="340"/>
      <c r="L147" s="341"/>
      <c r="R147" s="342"/>
    </row>
    <row r="148" spans="9:18" ht="13.45" x14ac:dyDescent="0.25">
      <c r="I148" s="340"/>
      <c r="L148" s="341"/>
      <c r="R148" s="342"/>
    </row>
    <row r="149" spans="9:18" ht="13.45" x14ac:dyDescent="0.25">
      <c r="I149" s="340"/>
      <c r="L149" s="341"/>
      <c r="R149" s="342"/>
    </row>
    <row r="150" spans="9:18" ht="13.45" x14ac:dyDescent="0.25">
      <c r="I150" s="340"/>
      <c r="L150" s="341"/>
      <c r="R150" s="342"/>
    </row>
    <row r="151" spans="9:18" ht="13.45" x14ac:dyDescent="0.25">
      <c r="I151" s="340"/>
      <c r="L151" s="341"/>
      <c r="R151" s="342"/>
    </row>
    <row r="152" spans="9:18" ht="13.45" x14ac:dyDescent="0.25">
      <c r="I152" s="340"/>
      <c r="L152" s="341"/>
      <c r="R152" s="342"/>
    </row>
    <row r="153" spans="9:18" ht="13.45" x14ac:dyDescent="0.25">
      <c r="I153" s="340"/>
      <c r="L153" s="341"/>
      <c r="R153" s="342"/>
    </row>
    <row r="154" spans="9:18" ht="13.45" x14ac:dyDescent="0.25">
      <c r="I154" s="340"/>
      <c r="L154" s="341"/>
      <c r="R154" s="342"/>
    </row>
    <row r="155" spans="9:18" ht="13.45" x14ac:dyDescent="0.25">
      <c r="I155" s="340"/>
      <c r="L155" s="341"/>
      <c r="R155" s="342"/>
    </row>
    <row r="156" spans="9:18" ht="13.45" x14ac:dyDescent="0.25">
      <c r="I156" s="340"/>
      <c r="L156" s="341"/>
      <c r="R156" s="342"/>
    </row>
    <row r="157" spans="9:18" ht="13.45" x14ac:dyDescent="0.25">
      <c r="I157" s="340"/>
      <c r="L157" s="341"/>
      <c r="R157" s="342"/>
    </row>
    <row r="158" spans="9:18" ht="13.45" x14ac:dyDescent="0.25">
      <c r="I158" s="340"/>
      <c r="L158" s="341"/>
      <c r="R158" s="342"/>
    </row>
    <row r="159" spans="9:18" ht="13.45" x14ac:dyDescent="0.25">
      <c r="I159" s="340"/>
      <c r="L159" s="341"/>
      <c r="R159" s="342"/>
    </row>
    <row r="160" spans="9:18" ht="13.45" x14ac:dyDescent="0.25">
      <c r="I160" s="340"/>
      <c r="L160" s="341"/>
      <c r="R160" s="342"/>
    </row>
    <row r="161" spans="9:18" ht="13.45" x14ac:dyDescent="0.25">
      <c r="I161" s="340"/>
      <c r="L161" s="341"/>
      <c r="R161" s="342"/>
    </row>
    <row r="162" spans="9:18" ht="13.45" x14ac:dyDescent="0.25">
      <c r="I162" s="340"/>
      <c r="L162" s="341"/>
      <c r="R162" s="342"/>
    </row>
    <row r="163" spans="9:18" ht="13.45" x14ac:dyDescent="0.25">
      <c r="I163" s="340"/>
      <c r="L163" s="341"/>
      <c r="R163" s="342"/>
    </row>
    <row r="164" spans="9:18" ht="13.45" x14ac:dyDescent="0.25">
      <c r="I164" s="340"/>
      <c r="L164" s="341"/>
      <c r="R164" s="342"/>
    </row>
    <row r="165" spans="9:18" ht="13.45" x14ac:dyDescent="0.25">
      <c r="I165" s="340"/>
      <c r="L165" s="341"/>
      <c r="R165" s="342"/>
    </row>
    <row r="166" spans="9:18" ht="13.45" x14ac:dyDescent="0.25">
      <c r="I166" s="340"/>
      <c r="L166" s="341"/>
      <c r="R166" s="342"/>
    </row>
    <row r="167" spans="9:18" ht="13.45" x14ac:dyDescent="0.25">
      <c r="I167" s="340"/>
      <c r="L167" s="341"/>
      <c r="R167" s="342"/>
    </row>
    <row r="168" spans="9:18" ht="13.45" x14ac:dyDescent="0.25">
      <c r="I168" s="340"/>
      <c r="L168" s="341"/>
      <c r="R168" s="342"/>
    </row>
    <row r="169" spans="9:18" ht="13.45" x14ac:dyDescent="0.25">
      <c r="I169" s="340"/>
      <c r="L169" s="341"/>
      <c r="R169" s="342"/>
    </row>
    <row r="170" spans="9:18" ht="13.45" x14ac:dyDescent="0.25">
      <c r="I170" s="340"/>
      <c r="L170" s="341"/>
      <c r="R170" s="342"/>
    </row>
    <row r="171" spans="9:18" ht="13.45" x14ac:dyDescent="0.25">
      <c r="I171" s="340"/>
      <c r="L171" s="341"/>
      <c r="R171" s="342"/>
    </row>
    <row r="172" spans="9:18" ht="13.45" x14ac:dyDescent="0.25">
      <c r="I172" s="340"/>
      <c r="L172" s="341"/>
      <c r="R172" s="342"/>
    </row>
    <row r="173" spans="9:18" ht="13.45" x14ac:dyDescent="0.25">
      <c r="I173" s="340"/>
      <c r="L173" s="341"/>
      <c r="R173" s="342"/>
    </row>
    <row r="174" spans="9:18" ht="13.45" x14ac:dyDescent="0.25">
      <c r="I174" s="340"/>
      <c r="L174" s="341"/>
      <c r="R174" s="342"/>
    </row>
    <row r="175" spans="9:18" ht="13.45" x14ac:dyDescent="0.25">
      <c r="I175" s="340"/>
      <c r="L175" s="341"/>
      <c r="R175" s="342"/>
    </row>
    <row r="176" spans="9:18" ht="13.45" x14ac:dyDescent="0.25">
      <c r="I176" s="340"/>
      <c r="L176" s="341"/>
      <c r="R176" s="342"/>
    </row>
    <row r="177" spans="9:18" ht="13.45" x14ac:dyDescent="0.25">
      <c r="I177" s="340"/>
      <c r="L177" s="341"/>
      <c r="R177" s="342"/>
    </row>
    <row r="178" spans="9:18" ht="13.45" x14ac:dyDescent="0.25">
      <c r="I178" s="340"/>
      <c r="L178" s="341"/>
      <c r="R178" s="342"/>
    </row>
    <row r="179" spans="9:18" ht="13.45" x14ac:dyDescent="0.25">
      <c r="I179" s="340"/>
      <c r="L179" s="341"/>
      <c r="R179" s="342"/>
    </row>
    <row r="180" spans="9:18" ht="13.45" x14ac:dyDescent="0.25">
      <c r="I180" s="340"/>
      <c r="L180" s="341"/>
      <c r="R180" s="342"/>
    </row>
    <row r="181" spans="9:18" ht="13.45" x14ac:dyDescent="0.25">
      <c r="I181" s="340"/>
      <c r="L181" s="341"/>
      <c r="R181" s="342"/>
    </row>
    <row r="182" spans="9:18" ht="13.45" x14ac:dyDescent="0.25">
      <c r="I182" s="340"/>
      <c r="L182" s="341"/>
      <c r="R182" s="342"/>
    </row>
    <row r="183" spans="9:18" ht="13.45" x14ac:dyDescent="0.25">
      <c r="I183" s="340"/>
      <c r="L183" s="341"/>
      <c r="R183" s="342"/>
    </row>
    <row r="184" spans="9:18" ht="13.45" x14ac:dyDescent="0.25">
      <c r="I184" s="340"/>
      <c r="L184" s="341"/>
      <c r="R184" s="342"/>
    </row>
    <row r="185" spans="9:18" ht="13.45" x14ac:dyDescent="0.25">
      <c r="I185" s="340"/>
      <c r="L185" s="341"/>
      <c r="R185" s="342"/>
    </row>
    <row r="186" spans="9:18" ht="13.45" x14ac:dyDescent="0.25">
      <c r="I186" s="340"/>
      <c r="L186" s="341"/>
      <c r="R186" s="342"/>
    </row>
    <row r="187" spans="9:18" ht="13.45" x14ac:dyDescent="0.25">
      <c r="I187" s="340"/>
      <c r="L187" s="341"/>
      <c r="R187" s="342"/>
    </row>
    <row r="188" spans="9:18" ht="13.45" x14ac:dyDescent="0.25">
      <c r="I188" s="340"/>
      <c r="L188" s="341"/>
      <c r="R188" s="342"/>
    </row>
    <row r="189" spans="9:18" ht="13.45" x14ac:dyDescent="0.25">
      <c r="I189" s="340"/>
      <c r="L189" s="341"/>
      <c r="R189" s="342"/>
    </row>
    <row r="190" spans="9:18" ht="13.45" x14ac:dyDescent="0.25">
      <c r="I190" s="340"/>
      <c r="L190" s="341"/>
      <c r="R190" s="342"/>
    </row>
    <row r="191" spans="9:18" ht="13.45" x14ac:dyDescent="0.25">
      <c r="I191" s="340"/>
      <c r="L191" s="341"/>
      <c r="R191" s="342"/>
    </row>
    <row r="192" spans="9:18" ht="13.45" x14ac:dyDescent="0.25">
      <c r="I192" s="340"/>
      <c r="L192" s="341"/>
      <c r="R192" s="342"/>
    </row>
    <row r="193" spans="9:18" ht="13.45" x14ac:dyDescent="0.25">
      <c r="I193" s="340"/>
      <c r="L193" s="341"/>
      <c r="R193" s="342"/>
    </row>
    <row r="194" spans="9:18" ht="13.45" x14ac:dyDescent="0.25">
      <c r="I194" s="340"/>
      <c r="L194" s="341"/>
      <c r="R194" s="342"/>
    </row>
    <row r="195" spans="9:18" ht="13.45" x14ac:dyDescent="0.25">
      <c r="I195" s="340"/>
      <c r="L195" s="341"/>
      <c r="R195" s="342"/>
    </row>
    <row r="196" spans="9:18" ht="13.45" x14ac:dyDescent="0.25">
      <c r="I196" s="340"/>
      <c r="L196" s="341"/>
      <c r="R196" s="342"/>
    </row>
    <row r="197" spans="9:18" ht="13.45" x14ac:dyDescent="0.25">
      <c r="I197" s="340"/>
      <c r="L197" s="341"/>
      <c r="R197" s="342"/>
    </row>
    <row r="198" spans="9:18" ht="13.45" x14ac:dyDescent="0.25">
      <c r="I198" s="340"/>
      <c r="L198" s="341"/>
      <c r="R198" s="342"/>
    </row>
    <row r="199" spans="9:18" ht="13.45" x14ac:dyDescent="0.25">
      <c r="I199" s="340"/>
      <c r="L199" s="341"/>
      <c r="R199" s="342"/>
    </row>
    <row r="200" spans="9:18" ht="13.45" x14ac:dyDescent="0.25">
      <c r="I200" s="340"/>
      <c r="L200" s="341"/>
      <c r="R200" s="342"/>
    </row>
    <row r="201" spans="9:18" ht="13.45" x14ac:dyDescent="0.25">
      <c r="I201" s="340"/>
      <c r="L201" s="341"/>
      <c r="R201" s="342"/>
    </row>
    <row r="202" spans="9:18" ht="13.45" x14ac:dyDescent="0.25">
      <c r="I202" s="340"/>
      <c r="L202" s="341"/>
      <c r="R202" s="342"/>
    </row>
    <row r="203" spans="9:18" ht="13.45" x14ac:dyDescent="0.25">
      <c r="I203" s="340"/>
      <c r="L203" s="341"/>
      <c r="R203" s="342"/>
    </row>
    <row r="204" spans="9:18" ht="13.45" x14ac:dyDescent="0.25">
      <c r="I204" s="340"/>
      <c r="L204" s="341"/>
      <c r="R204" s="342"/>
    </row>
    <row r="205" spans="9:18" ht="13.45" x14ac:dyDescent="0.25">
      <c r="I205" s="340"/>
      <c r="L205" s="341"/>
      <c r="R205" s="342"/>
    </row>
    <row r="206" spans="9:18" ht="13.45" x14ac:dyDescent="0.25">
      <c r="I206" s="340"/>
      <c r="L206" s="341"/>
      <c r="R206" s="342"/>
    </row>
    <row r="207" spans="9:18" ht="13.45" x14ac:dyDescent="0.25">
      <c r="I207" s="340"/>
      <c r="L207" s="341"/>
      <c r="R207" s="342"/>
    </row>
    <row r="208" spans="9:18" ht="13.45" x14ac:dyDescent="0.25">
      <c r="I208" s="340"/>
      <c r="L208" s="341"/>
      <c r="R208" s="342"/>
    </row>
    <row r="209" spans="9:18" ht="13.45" x14ac:dyDescent="0.25">
      <c r="I209" s="340"/>
      <c r="L209" s="341"/>
      <c r="R209" s="342"/>
    </row>
    <row r="210" spans="9:18" ht="13.45" x14ac:dyDescent="0.25">
      <c r="I210" s="340"/>
      <c r="L210" s="341"/>
      <c r="R210" s="342"/>
    </row>
    <row r="211" spans="9:18" ht="13.45" x14ac:dyDescent="0.25">
      <c r="I211" s="340"/>
      <c r="L211" s="341"/>
      <c r="R211" s="342"/>
    </row>
    <row r="212" spans="9:18" ht="13.45" x14ac:dyDescent="0.25">
      <c r="I212" s="340"/>
      <c r="L212" s="341"/>
      <c r="R212" s="342"/>
    </row>
    <row r="213" spans="9:18" ht="13.45" x14ac:dyDescent="0.25">
      <c r="I213" s="340"/>
      <c r="L213" s="341"/>
      <c r="R213" s="342"/>
    </row>
    <row r="214" spans="9:18" ht="13.45" x14ac:dyDescent="0.25">
      <c r="I214" s="340"/>
      <c r="L214" s="341"/>
      <c r="R214" s="342"/>
    </row>
    <row r="215" spans="9:18" ht="13.45" x14ac:dyDescent="0.25">
      <c r="I215" s="340"/>
      <c r="L215" s="341"/>
      <c r="R215" s="342"/>
    </row>
    <row r="216" spans="9:18" ht="13.45" x14ac:dyDescent="0.25">
      <c r="I216" s="340"/>
      <c r="L216" s="341"/>
      <c r="R216" s="342"/>
    </row>
    <row r="217" spans="9:18" ht="13.45" x14ac:dyDescent="0.25">
      <c r="I217" s="340"/>
      <c r="L217" s="341"/>
      <c r="R217" s="342"/>
    </row>
    <row r="218" spans="9:18" ht="13.45" x14ac:dyDescent="0.25">
      <c r="I218" s="340"/>
      <c r="L218" s="341"/>
      <c r="R218" s="342"/>
    </row>
    <row r="219" spans="9:18" ht="13.45" x14ac:dyDescent="0.25">
      <c r="I219" s="340"/>
      <c r="L219" s="341"/>
      <c r="R219" s="342"/>
    </row>
    <row r="220" spans="9:18" ht="13.45" x14ac:dyDescent="0.25">
      <c r="I220" s="340"/>
      <c r="L220" s="341"/>
      <c r="R220" s="342"/>
    </row>
    <row r="221" spans="9:18" ht="13.45" x14ac:dyDescent="0.25">
      <c r="I221" s="340"/>
      <c r="L221" s="341"/>
      <c r="R221" s="342"/>
    </row>
    <row r="222" spans="9:18" ht="13.45" x14ac:dyDescent="0.25">
      <c r="I222" s="340"/>
      <c r="L222" s="341"/>
      <c r="R222" s="342"/>
    </row>
    <row r="223" spans="9:18" ht="13.45" x14ac:dyDescent="0.25">
      <c r="I223" s="340"/>
      <c r="L223" s="341"/>
      <c r="R223" s="342"/>
    </row>
    <row r="224" spans="9:18" ht="13.45" x14ac:dyDescent="0.25">
      <c r="I224" s="340"/>
      <c r="L224" s="341"/>
      <c r="R224" s="342"/>
    </row>
    <row r="225" spans="9:18" ht="13.45" x14ac:dyDescent="0.25">
      <c r="I225" s="340"/>
      <c r="L225" s="341"/>
      <c r="R225" s="342"/>
    </row>
    <row r="226" spans="9:18" ht="13.45" x14ac:dyDescent="0.25">
      <c r="I226" s="340"/>
      <c r="L226" s="341"/>
      <c r="R226" s="342"/>
    </row>
    <row r="227" spans="9:18" ht="13.45" x14ac:dyDescent="0.25">
      <c r="I227" s="340"/>
      <c r="L227" s="341"/>
      <c r="R227" s="342"/>
    </row>
    <row r="228" spans="9:18" ht="13.45" x14ac:dyDescent="0.25">
      <c r="I228" s="340"/>
      <c r="L228" s="341"/>
      <c r="R228" s="342"/>
    </row>
    <row r="229" spans="9:18" ht="13.45" x14ac:dyDescent="0.25">
      <c r="I229" s="340"/>
      <c r="L229" s="341"/>
      <c r="R229" s="342"/>
    </row>
    <row r="230" spans="9:18" ht="13.45" x14ac:dyDescent="0.25">
      <c r="I230" s="340"/>
      <c r="L230" s="341"/>
      <c r="R230" s="342"/>
    </row>
    <row r="231" spans="9:18" ht="13.45" x14ac:dyDescent="0.25">
      <c r="I231" s="340"/>
      <c r="L231" s="341"/>
      <c r="R231" s="342"/>
    </row>
    <row r="232" spans="9:18" ht="13.45" x14ac:dyDescent="0.25">
      <c r="I232" s="340"/>
      <c r="L232" s="341"/>
      <c r="R232" s="342"/>
    </row>
    <row r="233" spans="9:18" ht="13.45" x14ac:dyDescent="0.25">
      <c r="I233" s="340"/>
      <c r="L233" s="341"/>
      <c r="R233" s="342"/>
    </row>
    <row r="234" spans="9:18" ht="13.45" x14ac:dyDescent="0.25">
      <c r="I234" s="340"/>
      <c r="L234" s="341"/>
      <c r="R234" s="342"/>
    </row>
    <row r="235" spans="9:18" ht="13.45" x14ac:dyDescent="0.25">
      <c r="I235" s="340"/>
      <c r="L235" s="341"/>
      <c r="R235" s="342"/>
    </row>
    <row r="236" spans="9:18" ht="13.45" x14ac:dyDescent="0.25">
      <c r="I236" s="340"/>
      <c r="L236" s="341"/>
      <c r="R236" s="342"/>
    </row>
    <row r="237" spans="9:18" ht="13.45" x14ac:dyDescent="0.25">
      <c r="I237" s="340"/>
      <c r="L237" s="341"/>
      <c r="R237" s="342"/>
    </row>
    <row r="238" spans="9:18" ht="13.45" x14ac:dyDescent="0.25">
      <c r="I238" s="340"/>
      <c r="L238" s="341"/>
      <c r="R238" s="342"/>
    </row>
    <row r="239" spans="9:18" ht="13.45" x14ac:dyDescent="0.25">
      <c r="I239" s="340"/>
      <c r="L239" s="341"/>
      <c r="R239" s="342"/>
    </row>
    <row r="240" spans="9:18" ht="13.45" x14ac:dyDescent="0.25">
      <c r="I240" s="340"/>
      <c r="L240" s="341"/>
      <c r="R240" s="342"/>
    </row>
    <row r="241" spans="9:18" ht="13.45" x14ac:dyDescent="0.25">
      <c r="I241" s="340"/>
      <c r="L241" s="341"/>
      <c r="R241" s="342"/>
    </row>
    <row r="242" spans="9:18" ht="13.45" x14ac:dyDescent="0.25">
      <c r="I242" s="340"/>
      <c r="L242" s="341"/>
      <c r="R242" s="342"/>
    </row>
    <row r="243" spans="9:18" ht="13.45" x14ac:dyDescent="0.25">
      <c r="I243" s="340"/>
      <c r="L243" s="341"/>
      <c r="R243" s="342"/>
    </row>
    <row r="244" spans="9:18" ht="13.45" x14ac:dyDescent="0.25">
      <c r="I244" s="340"/>
      <c r="L244" s="341"/>
      <c r="R244" s="342"/>
    </row>
    <row r="245" spans="9:18" ht="13.45" x14ac:dyDescent="0.25">
      <c r="I245" s="340"/>
      <c r="L245" s="341"/>
      <c r="R245" s="342"/>
    </row>
    <row r="246" spans="9:18" ht="13.45" x14ac:dyDescent="0.25">
      <c r="I246" s="340"/>
      <c r="L246" s="341"/>
      <c r="R246" s="342"/>
    </row>
    <row r="247" spans="9:18" ht="13.45" x14ac:dyDescent="0.25">
      <c r="I247" s="340"/>
      <c r="L247" s="341"/>
      <c r="R247" s="342"/>
    </row>
    <row r="248" spans="9:18" ht="13.45" x14ac:dyDescent="0.25">
      <c r="I248" s="340"/>
      <c r="L248" s="341"/>
      <c r="R248" s="342"/>
    </row>
    <row r="249" spans="9:18" ht="13.45" x14ac:dyDescent="0.25">
      <c r="I249" s="340"/>
      <c r="L249" s="341"/>
      <c r="R249" s="342"/>
    </row>
    <row r="250" spans="9:18" ht="13.45" x14ac:dyDescent="0.25">
      <c r="I250" s="340"/>
      <c r="L250" s="341"/>
      <c r="R250" s="342"/>
    </row>
    <row r="251" spans="9:18" ht="13.45" x14ac:dyDescent="0.25">
      <c r="I251" s="340"/>
      <c r="L251" s="341"/>
      <c r="R251" s="342"/>
    </row>
    <row r="252" spans="9:18" ht="13.45" x14ac:dyDescent="0.25">
      <c r="I252" s="340"/>
      <c r="L252" s="341"/>
      <c r="R252" s="342"/>
    </row>
    <row r="253" spans="9:18" ht="13.45" x14ac:dyDescent="0.25">
      <c r="I253" s="340"/>
      <c r="L253" s="341"/>
      <c r="R253" s="342"/>
    </row>
    <row r="254" spans="9:18" ht="13.45" x14ac:dyDescent="0.25">
      <c r="I254" s="340"/>
      <c r="L254" s="341"/>
      <c r="R254" s="342"/>
    </row>
    <row r="255" spans="9:18" ht="13.45" x14ac:dyDescent="0.25">
      <c r="I255" s="340"/>
      <c r="L255" s="341"/>
      <c r="R255" s="342"/>
    </row>
    <row r="256" spans="9:18" ht="13.45" x14ac:dyDescent="0.25">
      <c r="I256" s="340"/>
      <c r="L256" s="341"/>
      <c r="R256" s="342"/>
    </row>
    <row r="257" spans="9:18" ht="13.45" x14ac:dyDescent="0.25">
      <c r="I257" s="340"/>
      <c r="L257" s="341"/>
      <c r="R257" s="342"/>
    </row>
    <row r="258" spans="9:18" ht="13.45" x14ac:dyDescent="0.25">
      <c r="I258" s="340"/>
      <c r="L258" s="341"/>
      <c r="R258" s="342"/>
    </row>
    <row r="259" spans="9:18" ht="13.45" x14ac:dyDescent="0.25">
      <c r="I259" s="340"/>
      <c r="L259" s="341"/>
      <c r="R259" s="342"/>
    </row>
    <row r="260" spans="9:18" ht="13.45" x14ac:dyDescent="0.25">
      <c r="I260" s="340"/>
      <c r="L260" s="341"/>
      <c r="R260" s="342"/>
    </row>
    <row r="261" spans="9:18" ht="13.45" x14ac:dyDescent="0.25">
      <c r="I261" s="340"/>
      <c r="L261" s="341"/>
      <c r="R261" s="342"/>
    </row>
    <row r="262" spans="9:18" ht="13.45" x14ac:dyDescent="0.25">
      <c r="I262" s="340"/>
      <c r="L262" s="341"/>
      <c r="R262" s="342"/>
    </row>
    <row r="263" spans="9:18" ht="13.45" x14ac:dyDescent="0.25">
      <c r="I263" s="340"/>
      <c r="L263" s="341"/>
      <c r="R263" s="342"/>
    </row>
    <row r="264" spans="9:18" ht="13.45" x14ac:dyDescent="0.25">
      <c r="I264" s="340"/>
      <c r="L264" s="341"/>
      <c r="R264" s="342"/>
    </row>
    <row r="265" spans="9:18" ht="13.45" x14ac:dyDescent="0.25">
      <c r="I265" s="340"/>
      <c r="L265" s="341"/>
      <c r="R265" s="342"/>
    </row>
    <row r="266" spans="9:18" ht="13.45" x14ac:dyDescent="0.25">
      <c r="I266" s="340"/>
      <c r="L266" s="341"/>
      <c r="R266" s="342"/>
    </row>
    <row r="267" spans="9:18" ht="13.45" x14ac:dyDescent="0.25">
      <c r="I267" s="340"/>
      <c r="L267" s="341"/>
      <c r="R267" s="342"/>
    </row>
    <row r="268" spans="9:18" ht="13.45" x14ac:dyDescent="0.25">
      <c r="I268" s="340"/>
      <c r="L268" s="341"/>
      <c r="R268" s="342"/>
    </row>
    <row r="269" spans="9:18" ht="13.45" x14ac:dyDescent="0.25">
      <c r="I269" s="340"/>
      <c r="L269" s="341"/>
      <c r="R269" s="342"/>
    </row>
    <row r="270" spans="9:18" ht="13.45" x14ac:dyDescent="0.25">
      <c r="I270" s="340"/>
      <c r="L270" s="341"/>
      <c r="R270" s="342"/>
    </row>
    <row r="271" spans="9:18" ht="13.45" x14ac:dyDescent="0.25">
      <c r="I271" s="340"/>
      <c r="L271" s="341"/>
      <c r="R271" s="342"/>
    </row>
    <row r="272" spans="9:18" ht="13.45" x14ac:dyDescent="0.25">
      <c r="I272" s="340"/>
      <c r="L272" s="341"/>
      <c r="R272" s="342"/>
    </row>
    <row r="273" spans="9:18" ht="13.45" x14ac:dyDescent="0.25">
      <c r="I273" s="340"/>
      <c r="L273" s="341"/>
      <c r="R273" s="342"/>
    </row>
    <row r="274" spans="9:18" ht="13.45" x14ac:dyDescent="0.25">
      <c r="I274" s="340"/>
      <c r="L274" s="341"/>
      <c r="R274" s="342"/>
    </row>
    <row r="275" spans="9:18" ht="13.45" x14ac:dyDescent="0.25">
      <c r="I275" s="340"/>
      <c r="L275" s="341"/>
      <c r="R275" s="342"/>
    </row>
    <row r="276" spans="9:18" ht="13.45" x14ac:dyDescent="0.25">
      <c r="I276" s="340"/>
      <c r="L276" s="341"/>
      <c r="R276" s="342"/>
    </row>
    <row r="277" spans="9:18" ht="13.45" x14ac:dyDescent="0.25">
      <c r="I277" s="340"/>
      <c r="L277" s="341"/>
      <c r="R277" s="342"/>
    </row>
    <row r="278" spans="9:18" ht="13.45" x14ac:dyDescent="0.25">
      <c r="I278" s="340"/>
      <c r="L278" s="341"/>
      <c r="R278" s="342"/>
    </row>
    <row r="279" spans="9:18" ht="13.45" x14ac:dyDescent="0.25">
      <c r="I279" s="340"/>
      <c r="L279" s="341"/>
      <c r="R279" s="342"/>
    </row>
    <row r="280" spans="9:18" ht="13.45" x14ac:dyDescent="0.25">
      <c r="I280" s="340"/>
      <c r="L280" s="341"/>
      <c r="R280" s="342"/>
    </row>
    <row r="281" spans="9:18" ht="13.45" x14ac:dyDescent="0.25">
      <c r="I281" s="340"/>
      <c r="L281" s="341"/>
      <c r="R281" s="342"/>
    </row>
    <row r="282" spans="9:18" ht="13.45" x14ac:dyDescent="0.25">
      <c r="I282" s="340"/>
      <c r="L282" s="341"/>
      <c r="R282" s="342"/>
    </row>
    <row r="283" spans="9:18" ht="13.45" x14ac:dyDescent="0.25">
      <c r="I283" s="340"/>
      <c r="L283" s="341"/>
      <c r="R283" s="342"/>
    </row>
    <row r="284" spans="9:18" ht="13.45" x14ac:dyDescent="0.25">
      <c r="I284" s="340"/>
      <c r="L284" s="341"/>
      <c r="R284" s="342"/>
    </row>
    <row r="285" spans="9:18" ht="13.45" x14ac:dyDescent="0.25">
      <c r="I285" s="340"/>
      <c r="L285" s="341"/>
      <c r="R285" s="342"/>
    </row>
    <row r="286" spans="9:18" ht="13.45" x14ac:dyDescent="0.25">
      <c r="I286" s="340"/>
      <c r="L286" s="341"/>
      <c r="R286" s="342"/>
    </row>
    <row r="287" spans="9:18" ht="13.45" x14ac:dyDescent="0.25">
      <c r="I287" s="340"/>
      <c r="L287" s="341"/>
      <c r="R287" s="342"/>
    </row>
    <row r="288" spans="9:18" ht="13.45" x14ac:dyDescent="0.25">
      <c r="I288" s="340"/>
      <c r="L288" s="341"/>
      <c r="R288" s="342"/>
    </row>
    <row r="289" spans="9:18" ht="13.45" x14ac:dyDescent="0.25">
      <c r="I289" s="340"/>
      <c r="L289" s="341"/>
      <c r="R289" s="342"/>
    </row>
    <row r="290" spans="9:18" ht="13.45" x14ac:dyDescent="0.25">
      <c r="I290" s="340"/>
      <c r="L290" s="341"/>
      <c r="R290" s="342"/>
    </row>
    <row r="291" spans="9:18" ht="13.45" x14ac:dyDescent="0.25">
      <c r="I291" s="340"/>
      <c r="L291" s="341"/>
      <c r="R291" s="342"/>
    </row>
    <row r="292" spans="9:18" ht="13.45" x14ac:dyDescent="0.25">
      <c r="I292" s="340"/>
      <c r="L292" s="341"/>
      <c r="R292" s="342"/>
    </row>
    <row r="293" spans="9:18" ht="13.45" x14ac:dyDescent="0.25">
      <c r="I293" s="340"/>
      <c r="L293" s="341"/>
      <c r="R293" s="342"/>
    </row>
    <row r="294" spans="9:18" ht="13.45" x14ac:dyDescent="0.25">
      <c r="I294" s="340"/>
      <c r="L294" s="341"/>
      <c r="R294" s="342"/>
    </row>
    <row r="295" spans="9:18" ht="13.45" x14ac:dyDescent="0.25">
      <c r="I295" s="340"/>
      <c r="L295" s="341"/>
      <c r="R295" s="342"/>
    </row>
    <row r="296" spans="9:18" ht="13.45" x14ac:dyDescent="0.25">
      <c r="I296" s="340"/>
      <c r="L296" s="341"/>
      <c r="R296" s="342"/>
    </row>
    <row r="297" spans="9:18" ht="13.45" x14ac:dyDescent="0.25">
      <c r="I297" s="340"/>
      <c r="L297" s="341"/>
      <c r="R297" s="342"/>
    </row>
    <row r="298" spans="9:18" ht="13.45" x14ac:dyDescent="0.25">
      <c r="I298" s="340"/>
      <c r="L298" s="341"/>
      <c r="R298" s="342"/>
    </row>
    <row r="299" spans="9:18" ht="13.45" x14ac:dyDescent="0.25">
      <c r="I299" s="340"/>
      <c r="L299" s="341"/>
      <c r="R299" s="342"/>
    </row>
    <row r="300" spans="9:18" ht="13.45" x14ac:dyDescent="0.25">
      <c r="I300" s="340"/>
      <c r="L300" s="341"/>
      <c r="R300" s="342"/>
    </row>
    <row r="301" spans="9:18" ht="13.45" x14ac:dyDescent="0.25">
      <c r="I301" s="340"/>
      <c r="L301" s="341"/>
      <c r="R301" s="342"/>
    </row>
    <row r="302" spans="9:18" ht="13.45" x14ac:dyDescent="0.25">
      <c r="I302" s="340"/>
      <c r="L302" s="341"/>
      <c r="R302" s="342"/>
    </row>
    <row r="303" spans="9:18" ht="13.45" x14ac:dyDescent="0.25">
      <c r="I303" s="340"/>
      <c r="L303" s="341"/>
      <c r="R303" s="342"/>
    </row>
    <row r="304" spans="9:18" ht="13.45" x14ac:dyDescent="0.25">
      <c r="I304" s="340"/>
      <c r="L304" s="341"/>
      <c r="R304" s="342"/>
    </row>
    <row r="305" spans="9:18" ht="13.45" x14ac:dyDescent="0.25">
      <c r="I305" s="340"/>
      <c r="L305" s="341"/>
      <c r="R305" s="342"/>
    </row>
    <row r="306" spans="9:18" ht="13.45" x14ac:dyDescent="0.25">
      <c r="I306" s="340"/>
      <c r="L306" s="341"/>
      <c r="R306" s="342"/>
    </row>
    <row r="307" spans="9:18" ht="13.45" x14ac:dyDescent="0.25">
      <c r="I307" s="340"/>
      <c r="L307" s="341"/>
      <c r="R307" s="342"/>
    </row>
    <row r="308" spans="9:18" ht="13.45" x14ac:dyDescent="0.25">
      <c r="I308" s="340"/>
      <c r="L308" s="341"/>
      <c r="R308" s="342"/>
    </row>
    <row r="309" spans="9:18" ht="13.45" x14ac:dyDescent="0.25">
      <c r="I309" s="340"/>
      <c r="L309" s="341"/>
      <c r="R309" s="342"/>
    </row>
    <row r="310" spans="9:18" ht="13.45" x14ac:dyDescent="0.25">
      <c r="I310" s="340"/>
      <c r="L310" s="341"/>
      <c r="R310" s="342"/>
    </row>
    <row r="311" spans="9:18" ht="13.45" x14ac:dyDescent="0.25">
      <c r="I311" s="340"/>
      <c r="L311" s="341"/>
      <c r="R311" s="342"/>
    </row>
    <row r="312" spans="9:18" ht="13.45" x14ac:dyDescent="0.25">
      <c r="I312" s="340"/>
      <c r="L312" s="341"/>
      <c r="R312" s="342"/>
    </row>
    <row r="313" spans="9:18" ht="13.45" x14ac:dyDescent="0.25">
      <c r="I313" s="340"/>
      <c r="L313" s="341"/>
      <c r="R313" s="342"/>
    </row>
    <row r="314" spans="9:18" ht="13.45" x14ac:dyDescent="0.25">
      <c r="I314" s="340"/>
      <c r="L314" s="341"/>
      <c r="R314" s="342"/>
    </row>
    <row r="315" spans="9:18" ht="13.45" x14ac:dyDescent="0.25">
      <c r="I315" s="340"/>
      <c r="L315" s="341"/>
      <c r="R315" s="342"/>
    </row>
    <row r="316" spans="9:18" ht="13.45" x14ac:dyDescent="0.25">
      <c r="I316" s="340"/>
      <c r="L316" s="341"/>
      <c r="R316" s="342"/>
    </row>
    <row r="317" spans="9:18" ht="13.45" x14ac:dyDescent="0.25">
      <c r="I317" s="340"/>
      <c r="L317" s="341"/>
      <c r="R317" s="342"/>
    </row>
    <row r="318" spans="9:18" ht="13.45" x14ac:dyDescent="0.25">
      <c r="I318" s="340"/>
      <c r="L318" s="341"/>
      <c r="R318" s="342"/>
    </row>
    <row r="319" spans="9:18" ht="13.45" x14ac:dyDescent="0.25">
      <c r="I319" s="340"/>
      <c r="L319" s="341"/>
      <c r="R319" s="342"/>
    </row>
    <row r="320" spans="9:18" ht="13.45" x14ac:dyDescent="0.25">
      <c r="I320" s="340"/>
      <c r="L320" s="341"/>
      <c r="R320" s="342"/>
    </row>
    <row r="321" spans="9:18" ht="13.45" x14ac:dyDescent="0.25">
      <c r="I321" s="340"/>
      <c r="L321" s="341"/>
      <c r="R321" s="342"/>
    </row>
    <row r="322" spans="9:18" ht="13.45" x14ac:dyDescent="0.25">
      <c r="I322" s="340"/>
      <c r="L322" s="341"/>
      <c r="R322" s="342"/>
    </row>
    <row r="323" spans="9:18" ht="13.45" x14ac:dyDescent="0.25">
      <c r="I323" s="340"/>
      <c r="L323" s="341"/>
      <c r="R323" s="342"/>
    </row>
    <row r="324" spans="9:18" ht="13.45" x14ac:dyDescent="0.25">
      <c r="I324" s="340"/>
      <c r="L324" s="341"/>
      <c r="R324" s="342"/>
    </row>
    <row r="325" spans="9:18" ht="13.45" x14ac:dyDescent="0.25">
      <c r="I325" s="340"/>
      <c r="L325" s="341"/>
      <c r="R325" s="342"/>
    </row>
    <row r="326" spans="9:18" ht="13.45" x14ac:dyDescent="0.25">
      <c r="I326" s="340"/>
      <c r="L326" s="341"/>
      <c r="R326" s="342"/>
    </row>
    <row r="327" spans="9:18" ht="13.45" x14ac:dyDescent="0.25">
      <c r="I327" s="340"/>
      <c r="L327" s="341"/>
      <c r="R327" s="342"/>
    </row>
    <row r="328" spans="9:18" ht="13.45" x14ac:dyDescent="0.25">
      <c r="I328" s="340"/>
      <c r="L328" s="341"/>
      <c r="R328" s="342"/>
    </row>
    <row r="329" spans="9:18" ht="13.45" x14ac:dyDescent="0.25">
      <c r="I329" s="340"/>
      <c r="L329" s="341"/>
      <c r="R329" s="342"/>
    </row>
    <row r="330" spans="9:18" ht="13.45" x14ac:dyDescent="0.25">
      <c r="I330" s="340"/>
      <c r="L330" s="341"/>
      <c r="R330" s="342"/>
    </row>
    <row r="331" spans="9:18" ht="13.45" x14ac:dyDescent="0.25">
      <c r="I331" s="340"/>
      <c r="L331" s="341"/>
      <c r="R331" s="342"/>
    </row>
    <row r="332" spans="9:18" ht="13.45" x14ac:dyDescent="0.25">
      <c r="I332" s="340"/>
      <c r="L332" s="341"/>
      <c r="R332" s="342"/>
    </row>
    <row r="333" spans="9:18" ht="13.45" x14ac:dyDescent="0.25">
      <c r="I333" s="340"/>
      <c r="L333" s="341"/>
      <c r="R333" s="342"/>
    </row>
    <row r="334" spans="9:18" ht="13.45" x14ac:dyDescent="0.25">
      <c r="I334" s="340"/>
      <c r="L334" s="341"/>
      <c r="R334" s="342"/>
    </row>
    <row r="335" spans="9:18" ht="13.45" x14ac:dyDescent="0.25">
      <c r="I335" s="340"/>
      <c r="L335" s="341"/>
      <c r="R335" s="342"/>
    </row>
    <row r="336" spans="9:18" ht="13.45" x14ac:dyDescent="0.25">
      <c r="I336" s="340"/>
      <c r="L336" s="341"/>
      <c r="R336" s="342"/>
    </row>
    <row r="337" spans="9:18" ht="13.45" x14ac:dyDescent="0.25">
      <c r="I337" s="340"/>
      <c r="L337" s="341"/>
      <c r="R337" s="342"/>
    </row>
    <row r="338" spans="9:18" ht="13.45" x14ac:dyDescent="0.25">
      <c r="I338" s="340"/>
      <c r="L338" s="341"/>
      <c r="R338" s="342"/>
    </row>
    <row r="339" spans="9:18" ht="13.45" x14ac:dyDescent="0.25">
      <c r="I339" s="340"/>
      <c r="L339" s="341"/>
      <c r="R339" s="342"/>
    </row>
    <row r="340" spans="9:18" ht="13.45" x14ac:dyDescent="0.25">
      <c r="I340" s="340"/>
      <c r="L340" s="341"/>
      <c r="R340" s="342"/>
    </row>
    <row r="341" spans="9:18" ht="13.45" x14ac:dyDescent="0.25">
      <c r="I341" s="340"/>
      <c r="L341" s="341"/>
      <c r="R341" s="342"/>
    </row>
    <row r="342" spans="9:18" ht="13.45" x14ac:dyDescent="0.25">
      <c r="I342" s="340"/>
      <c r="L342" s="341"/>
      <c r="R342" s="342"/>
    </row>
    <row r="343" spans="9:18" ht="13.45" x14ac:dyDescent="0.25">
      <c r="I343" s="340"/>
      <c r="L343" s="341"/>
      <c r="R343" s="342"/>
    </row>
    <row r="344" spans="9:18" ht="13.45" x14ac:dyDescent="0.25">
      <c r="I344" s="340"/>
      <c r="L344" s="341"/>
      <c r="R344" s="342"/>
    </row>
    <row r="345" spans="9:18" ht="13.45" x14ac:dyDescent="0.25">
      <c r="I345" s="340"/>
      <c r="L345" s="341"/>
      <c r="R345" s="342"/>
    </row>
    <row r="346" spans="9:18" ht="13.45" x14ac:dyDescent="0.25">
      <c r="I346" s="340"/>
      <c r="L346" s="341"/>
      <c r="R346" s="342"/>
    </row>
    <row r="347" spans="9:18" ht="13.45" x14ac:dyDescent="0.25">
      <c r="I347" s="340"/>
      <c r="L347" s="341"/>
      <c r="R347" s="342"/>
    </row>
    <row r="348" spans="9:18" ht="13.45" x14ac:dyDescent="0.25">
      <c r="I348" s="340"/>
      <c r="L348" s="341"/>
      <c r="R348" s="342"/>
    </row>
    <row r="349" spans="9:18" ht="13.45" x14ac:dyDescent="0.25">
      <c r="I349" s="340"/>
      <c r="L349" s="341"/>
      <c r="R349" s="342"/>
    </row>
    <row r="350" spans="9:18" ht="13.45" x14ac:dyDescent="0.25">
      <c r="I350" s="340"/>
      <c r="L350" s="341"/>
      <c r="R350" s="342"/>
    </row>
    <row r="351" spans="9:18" ht="13.45" x14ac:dyDescent="0.25">
      <c r="I351" s="340"/>
      <c r="L351" s="341"/>
      <c r="R351" s="342"/>
    </row>
    <row r="352" spans="9:18" ht="13.45" x14ac:dyDescent="0.25">
      <c r="I352" s="340"/>
      <c r="L352" s="341"/>
      <c r="R352" s="342"/>
    </row>
    <row r="353" spans="9:18" ht="13.45" x14ac:dyDescent="0.25">
      <c r="I353" s="340"/>
      <c r="L353" s="341"/>
      <c r="R353" s="342"/>
    </row>
    <row r="354" spans="9:18" ht="13.45" x14ac:dyDescent="0.25">
      <c r="I354" s="340"/>
      <c r="L354" s="341"/>
      <c r="R354" s="342"/>
    </row>
    <row r="355" spans="9:18" ht="13.45" x14ac:dyDescent="0.25">
      <c r="I355" s="340"/>
      <c r="L355" s="341"/>
      <c r="R355" s="342"/>
    </row>
    <row r="356" spans="9:18" ht="13.45" x14ac:dyDescent="0.25">
      <c r="I356" s="340"/>
      <c r="L356" s="341"/>
      <c r="R356" s="342"/>
    </row>
    <row r="357" spans="9:18" ht="13.45" x14ac:dyDescent="0.25">
      <c r="I357" s="340"/>
      <c r="L357" s="341"/>
      <c r="R357" s="342"/>
    </row>
    <row r="358" spans="9:18" ht="13.45" x14ac:dyDescent="0.25">
      <c r="I358" s="340"/>
      <c r="L358" s="341"/>
      <c r="R358" s="342"/>
    </row>
    <row r="359" spans="9:18" ht="13.45" x14ac:dyDescent="0.25">
      <c r="I359" s="340"/>
      <c r="L359" s="341"/>
      <c r="R359" s="342"/>
    </row>
    <row r="360" spans="9:18" ht="13.45" x14ac:dyDescent="0.25">
      <c r="I360" s="340"/>
      <c r="L360" s="341"/>
      <c r="R360" s="342"/>
    </row>
    <row r="361" spans="9:18" ht="13.45" x14ac:dyDescent="0.25">
      <c r="I361" s="340"/>
      <c r="L361" s="341"/>
      <c r="R361" s="342"/>
    </row>
    <row r="362" spans="9:18" ht="13.45" x14ac:dyDescent="0.25">
      <c r="I362" s="340"/>
      <c r="L362" s="341"/>
      <c r="R362" s="342"/>
    </row>
    <row r="363" spans="9:18" ht="13.45" x14ac:dyDescent="0.25">
      <c r="I363" s="340"/>
      <c r="L363" s="341"/>
      <c r="R363" s="342"/>
    </row>
    <row r="364" spans="9:18" ht="13.45" x14ac:dyDescent="0.25">
      <c r="I364" s="340"/>
      <c r="L364" s="341"/>
      <c r="R364" s="342"/>
    </row>
    <row r="365" spans="9:18" ht="13.45" x14ac:dyDescent="0.25">
      <c r="I365" s="340"/>
      <c r="L365" s="341"/>
      <c r="R365" s="342"/>
    </row>
    <row r="366" spans="9:18" ht="13.45" x14ac:dyDescent="0.25">
      <c r="I366" s="340"/>
      <c r="L366" s="341"/>
      <c r="R366" s="342"/>
    </row>
    <row r="367" spans="9:18" ht="13.45" x14ac:dyDescent="0.25">
      <c r="I367" s="340"/>
      <c r="L367" s="341"/>
      <c r="R367" s="342"/>
    </row>
    <row r="368" spans="9:18" ht="13.45" x14ac:dyDescent="0.25">
      <c r="I368" s="340"/>
      <c r="L368" s="341"/>
      <c r="R368" s="342"/>
    </row>
    <row r="369" spans="9:18" ht="13.45" x14ac:dyDescent="0.25">
      <c r="I369" s="340"/>
      <c r="L369" s="341"/>
      <c r="R369" s="342"/>
    </row>
    <row r="370" spans="9:18" ht="13.45" x14ac:dyDescent="0.25">
      <c r="I370" s="340"/>
      <c r="L370" s="341"/>
      <c r="R370" s="342"/>
    </row>
    <row r="371" spans="9:18" ht="13.45" x14ac:dyDescent="0.25">
      <c r="I371" s="340"/>
      <c r="L371" s="341"/>
      <c r="R371" s="342"/>
    </row>
    <row r="372" spans="9:18" ht="13.45" x14ac:dyDescent="0.25">
      <c r="I372" s="340"/>
      <c r="L372" s="341"/>
      <c r="R372" s="342"/>
    </row>
    <row r="373" spans="9:18" ht="13.45" x14ac:dyDescent="0.25">
      <c r="I373" s="340"/>
      <c r="L373" s="341"/>
      <c r="R373" s="342"/>
    </row>
    <row r="374" spans="9:18" ht="13.45" x14ac:dyDescent="0.25">
      <c r="I374" s="340"/>
      <c r="L374" s="341"/>
      <c r="R374" s="342"/>
    </row>
    <row r="375" spans="9:18" ht="13.45" x14ac:dyDescent="0.25">
      <c r="I375" s="340"/>
      <c r="L375" s="341"/>
      <c r="R375" s="342"/>
    </row>
    <row r="376" spans="9:18" ht="13.45" x14ac:dyDescent="0.25">
      <c r="I376" s="340"/>
      <c r="L376" s="341"/>
      <c r="R376" s="342"/>
    </row>
    <row r="377" spans="9:18" ht="13.45" x14ac:dyDescent="0.25">
      <c r="I377" s="340"/>
      <c r="L377" s="341"/>
      <c r="R377" s="342"/>
    </row>
    <row r="378" spans="9:18" ht="13.45" x14ac:dyDescent="0.25">
      <c r="I378" s="340"/>
      <c r="L378" s="341"/>
      <c r="R378" s="342"/>
    </row>
    <row r="379" spans="9:18" ht="13.45" x14ac:dyDescent="0.25">
      <c r="I379" s="340"/>
      <c r="L379" s="341"/>
      <c r="R379" s="342"/>
    </row>
    <row r="380" spans="9:18" ht="13.45" x14ac:dyDescent="0.25">
      <c r="I380" s="340"/>
      <c r="L380" s="341"/>
      <c r="R380" s="342"/>
    </row>
    <row r="381" spans="9:18" ht="13.45" x14ac:dyDescent="0.25">
      <c r="I381" s="340"/>
      <c r="L381" s="341"/>
      <c r="R381" s="342"/>
    </row>
    <row r="382" spans="9:18" ht="13.45" x14ac:dyDescent="0.25">
      <c r="I382" s="340"/>
      <c r="L382" s="341"/>
      <c r="R382" s="342"/>
    </row>
    <row r="383" spans="9:18" ht="13.45" x14ac:dyDescent="0.25">
      <c r="I383" s="340"/>
      <c r="L383" s="341"/>
      <c r="R383" s="342"/>
    </row>
    <row r="384" spans="9:18" ht="13.45" x14ac:dyDescent="0.25">
      <c r="I384" s="340"/>
      <c r="L384" s="341"/>
      <c r="R384" s="342"/>
    </row>
    <row r="385" spans="9:18" ht="13.45" x14ac:dyDescent="0.25">
      <c r="I385" s="340"/>
      <c r="L385" s="341"/>
      <c r="R385" s="342"/>
    </row>
    <row r="386" spans="9:18" ht="13.45" x14ac:dyDescent="0.25">
      <c r="I386" s="340"/>
      <c r="L386" s="341"/>
      <c r="R386" s="342"/>
    </row>
    <row r="387" spans="9:18" ht="13.45" x14ac:dyDescent="0.25">
      <c r="I387" s="340"/>
      <c r="L387" s="341"/>
      <c r="R387" s="342"/>
    </row>
    <row r="388" spans="9:18" ht="13.45" x14ac:dyDescent="0.25">
      <c r="I388" s="340"/>
      <c r="L388" s="341"/>
      <c r="R388" s="342"/>
    </row>
    <row r="389" spans="9:18" ht="13.45" x14ac:dyDescent="0.25">
      <c r="I389" s="340"/>
      <c r="L389" s="341"/>
      <c r="R389" s="342"/>
    </row>
    <row r="390" spans="9:18" ht="13.45" x14ac:dyDescent="0.25">
      <c r="I390" s="340"/>
      <c r="L390" s="341"/>
      <c r="R390" s="342"/>
    </row>
    <row r="391" spans="9:18" ht="13.45" x14ac:dyDescent="0.25">
      <c r="I391" s="340"/>
      <c r="L391" s="341"/>
      <c r="R391" s="342"/>
    </row>
    <row r="392" spans="9:18" ht="13.45" x14ac:dyDescent="0.25">
      <c r="I392" s="340"/>
      <c r="L392" s="341"/>
      <c r="R392" s="342"/>
    </row>
    <row r="393" spans="9:18" ht="13.45" x14ac:dyDescent="0.25">
      <c r="I393" s="340"/>
      <c r="L393" s="341"/>
      <c r="R393" s="342"/>
    </row>
    <row r="394" spans="9:18" ht="13.45" x14ac:dyDescent="0.25">
      <c r="I394" s="340"/>
      <c r="L394" s="341"/>
      <c r="R394" s="342"/>
    </row>
    <row r="395" spans="9:18" ht="13.45" x14ac:dyDescent="0.25">
      <c r="I395" s="340"/>
      <c r="L395" s="341"/>
      <c r="R395" s="342"/>
    </row>
    <row r="396" spans="9:18" ht="13.45" x14ac:dyDescent="0.25">
      <c r="I396" s="340"/>
      <c r="L396" s="341"/>
      <c r="R396" s="342"/>
    </row>
    <row r="397" spans="9:18" ht="13.45" x14ac:dyDescent="0.25">
      <c r="I397" s="340"/>
      <c r="L397" s="341"/>
      <c r="R397" s="342"/>
    </row>
    <row r="398" spans="9:18" ht="13.45" x14ac:dyDescent="0.25">
      <c r="I398" s="340"/>
      <c r="L398" s="341"/>
      <c r="R398" s="342"/>
    </row>
    <row r="399" spans="9:18" ht="13.45" x14ac:dyDescent="0.25">
      <c r="I399" s="340"/>
      <c r="L399" s="341"/>
      <c r="R399" s="342"/>
    </row>
    <row r="400" spans="9:18" ht="13.45" x14ac:dyDescent="0.25">
      <c r="I400" s="340"/>
      <c r="L400" s="341"/>
      <c r="R400" s="342"/>
    </row>
    <row r="401" spans="9:18" ht="13.45" x14ac:dyDescent="0.25">
      <c r="I401" s="340"/>
      <c r="L401" s="341"/>
      <c r="R401" s="342"/>
    </row>
    <row r="402" spans="9:18" ht="13.45" x14ac:dyDescent="0.25">
      <c r="I402" s="340"/>
      <c r="L402" s="341"/>
      <c r="R402" s="342"/>
    </row>
    <row r="403" spans="9:18" ht="13.45" x14ac:dyDescent="0.25">
      <c r="I403" s="340"/>
      <c r="L403" s="341"/>
      <c r="R403" s="342"/>
    </row>
    <row r="404" spans="9:18" ht="13.45" x14ac:dyDescent="0.25">
      <c r="I404" s="340"/>
      <c r="L404" s="341"/>
      <c r="R404" s="342"/>
    </row>
    <row r="405" spans="9:18" ht="13.45" x14ac:dyDescent="0.25">
      <c r="I405" s="340"/>
      <c r="L405" s="341"/>
      <c r="R405" s="342"/>
    </row>
    <row r="406" spans="9:18" ht="13.45" x14ac:dyDescent="0.25">
      <c r="I406" s="340"/>
      <c r="L406" s="341"/>
      <c r="R406" s="342"/>
    </row>
    <row r="407" spans="9:18" ht="13.45" x14ac:dyDescent="0.25">
      <c r="I407" s="340"/>
      <c r="L407" s="341"/>
      <c r="R407" s="342"/>
    </row>
    <row r="408" spans="9:18" ht="13.45" x14ac:dyDescent="0.25">
      <c r="I408" s="340"/>
      <c r="L408" s="341"/>
      <c r="R408" s="342"/>
    </row>
    <row r="409" spans="9:18" ht="13.45" x14ac:dyDescent="0.25">
      <c r="I409" s="340"/>
      <c r="L409" s="341"/>
      <c r="R409" s="342"/>
    </row>
    <row r="410" spans="9:18" ht="13.45" x14ac:dyDescent="0.25">
      <c r="I410" s="340"/>
      <c r="L410" s="341"/>
      <c r="R410" s="342"/>
    </row>
    <row r="411" spans="9:18" ht="13.45" x14ac:dyDescent="0.25">
      <c r="I411" s="340"/>
      <c r="L411" s="341"/>
      <c r="R411" s="342"/>
    </row>
    <row r="412" spans="9:18" ht="13.45" x14ac:dyDescent="0.25">
      <c r="I412" s="340"/>
      <c r="L412" s="341"/>
      <c r="R412" s="342"/>
    </row>
    <row r="413" spans="9:18" ht="13.45" x14ac:dyDescent="0.25">
      <c r="I413" s="340"/>
      <c r="L413" s="341"/>
      <c r="R413" s="342"/>
    </row>
    <row r="414" spans="9:18" ht="13.45" x14ac:dyDescent="0.25">
      <c r="I414" s="340"/>
      <c r="L414" s="341"/>
      <c r="R414" s="342"/>
    </row>
    <row r="415" spans="9:18" ht="13.45" x14ac:dyDescent="0.25">
      <c r="I415" s="340"/>
      <c r="L415" s="341"/>
      <c r="R415" s="342"/>
    </row>
    <row r="416" spans="9:18" ht="13.45" x14ac:dyDescent="0.25">
      <c r="I416" s="340"/>
      <c r="L416" s="341"/>
      <c r="R416" s="342"/>
    </row>
    <row r="417" spans="9:18" ht="13.45" x14ac:dyDescent="0.25">
      <c r="I417" s="340"/>
      <c r="L417" s="341"/>
      <c r="R417" s="342"/>
    </row>
    <row r="418" spans="9:18" ht="13.45" x14ac:dyDescent="0.25">
      <c r="I418" s="340"/>
      <c r="L418" s="341"/>
      <c r="R418" s="342"/>
    </row>
    <row r="419" spans="9:18" ht="13.45" x14ac:dyDescent="0.25">
      <c r="I419" s="340"/>
      <c r="L419" s="341"/>
      <c r="R419" s="342"/>
    </row>
    <row r="420" spans="9:18" ht="13.45" x14ac:dyDescent="0.25">
      <c r="I420" s="340"/>
      <c r="L420" s="341"/>
      <c r="R420" s="342"/>
    </row>
    <row r="421" spans="9:18" ht="13.45" x14ac:dyDescent="0.25">
      <c r="I421" s="340"/>
      <c r="L421" s="341"/>
      <c r="R421" s="342"/>
    </row>
    <row r="422" spans="9:18" ht="13.45" x14ac:dyDescent="0.25">
      <c r="I422" s="340"/>
      <c r="L422" s="341"/>
      <c r="R422" s="342"/>
    </row>
    <row r="423" spans="9:18" ht="13.45" x14ac:dyDescent="0.25">
      <c r="I423" s="340"/>
      <c r="L423" s="341"/>
      <c r="R423" s="342"/>
    </row>
    <row r="424" spans="9:18" ht="13.45" x14ac:dyDescent="0.25">
      <c r="I424" s="340"/>
      <c r="L424" s="341"/>
      <c r="R424" s="342"/>
    </row>
    <row r="425" spans="9:18" ht="13.45" x14ac:dyDescent="0.25">
      <c r="I425" s="340"/>
      <c r="L425" s="341"/>
      <c r="R425" s="342"/>
    </row>
    <row r="426" spans="9:18" ht="13.45" x14ac:dyDescent="0.25">
      <c r="I426" s="340"/>
      <c r="L426" s="341"/>
      <c r="R426" s="342"/>
    </row>
    <row r="427" spans="9:18" ht="13.45" x14ac:dyDescent="0.25">
      <c r="I427" s="340"/>
      <c r="L427" s="341"/>
      <c r="R427" s="342"/>
    </row>
    <row r="428" spans="9:18" ht="13.45" x14ac:dyDescent="0.25">
      <c r="I428" s="340"/>
      <c r="L428" s="341"/>
      <c r="R428" s="342"/>
    </row>
    <row r="429" spans="9:18" ht="13.45" x14ac:dyDescent="0.25">
      <c r="I429" s="340"/>
      <c r="L429" s="341"/>
      <c r="R429" s="342"/>
    </row>
    <row r="430" spans="9:18" ht="13.45" x14ac:dyDescent="0.25">
      <c r="I430" s="340"/>
      <c r="L430" s="341"/>
      <c r="R430" s="342"/>
    </row>
    <row r="431" spans="9:18" ht="13.45" x14ac:dyDescent="0.25">
      <c r="I431" s="340"/>
      <c r="L431" s="341"/>
      <c r="R431" s="342"/>
    </row>
    <row r="432" spans="9:18" ht="13.45" x14ac:dyDescent="0.25">
      <c r="I432" s="340"/>
      <c r="L432" s="341"/>
      <c r="R432" s="342"/>
    </row>
    <row r="433" spans="9:18" ht="13.45" x14ac:dyDescent="0.25">
      <c r="I433" s="340"/>
      <c r="L433" s="341"/>
      <c r="R433" s="342"/>
    </row>
    <row r="434" spans="9:18" ht="13.45" x14ac:dyDescent="0.25">
      <c r="I434" s="340"/>
      <c r="L434" s="341"/>
      <c r="R434" s="342"/>
    </row>
    <row r="435" spans="9:18" ht="13.45" x14ac:dyDescent="0.25">
      <c r="I435" s="340"/>
      <c r="L435" s="341"/>
      <c r="R435" s="342"/>
    </row>
    <row r="436" spans="9:18" ht="13.45" x14ac:dyDescent="0.25">
      <c r="I436" s="340"/>
      <c r="L436" s="341"/>
      <c r="R436" s="342"/>
    </row>
    <row r="437" spans="9:18" ht="13.45" x14ac:dyDescent="0.25">
      <c r="I437" s="340"/>
      <c r="L437" s="341"/>
      <c r="R437" s="342"/>
    </row>
    <row r="438" spans="9:18" ht="13.45" x14ac:dyDescent="0.25">
      <c r="I438" s="340"/>
      <c r="L438" s="341"/>
      <c r="R438" s="342"/>
    </row>
    <row r="439" spans="9:18" ht="13.45" x14ac:dyDescent="0.25">
      <c r="I439" s="340"/>
      <c r="L439" s="341"/>
      <c r="R439" s="342"/>
    </row>
    <row r="440" spans="9:18" ht="13.45" x14ac:dyDescent="0.25">
      <c r="I440" s="340"/>
      <c r="L440" s="341"/>
      <c r="R440" s="342"/>
    </row>
    <row r="441" spans="9:18" ht="13.45" x14ac:dyDescent="0.25">
      <c r="I441" s="340"/>
      <c r="L441" s="341"/>
      <c r="R441" s="342"/>
    </row>
    <row r="442" spans="9:18" ht="13.45" x14ac:dyDescent="0.25">
      <c r="I442" s="340"/>
      <c r="L442" s="341"/>
      <c r="R442" s="342"/>
    </row>
    <row r="443" spans="9:18" ht="13.45" x14ac:dyDescent="0.25">
      <c r="I443" s="340"/>
      <c r="L443" s="341"/>
      <c r="R443" s="342"/>
    </row>
    <row r="444" spans="9:18" ht="13.45" x14ac:dyDescent="0.25">
      <c r="I444" s="340"/>
      <c r="L444" s="341"/>
      <c r="R444" s="342"/>
    </row>
    <row r="445" spans="9:18" ht="13.45" x14ac:dyDescent="0.25">
      <c r="I445" s="340"/>
      <c r="L445" s="341"/>
      <c r="R445" s="342"/>
    </row>
    <row r="446" spans="9:18" ht="13.45" x14ac:dyDescent="0.25">
      <c r="I446" s="340"/>
      <c r="L446" s="341"/>
      <c r="R446" s="342"/>
    </row>
    <row r="447" spans="9:18" ht="13.45" x14ac:dyDescent="0.25">
      <c r="I447" s="340"/>
      <c r="L447" s="341"/>
      <c r="R447" s="342"/>
    </row>
    <row r="448" spans="9:18" ht="13.45" x14ac:dyDescent="0.25">
      <c r="I448" s="340"/>
      <c r="L448" s="341"/>
      <c r="R448" s="342"/>
    </row>
    <row r="449" spans="9:18" ht="13.45" x14ac:dyDescent="0.25">
      <c r="I449" s="340"/>
      <c r="L449" s="341"/>
      <c r="R449" s="342"/>
    </row>
    <row r="450" spans="9:18" ht="13.45" x14ac:dyDescent="0.25">
      <c r="I450" s="340"/>
      <c r="L450" s="341"/>
      <c r="R450" s="342"/>
    </row>
    <row r="451" spans="9:18" ht="13.45" x14ac:dyDescent="0.25">
      <c r="I451" s="340"/>
      <c r="L451" s="341"/>
      <c r="R451" s="342"/>
    </row>
    <row r="452" spans="9:18" ht="13.45" x14ac:dyDescent="0.25">
      <c r="I452" s="340"/>
      <c r="L452" s="341"/>
      <c r="R452" s="342"/>
    </row>
    <row r="453" spans="9:18" ht="13.45" x14ac:dyDescent="0.25">
      <c r="I453" s="340"/>
      <c r="L453" s="341"/>
      <c r="R453" s="342"/>
    </row>
    <row r="454" spans="9:18" ht="13.45" x14ac:dyDescent="0.25">
      <c r="I454" s="340"/>
      <c r="L454" s="341"/>
      <c r="R454" s="342"/>
    </row>
    <row r="455" spans="9:18" ht="13.45" x14ac:dyDescent="0.25">
      <c r="I455" s="340"/>
      <c r="L455" s="341"/>
      <c r="R455" s="342"/>
    </row>
    <row r="456" spans="9:18" ht="13.45" x14ac:dyDescent="0.25">
      <c r="I456" s="340"/>
      <c r="L456" s="341"/>
      <c r="R456" s="342"/>
    </row>
    <row r="457" spans="9:18" ht="13.45" x14ac:dyDescent="0.25">
      <c r="I457" s="340"/>
      <c r="L457" s="341"/>
      <c r="R457" s="342"/>
    </row>
    <row r="458" spans="9:18" ht="13.45" x14ac:dyDescent="0.25">
      <c r="I458" s="340"/>
      <c r="L458" s="341"/>
      <c r="R458" s="342"/>
    </row>
    <row r="459" spans="9:18" ht="13.45" x14ac:dyDescent="0.25">
      <c r="I459" s="340"/>
      <c r="L459" s="341"/>
      <c r="R459" s="342"/>
    </row>
    <row r="460" spans="9:18" ht="13.45" x14ac:dyDescent="0.25">
      <c r="I460" s="340"/>
      <c r="L460" s="341"/>
      <c r="R460" s="342"/>
    </row>
    <row r="461" spans="9:18" ht="13.45" x14ac:dyDescent="0.25">
      <c r="I461" s="340"/>
      <c r="L461" s="341"/>
      <c r="R461" s="342"/>
    </row>
    <row r="462" spans="9:18" ht="13.45" x14ac:dyDescent="0.25">
      <c r="I462" s="340"/>
      <c r="L462" s="341"/>
      <c r="R462" s="342"/>
    </row>
    <row r="463" spans="9:18" ht="13.45" x14ac:dyDescent="0.25">
      <c r="I463" s="340"/>
      <c r="L463" s="341"/>
      <c r="R463" s="342"/>
    </row>
    <row r="464" spans="9:18" ht="13.45" x14ac:dyDescent="0.25">
      <c r="I464" s="340"/>
      <c r="L464" s="341"/>
      <c r="R464" s="342"/>
    </row>
    <row r="465" spans="9:18" ht="13.45" x14ac:dyDescent="0.25">
      <c r="I465" s="340"/>
      <c r="L465" s="341"/>
      <c r="R465" s="342"/>
    </row>
    <row r="466" spans="9:18" ht="13.45" x14ac:dyDescent="0.25">
      <c r="I466" s="340"/>
      <c r="L466" s="341"/>
      <c r="R466" s="342"/>
    </row>
    <row r="467" spans="9:18" ht="13.45" x14ac:dyDescent="0.25">
      <c r="I467" s="340"/>
      <c r="L467" s="341"/>
      <c r="R467" s="342"/>
    </row>
    <row r="468" spans="9:18" ht="13.45" x14ac:dyDescent="0.25">
      <c r="I468" s="340"/>
      <c r="L468" s="341"/>
      <c r="R468" s="342"/>
    </row>
    <row r="469" spans="9:18" ht="13.45" x14ac:dyDescent="0.25">
      <c r="I469" s="340"/>
      <c r="L469" s="341"/>
      <c r="R469" s="342"/>
    </row>
    <row r="470" spans="9:18" ht="13.45" x14ac:dyDescent="0.25">
      <c r="I470" s="340"/>
      <c r="L470" s="341"/>
      <c r="R470" s="342"/>
    </row>
    <row r="471" spans="9:18" ht="13.45" x14ac:dyDescent="0.25">
      <c r="I471" s="340"/>
      <c r="L471" s="341"/>
      <c r="R471" s="342"/>
    </row>
    <row r="472" spans="9:18" ht="13.45" x14ac:dyDescent="0.25">
      <c r="I472" s="340"/>
      <c r="L472" s="341"/>
      <c r="R472" s="342"/>
    </row>
    <row r="473" spans="9:18" ht="13.45" x14ac:dyDescent="0.25">
      <c r="I473" s="340"/>
      <c r="L473" s="341"/>
      <c r="R473" s="342"/>
    </row>
    <row r="474" spans="9:18" ht="13.45" x14ac:dyDescent="0.25">
      <c r="I474" s="340"/>
      <c r="L474" s="341"/>
      <c r="R474" s="342"/>
    </row>
    <row r="475" spans="9:18" ht="13.45" x14ac:dyDescent="0.25">
      <c r="I475" s="340"/>
      <c r="L475" s="341"/>
      <c r="R475" s="342"/>
    </row>
    <row r="476" spans="9:18" ht="13.45" x14ac:dyDescent="0.25">
      <c r="I476" s="340"/>
      <c r="L476" s="341"/>
      <c r="R476" s="342"/>
    </row>
    <row r="477" spans="9:18" ht="13.45" x14ac:dyDescent="0.25">
      <c r="I477" s="340"/>
      <c r="L477" s="341"/>
      <c r="R477" s="342"/>
    </row>
    <row r="478" spans="9:18" ht="13.45" x14ac:dyDescent="0.25">
      <c r="I478" s="340"/>
      <c r="L478" s="341"/>
      <c r="R478" s="342"/>
    </row>
    <row r="479" spans="9:18" ht="13.45" x14ac:dyDescent="0.25">
      <c r="I479" s="340"/>
      <c r="L479" s="341"/>
      <c r="R479" s="342"/>
    </row>
    <row r="480" spans="9:18" ht="13.45" x14ac:dyDescent="0.25">
      <c r="I480" s="340"/>
      <c r="L480" s="341"/>
      <c r="R480" s="342"/>
    </row>
    <row r="481" spans="9:18" ht="13.45" x14ac:dyDescent="0.25">
      <c r="I481" s="340"/>
      <c r="L481" s="341"/>
      <c r="R481" s="342"/>
    </row>
    <row r="482" spans="9:18" ht="13.45" x14ac:dyDescent="0.25">
      <c r="I482" s="340"/>
      <c r="L482" s="341"/>
      <c r="R482" s="342"/>
    </row>
    <row r="483" spans="9:18" ht="13.45" x14ac:dyDescent="0.25">
      <c r="I483" s="340"/>
      <c r="L483" s="341"/>
      <c r="R483" s="342"/>
    </row>
    <row r="484" spans="9:18" ht="13.45" x14ac:dyDescent="0.25">
      <c r="I484" s="340"/>
      <c r="L484" s="341"/>
      <c r="R484" s="342"/>
    </row>
    <row r="485" spans="9:18" ht="13.45" x14ac:dyDescent="0.25">
      <c r="I485" s="340"/>
      <c r="L485" s="341"/>
      <c r="R485" s="342"/>
    </row>
    <row r="486" spans="9:18" ht="13.45" x14ac:dyDescent="0.25">
      <c r="I486" s="340"/>
      <c r="L486" s="341"/>
      <c r="R486" s="342"/>
    </row>
    <row r="487" spans="9:18" ht="13.45" x14ac:dyDescent="0.25">
      <c r="I487" s="340"/>
      <c r="L487" s="341"/>
      <c r="R487" s="342"/>
    </row>
    <row r="488" spans="9:18" ht="13.45" x14ac:dyDescent="0.25">
      <c r="I488" s="340"/>
      <c r="L488" s="341"/>
      <c r="R488" s="342"/>
    </row>
    <row r="489" spans="9:18" ht="13.45" x14ac:dyDescent="0.25">
      <c r="I489" s="340"/>
      <c r="L489" s="341"/>
      <c r="R489" s="342"/>
    </row>
    <row r="490" spans="9:18" ht="13.45" x14ac:dyDescent="0.25">
      <c r="I490" s="340"/>
      <c r="L490" s="341"/>
      <c r="R490" s="342"/>
    </row>
    <row r="491" spans="9:18" ht="13.45" x14ac:dyDescent="0.25">
      <c r="I491" s="340"/>
      <c r="L491" s="341"/>
      <c r="R491" s="342"/>
    </row>
    <row r="492" spans="9:18" ht="13.45" x14ac:dyDescent="0.25">
      <c r="I492" s="340"/>
      <c r="L492" s="341"/>
      <c r="R492" s="342"/>
    </row>
    <row r="493" spans="9:18" ht="13.45" x14ac:dyDescent="0.25">
      <c r="I493" s="340"/>
      <c r="L493" s="341"/>
      <c r="R493" s="342"/>
    </row>
    <row r="494" spans="9:18" ht="13.45" x14ac:dyDescent="0.25">
      <c r="I494" s="340"/>
      <c r="L494" s="341"/>
      <c r="R494" s="342"/>
    </row>
    <row r="495" spans="9:18" ht="13.45" x14ac:dyDescent="0.25">
      <c r="I495" s="340"/>
      <c r="L495" s="341"/>
      <c r="R495" s="342"/>
    </row>
    <row r="496" spans="9:18" ht="13.45" x14ac:dyDescent="0.25">
      <c r="I496" s="340"/>
      <c r="L496" s="341"/>
      <c r="R496" s="342"/>
    </row>
    <row r="497" spans="9:18" ht="13.45" x14ac:dyDescent="0.25">
      <c r="I497" s="340"/>
      <c r="L497" s="341"/>
      <c r="R497" s="342"/>
    </row>
    <row r="498" spans="9:18" ht="13.45" x14ac:dyDescent="0.25">
      <c r="I498" s="340"/>
      <c r="L498" s="341"/>
      <c r="R498" s="342"/>
    </row>
    <row r="499" spans="9:18" ht="13.45" x14ac:dyDescent="0.25">
      <c r="I499" s="340"/>
      <c r="L499" s="341"/>
      <c r="R499" s="342"/>
    </row>
    <row r="500" spans="9:18" ht="13.45" x14ac:dyDescent="0.25">
      <c r="I500" s="340"/>
      <c r="L500" s="341"/>
      <c r="R500" s="342"/>
    </row>
    <row r="501" spans="9:18" ht="13.45" x14ac:dyDescent="0.25">
      <c r="I501" s="340"/>
      <c r="L501" s="341"/>
      <c r="R501" s="342"/>
    </row>
    <row r="502" spans="9:18" ht="13.45" x14ac:dyDescent="0.25">
      <c r="I502" s="340"/>
      <c r="L502" s="341"/>
      <c r="R502" s="342"/>
    </row>
    <row r="503" spans="9:18" ht="13.45" x14ac:dyDescent="0.25">
      <c r="I503" s="340"/>
      <c r="L503" s="341"/>
      <c r="R503" s="342"/>
    </row>
    <row r="504" spans="9:18" ht="13.45" x14ac:dyDescent="0.25">
      <c r="I504" s="340"/>
      <c r="L504" s="341"/>
      <c r="R504" s="342"/>
    </row>
    <row r="505" spans="9:18" ht="13.45" x14ac:dyDescent="0.25">
      <c r="I505" s="340"/>
      <c r="L505" s="341"/>
      <c r="R505" s="342"/>
    </row>
    <row r="506" spans="9:18" ht="13.45" x14ac:dyDescent="0.25">
      <c r="I506" s="340"/>
      <c r="L506" s="341"/>
      <c r="R506" s="342"/>
    </row>
    <row r="507" spans="9:18" ht="13.45" x14ac:dyDescent="0.25">
      <c r="I507" s="340"/>
      <c r="L507" s="341"/>
      <c r="R507" s="342"/>
    </row>
    <row r="508" spans="9:18" ht="13.45" x14ac:dyDescent="0.25">
      <c r="I508" s="340"/>
      <c r="L508" s="341"/>
      <c r="R508" s="342"/>
    </row>
    <row r="509" spans="9:18" ht="13.45" x14ac:dyDescent="0.25">
      <c r="I509" s="340"/>
      <c r="L509" s="341"/>
      <c r="R509" s="342"/>
    </row>
    <row r="510" spans="9:18" ht="13.45" x14ac:dyDescent="0.25">
      <c r="I510" s="340"/>
      <c r="L510" s="341"/>
      <c r="R510" s="342"/>
    </row>
    <row r="511" spans="9:18" ht="13.45" x14ac:dyDescent="0.25">
      <c r="I511" s="340"/>
      <c r="L511" s="341"/>
      <c r="R511" s="342"/>
    </row>
    <row r="512" spans="9:18" ht="13.45" x14ac:dyDescent="0.25">
      <c r="I512" s="340"/>
      <c r="L512" s="341"/>
      <c r="R512" s="342"/>
    </row>
    <row r="513" spans="9:18" ht="13.45" x14ac:dyDescent="0.25">
      <c r="I513" s="340"/>
      <c r="L513" s="341"/>
      <c r="R513" s="342"/>
    </row>
    <row r="514" spans="9:18" ht="13.45" x14ac:dyDescent="0.25">
      <c r="I514" s="340"/>
      <c r="L514" s="341"/>
      <c r="R514" s="342"/>
    </row>
    <row r="515" spans="9:18" ht="13.45" x14ac:dyDescent="0.25">
      <c r="I515" s="340"/>
      <c r="L515" s="341"/>
      <c r="R515" s="342"/>
    </row>
    <row r="516" spans="9:18" ht="13.45" x14ac:dyDescent="0.25">
      <c r="I516" s="340"/>
      <c r="L516" s="341"/>
      <c r="R516" s="342"/>
    </row>
    <row r="517" spans="9:18" ht="13.45" x14ac:dyDescent="0.25">
      <c r="I517" s="340"/>
      <c r="L517" s="341"/>
      <c r="R517" s="342"/>
    </row>
    <row r="518" spans="9:18" ht="13.45" x14ac:dyDescent="0.25">
      <c r="I518" s="340"/>
      <c r="L518" s="341"/>
      <c r="R518" s="342"/>
    </row>
    <row r="519" spans="9:18" ht="13.45" x14ac:dyDescent="0.25">
      <c r="I519" s="340"/>
      <c r="L519" s="341"/>
      <c r="R519" s="342"/>
    </row>
    <row r="520" spans="9:18" ht="13.45" x14ac:dyDescent="0.25">
      <c r="I520" s="340"/>
      <c r="L520" s="341"/>
      <c r="R520" s="342"/>
    </row>
    <row r="521" spans="9:18" ht="13.45" x14ac:dyDescent="0.25">
      <c r="I521" s="340"/>
      <c r="L521" s="341"/>
      <c r="R521" s="342"/>
    </row>
    <row r="522" spans="9:18" ht="13.45" x14ac:dyDescent="0.25">
      <c r="I522" s="340"/>
      <c r="L522" s="341"/>
      <c r="R522" s="342"/>
    </row>
    <row r="523" spans="9:18" ht="13.45" x14ac:dyDescent="0.25">
      <c r="I523" s="340"/>
      <c r="L523" s="341"/>
      <c r="R523" s="342"/>
    </row>
    <row r="524" spans="9:18" ht="13.45" x14ac:dyDescent="0.25">
      <c r="I524" s="340"/>
      <c r="L524" s="341"/>
      <c r="R524" s="342"/>
    </row>
    <row r="525" spans="9:18" ht="13.45" x14ac:dyDescent="0.25">
      <c r="I525" s="340"/>
      <c r="L525" s="341"/>
      <c r="R525" s="342"/>
    </row>
    <row r="526" spans="9:18" ht="13.45" x14ac:dyDescent="0.25">
      <c r="I526" s="340"/>
      <c r="L526" s="341"/>
      <c r="R526" s="342"/>
    </row>
    <row r="527" spans="9:18" ht="13.45" x14ac:dyDescent="0.25">
      <c r="I527" s="340"/>
      <c r="L527" s="341"/>
      <c r="R527" s="342"/>
    </row>
    <row r="528" spans="9:18" ht="13.45" x14ac:dyDescent="0.25">
      <c r="I528" s="340"/>
      <c r="L528" s="341"/>
      <c r="R528" s="342"/>
    </row>
    <row r="529" spans="9:18" ht="13.45" x14ac:dyDescent="0.25">
      <c r="I529" s="340"/>
      <c r="L529" s="341"/>
      <c r="R529" s="342"/>
    </row>
    <row r="530" spans="9:18" ht="13.45" x14ac:dyDescent="0.25">
      <c r="I530" s="340"/>
      <c r="L530" s="341"/>
      <c r="R530" s="342"/>
    </row>
    <row r="531" spans="9:18" ht="13.45" x14ac:dyDescent="0.25">
      <c r="I531" s="340"/>
      <c r="L531" s="341"/>
      <c r="R531" s="342"/>
    </row>
    <row r="532" spans="9:18" ht="13.45" x14ac:dyDescent="0.25">
      <c r="I532" s="340"/>
      <c r="L532" s="341"/>
      <c r="R532" s="342"/>
    </row>
    <row r="533" spans="9:18" ht="13.45" x14ac:dyDescent="0.25">
      <c r="I533" s="340"/>
      <c r="L533" s="341"/>
      <c r="R533" s="342"/>
    </row>
    <row r="534" spans="9:18" ht="13.45" x14ac:dyDescent="0.25">
      <c r="I534" s="340"/>
      <c r="L534" s="341"/>
      <c r="R534" s="342"/>
    </row>
    <row r="535" spans="9:18" ht="13.45" x14ac:dyDescent="0.25">
      <c r="I535" s="340"/>
      <c r="L535" s="341"/>
      <c r="R535" s="342"/>
    </row>
    <row r="536" spans="9:18" ht="13.45" x14ac:dyDescent="0.25">
      <c r="I536" s="340"/>
      <c r="L536" s="341"/>
      <c r="R536" s="342"/>
    </row>
    <row r="537" spans="9:18" ht="13.45" x14ac:dyDescent="0.25">
      <c r="I537" s="340"/>
      <c r="L537" s="341"/>
      <c r="R537" s="342"/>
    </row>
    <row r="538" spans="9:18" ht="13.45" x14ac:dyDescent="0.25">
      <c r="I538" s="340"/>
      <c r="L538" s="341"/>
      <c r="R538" s="342"/>
    </row>
    <row r="539" spans="9:18" ht="13.45" x14ac:dyDescent="0.25">
      <c r="I539" s="340"/>
      <c r="L539" s="341"/>
      <c r="R539" s="342"/>
    </row>
    <row r="540" spans="9:18" ht="13.45" x14ac:dyDescent="0.25">
      <c r="I540" s="340"/>
      <c r="L540" s="341"/>
      <c r="R540" s="342"/>
    </row>
    <row r="541" spans="9:18" ht="13.45" x14ac:dyDescent="0.25">
      <c r="I541" s="340"/>
      <c r="L541" s="341"/>
      <c r="R541" s="342"/>
    </row>
    <row r="542" spans="9:18" ht="13.45" x14ac:dyDescent="0.25">
      <c r="I542" s="340"/>
      <c r="L542" s="341"/>
      <c r="R542" s="342"/>
    </row>
    <row r="543" spans="9:18" ht="13.45" x14ac:dyDescent="0.25">
      <c r="I543" s="340"/>
      <c r="L543" s="341"/>
      <c r="R543" s="342"/>
    </row>
    <row r="544" spans="9:18" ht="13.45" x14ac:dyDescent="0.25">
      <c r="I544" s="340"/>
      <c r="L544" s="341"/>
      <c r="R544" s="342"/>
    </row>
    <row r="545" spans="9:18" ht="13.45" x14ac:dyDescent="0.25">
      <c r="I545" s="340"/>
      <c r="L545" s="341"/>
      <c r="R545" s="342"/>
    </row>
    <row r="546" spans="9:18" ht="13.45" x14ac:dyDescent="0.25">
      <c r="I546" s="340"/>
      <c r="L546" s="341"/>
      <c r="R546" s="342"/>
    </row>
    <row r="547" spans="9:18" ht="13.45" x14ac:dyDescent="0.25">
      <c r="I547" s="340"/>
      <c r="L547" s="341"/>
      <c r="R547" s="342"/>
    </row>
    <row r="548" spans="9:18" ht="13.45" x14ac:dyDescent="0.25">
      <c r="I548" s="340"/>
      <c r="L548" s="341"/>
      <c r="R548" s="342"/>
    </row>
    <row r="549" spans="9:18" ht="13.45" x14ac:dyDescent="0.25">
      <c r="I549" s="340"/>
      <c r="L549" s="341"/>
      <c r="R549" s="342"/>
    </row>
    <row r="550" spans="9:18" ht="13.45" x14ac:dyDescent="0.25">
      <c r="I550" s="340"/>
      <c r="L550" s="341"/>
      <c r="R550" s="342"/>
    </row>
    <row r="551" spans="9:18" ht="13.45" x14ac:dyDescent="0.25">
      <c r="I551" s="340"/>
      <c r="L551" s="341"/>
      <c r="R551" s="342"/>
    </row>
    <row r="552" spans="9:18" ht="13.45" x14ac:dyDescent="0.25">
      <c r="I552" s="340"/>
      <c r="L552" s="341"/>
      <c r="R552" s="342"/>
    </row>
    <row r="553" spans="9:18" ht="13.45" x14ac:dyDescent="0.25">
      <c r="I553" s="340"/>
      <c r="L553" s="341"/>
      <c r="R553" s="342"/>
    </row>
    <row r="554" spans="9:18" ht="13.45" x14ac:dyDescent="0.25">
      <c r="I554" s="340"/>
      <c r="L554" s="341"/>
      <c r="R554" s="342"/>
    </row>
    <row r="555" spans="9:18" ht="13.45" x14ac:dyDescent="0.25">
      <c r="I555" s="340"/>
      <c r="L555" s="341"/>
      <c r="R555" s="342"/>
    </row>
    <row r="556" spans="9:18" ht="13.45" x14ac:dyDescent="0.25">
      <c r="I556" s="340"/>
      <c r="L556" s="341"/>
      <c r="R556" s="342"/>
    </row>
    <row r="557" spans="9:18" ht="13.45" x14ac:dyDescent="0.25">
      <c r="I557" s="340"/>
      <c r="L557" s="341"/>
      <c r="R557" s="342"/>
    </row>
    <row r="558" spans="9:18" ht="13.45" x14ac:dyDescent="0.25">
      <c r="I558" s="340"/>
      <c r="L558" s="341"/>
      <c r="R558" s="342"/>
    </row>
    <row r="559" spans="9:18" ht="13.45" x14ac:dyDescent="0.25">
      <c r="I559" s="340"/>
      <c r="L559" s="341"/>
      <c r="R559" s="342"/>
    </row>
    <row r="560" spans="9:18" ht="13.45" x14ac:dyDescent="0.25">
      <c r="I560" s="340"/>
      <c r="L560" s="341"/>
      <c r="R560" s="342"/>
    </row>
    <row r="561" spans="9:18" ht="13.45" x14ac:dyDescent="0.25">
      <c r="I561" s="340"/>
      <c r="L561" s="341"/>
      <c r="R561" s="342"/>
    </row>
    <row r="562" spans="9:18" ht="13.45" x14ac:dyDescent="0.25">
      <c r="I562" s="340"/>
      <c r="L562" s="341"/>
      <c r="R562" s="342"/>
    </row>
    <row r="563" spans="9:18" ht="13.45" x14ac:dyDescent="0.25">
      <c r="I563" s="340"/>
      <c r="L563" s="341"/>
      <c r="R563" s="342"/>
    </row>
    <row r="564" spans="9:18" ht="13.45" x14ac:dyDescent="0.25">
      <c r="I564" s="340"/>
      <c r="L564" s="341"/>
      <c r="R564" s="342"/>
    </row>
    <row r="565" spans="9:18" ht="13.45" x14ac:dyDescent="0.25">
      <c r="I565" s="340"/>
      <c r="L565" s="341"/>
      <c r="R565" s="342"/>
    </row>
    <row r="566" spans="9:18" ht="13.45" x14ac:dyDescent="0.25">
      <c r="I566" s="340"/>
      <c r="L566" s="341"/>
      <c r="R566" s="342"/>
    </row>
    <row r="567" spans="9:18" ht="13.45" x14ac:dyDescent="0.25">
      <c r="I567" s="340"/>
      <c r="L567" s="341"/>
      <c r="R567" s="342"/>
    </row>
    <row r="568" spans="9:18" ht="13.45" x14ac:dyDescent="0.25">
      <c r="I568" s="340"/>
      <c r="L568" s="341"/>
      <c r="R568" s="342"/>
    </row>
    <row r="569" spans="9:18" ht="13.45" x14ac:dyDescent="0.25">
      <c r="I569" s="340"/>
      <c r="L569" s="341"/>
      <c r="R569" s="342"/>
    </row>
    <row r="570" spans="9:18" ht="13.45" x14ac:dyDescent="0.25">
      <c r="I570" s="340"/>
      <c r="L570" s="341"/>
      <c r="R570" s="342"/>
    </row>
    <row r="571" spans="9:18" ht="13.45" x14ac:dyDescent="0.25">
      <c r="I571" s="340"/>
      <c r="L571" s="341"/>
      <c r="R571" s="342"/>
    </row>
    <row r="572" spans="9:18" ht="13.45" x14ac:dyDescent="0.25">
      <c r="I572" s="340"/>
      <c r="L572" s="341"/>
      <c r="R572" s="342"/>
    </row>
    <row r="573" spans="9:18" ht="13.45" x14ac:dyDescent="0.25">
      <c r="I573" s="340"/>
      <c r="L573" s="341"/>
      <c r="R573" s="342"/>
    </row>
    <row r="574" spans="9:18" ht="13.45" x14ac:dyDescent="0.25">
      <c r="I574" s="340"/>
      <c r="L574" s="341"/>
      <c r="R574" s="342"/>
    </row>
    <row r="575" spans="9:18" ht="13.45" x14ac:dyDescent="0.25">
      <c r="I575" s="340"/>
      <c r="L575" s="341"/>
      <c r="R575" s="342"/>
    </row>
    <row r="576" spans="9:18" ht="13.45" x14ac:dyDescent="0.25">
      <c r="I576" s="340"/>
      <c r="L576" s="341"/>
      <c r="R576" s="342"/>
    </row>
    <row r="577" spans="9:18" ht="13.45" x14ac:dyDescent="0.25">
      <c r="I577" s="340"/>
      <c r="L577" s="341"/>
      <c r="R577" s="342"/>
    </row>
    <row r="578" spans="9:18" ht="13.45" x14ac:dyDescent="0.25">
      <c r="I578" s="340"/>
      <c r="L578" s="341"/>
      <c r="R578" s="342"/>
    </row>
    <row r="579" spans="9:18" ht="13.45" x14ac:dyDescent="0.25">
      <c r="I579" s="340"/>
      <c r="L579" s="341"/>
      <c r="R579" s="342"/>
    </row>
    <row r="580" spans="9:18" ht="13.45" x14ac:dyDescent="0.25">
      <c r="I580" s="340"/>
      <c r="L580" s="341"/>
      <c r="R580" s="342"/>
    </row>
    <row r="581" spans="9:18" ht="13.45" x14ac:dyDescent="0.25">
      <c r="I581" s="340"/>
      <c r="L581" s="341"/>
      <c r="R581" s="342"/>
    </row>
    <row r="582" spans="9:18" ht="13.45" x14ac:dyDescent="0.25">
      <c r="I582" s="340"/>
      <c r="L582" s="341"/>
      <c r="R582" s="342"/>
    </row>
    <row r="583" spans="9:18" ht="13.45" x14ac:dyDescent="0.25">
      <c r="I583" s="340"/>
      <c r="L583" s="341"/>
      <c r="R583" s="342"/>
    </row>
    <row r="584" spans="9:18" ht="13.45" x14ac:dyDescent="0.25">
      <c r="I584" s="340"/>
      <c r="L584" s="341"/>
      <c r="R584" s="342"/>
    </row>
    <row r="585" spans="9:18" ht="13.45" x14ac:dyDescent="0.25">
      <c r="I585" s="340"/>
      <c r="L585" s="341"/>
      <c r="R585" s="342"/>
    </row>
    <row r="586" spans="9:18" ht="13.45" x14ac:dyDescent="0.25">
      <c r="I586" s="340"/>
      <c r="L586" s="341"/>
      <c r="R586" s="342"/>
    </row>
    <row r="587" spans="9:18" ht="13.45" x14ac:dyDescent="0.25">
      <c r="I587" s="340"/>
      <c r="L587" s="341"/>
      <c r="R587" s="342"/>
    </row>
    <row r="588" spans="9:18" ht="13.45" x14ac:dyDescent="0.25">
      <c r="I588" s="340"/>
      <c r="L588" s="341"/>
      <c r="R588" s="342"/>
    </row>
    <row r="589" spans="9:18" ht="13.45" x14ac:dyDescent="0.25">
      <c r="I589" s="340"/>
      <c r="L589" s="341"/>
      <c r="R589" s="342"/>
    </row>
    <row r="590" spans="9:18" ht="13.45" x14ac:dyDescent="0.25">
      <c r="I590" s="340"/>
      <c r="L590" s="341"/>
      <c r="R590" s="342"/>
    </row>
    <row r="591" spans="9:18" ht="13.45" x14ac:dyDescent="0.25">
      <c r="I591" s="340"/>
      <c r="L591" s="341"/>
      <c r="R591" s="342"/>
    </row>
    <row r="592" spans="9:18" ht="13.45" x14ac:dyDescent="0.25">
      <c r="I592" s="340"/>
      <c r="L592" s="341"/>
      <c r="R592" s="342"/>
    </row>
    <row r="593" spans="9:18" ht="13.45" x14ac:dyDescent="0.25">
      <c r="I593" s="340"/>
      <c r="L593" s="341"/>
      <c r="R593" s="342"/>
    </row>
    <row r="594" spans="9:18" ht="13.45" x14ac:dyDescent="0.25">
      <c r="I594" s="340"/>
      <c r="L594" s="341"/>
      <c r="R594" s="342"/>
    </row>
    <row r="595" spans="9:18" ht="13.45" x14ac:dyDescent="0.25">
      <c r="I595" s="340"/>
      <c r="L595" s="341"/>
      <c r="R595" s="342"/>
    </row>
    <row r="596" spans="9:18" ht="13.45" x14ac:dyDescent="0.25">
      <c r="I596" s="340"/>
      <c r="L596" s="341"/>
      <c r="R596" s="342"/>
    </row>
    <row r="597" spans="9:18" ht="13.45" x14ac:dyDescent="0.25">
      <c r="I597" s="340"/>
      <c r="L597" s="341"/>
      <c r="R597" s="342"/>
    </row>
    <row r="598" spans="9:18" ht="13.45" x14ac:dyDescent="0.25">
      <c r="I598" s="340"/>
      <c r="L598" s="341"/>
      <c r="R598" s="342"/>
    </row>
    <row r="599" spans="9:18" ht="13.45" x14ac:dyDescent="0.25">
      <c r="I599" s="340"/>
      <c r="L599" s="341"/>
      <c r="R599" s="342"/>
    </row>
    <row r="600" spans="9:18" ht="13.45" x14ac:dyDescent="0.25">
      <c r="I600" s="340"/>
      <c r="L600" s="341"/>
      <c r="R600" s="342"/>
    </row>
    <row r="601" spans="9:18" ht="13.45" x14ac:dyDescent="0.25">
      <c r="I601" s="340"/>
      <c r="L601" s="341"/>
      <c r="R601" s="342"/>
    </row>
    <row r="602" spans="9:18" ht="13.45" x14ac:dyDescent="0.25">
      <c r="I602" s="340"/>
      <c r="L602" s="341"/>
      <c r="R602" s="342"/>
    </row>
    <row r="603" spans="9:18" ht="13.45" x14ac:dyDescent="0.25">
      <c r="I603" s="340"/>
      <c r="L603" s="341"/>
      <c r="R603" s="342"/>
    </row>
    <row r="604" spans="9:18" ht="13.45" x14ac:dyDescent="0.25">
      <c r="I604" s="340"/>
      <c r="L604" s="341"/>
      <c r="R604" s="342"/>
    </row>
    <row r="605" spans="9:18" ht="13.45" x14ac:dyDescent="0.25">
      <c r="I605" s="340"/>
      <c r="L605" s="341"/>
      <c r="R605" s="342"/>
    </row>
    <row r="606" spans="9:18" ht="13.45" x14ac:dyDescent="0.25">
      <c r="I606" s="340"/>
      <c r="L606" s="341"/>
      <c r="R606" s="342"/>
    </row>
    <row r="607" spans="9:18" ht="13.45" x14ac:dyDescent="0.25">
      <c r="I607" s="340"/>
      <c r="L607" s="341"/>
      <c r="R607" s="342"/>
    </row>
    <row r="608" spans="9:18" ht="13.45" x14ac:dyDescent="0.25">
      <c r="I608" s="340"/>
      <c r="L608" s="341"/>
      <c r="R608" s="342"/>
    </row>
    <row r="609" spans="9:18" ht="13.45" x14ac:dyDescent="0.25">
      <c r="I609" s="340"/>
      <c r="L609" s="341"/>
      <c r="R609" s="342"/>
    </row>
    <row r="610" spans="9:18" ht="13.45" x14ac:dyDescent="0.25">
      <c r="I610" s="340"/>
      <c r="L610" s="341"/>
      <c r="R610" s="342"/>
    </row>
    <row r="611" spans="9:18" ht="13.45" x14ac:dyDescent="0.25">
      <c r="I611" s="340"/>
      <c r="L611" s="341"/>
      <c r="R611" s="342"/>
    </row>
    <row r="612" spans="9:18" ht="13.45" x14ac:dyDescent="0.25">
      <c r="I612" s="340"/>
      <c r="L612" s="341"/>
      <c r="R612" s="342"/>
    </row>
    <row r="613" spans="9:18" ht="13.45" x14ac:dyDescent="0.25">
      <c r="I613" s="340"/>
      <c r="L613" s="341"/>
      <c r="R613" s="342"/>
    </row>
    <row r="614" spans="9:18" ht="13.45" x14ac:dyDescent="0.25">
      <c r="I614" s="340"/>
      <c r="L614" s="341"/>
      <c r="R614" s="342"/>
    </row>
    <row r="615" spans="9:18" ht="13.45" x14ac:dyDescent="0.25">
      <c r="I615" s="340"/>
      <c r="L615" s="341"/>
      <c r="R615" s="342"/>
    </row>
    <row r="616" spans="9:18" ht="13.45" x14ac:dyDescent="0.25">
      <c r="I616" s="340"/>
      <c r="L616" s="341"/>
      <c r="R616" s="342"/>
    </row>
    <row r="617" spans="9:18" ht="13.45" x14ac:dyDescent="0.25">
      <c r="I617" s="340"/>
      <c r="L617" s="341"/>
      <c r="R617" s="342"/>
    </row>
    <row r="618" spans="9:18" ht="13.45" x14ac:dyDescent="0.25">
      <c r="I618" s="340"/>
      <c r="L618" s="341"/>
      <c r="R618" s="342"/>
    </row>
    <row r="619" spans="9:18" ht="13.45" x14ac:dyDescent="0.25">
      <c r="I619" s="340"/>
      <c r="L619" s="341"/>
      <c r="R619" s="342"/>
    </row>
    <row r="620" spans="9:18" ht="13.45" x14ac:dyDescent="0.25">
      <c r="I620" s="340"/>
      <c r="L620" s="341"/>
      <c r="R620" s="342"/>
    </row>
    <row r="621" spans="9:18" ht="13.45" x14ac:dyDescent="0.25">
      <c r="I621" s="340"/>
      <c r="L621" s="341"/>
      <c r="R621" s="342"/>
    </row>
    <row r="622" spans="9:18" ht="13.45" x14ac:dyDescent="0.25">
      <c r="I622" s="340"/>
      <c r="L622" s="341"/>
      <c r="R622" s="342"/>
    </row>
    <row r="623" spans="9:18" ht="13.45" x14ac:dyDescent="0.25">
      <c r="I623" s="340"/>
      <c r="L623" s="341"/>
      <c r="R623" s="342"/>
    </row>
    <row r="624" spans="9:18" ht="13.45" x14ac:dyDescent="0.25">
      <c r="I624" s="340"/>
      <c r="L624" s="341"/>
      <c r="R624" s="342"/>
    </row>
    <row r="625" spans="9:18" ht="13.45" x14ac:dyDescent="0.25">
      <c r="I625" s="340"/>
      <c r="L625" s="341"/>
      <c r="R625" s="342"/>
    </row>
    <row r="626" spans="9:18" ht="13.45" x14ac:dyDescent="0.25">
      <c r="I626" s="340"/>
      <c r="L626" s="341"/>
      <c r="R626" s="342"/>
    </row>
    <row r="627" spans="9:18" ht="13.45" x14ac:dyDescent="0.25">
      <c r="I627" s="340"/>
      <c r="L627" s="341"/>
      <c r="R627" s="342"/>
    </row>
    <row r="628" spans="9:18" ht="13.45" x14ac:dyDescent="0.25">
      <c r="I628" s="340"/>
      <c r="L628" s="341"/>
      <c r="R628" s="342"/>
    </row>
    <row r="629" spans="9:18" ht="13.45" x14ac:dyDescent="0.25">
      <c r="I629" s="340"/>
      <c r="L629" s="341"/>
      <c r="R629" s="342"/>
    </row>
    <row r="630" spans="9:18" ht="13.45" x14ac:dyDescent="0.25">
      <c r="I630" s="340"/>
      <c r="L630" s="341"/>
      <c r="R630" s="342"/>
    </row>
    <row r="631" spans="9:18" ht="13.45" x14ac:dyDescent="0.25">
      <c r="I631" s="340"/>
      <c r="L631" s="341"/>
      <c r="R631" s="342"/>
    </row>
    <row r="632" spans="9:18" ht="13.45" x14ac:dyDescent="0.25">
      <c r="I632" s="340"/>
      <c r="L632" s="341"/>
      <c r="R632" s="342"/>
    </row>
    <row r="633" spans="9:18" ht="13.45" x14ac:dyDescent="0.25">
      <c r="I633" s="340"/>
      <c r="L633" s="341"/>
      <c r="R633" s="342"/>
    </row>
    <row r="634" spans="9:18" ht="13.45" x14ac:dyDescent="0.25">
      <c r="I634" s="340"/>
      <c r="L634" s="341"/>
      <c r="R634" s="342"/>
    </row>
    <row r="635" spans="9:18" ht="13.45" x14ac:dyDescent="0.25">
      <c r="I635" s="340"/>
      <c r="L635" s="341"/>
      <c r="R635" s="342"/>
    </row>
    <row r="636" spans="9:18" ht="13.45" x14ac:dyDescent="0.25">
      <c r="I636" s="340"/>
      <c r="L636" s="341"/>
      <c r="R636" s="342"/>
    </row>
    <row r="637" spans="9:18" ht="13.45" x14ac:dyDescent="0.25">
      <c r="I637" s="340"/>
      <c r="L637" s="341"/>
      <c r="R637" s="342"/>
    </row>
    <row r="638" spans="9:18" ht="13.45" x14ac:dyDescent="0.25">
      <c r="I638" s="340"/>
      <c r="L638" s="341"/>
      <c r="R638" s="342"/>
    </row>
    <row r="639" spans="9:18" ht="13.45" x14ac:dyDescent="0.25">
      <c r="I639" s="340"/>
      <c r="L639" s="341"/>
      <c r="R639" s="342"/>
    </row>
    <row r="640" spans="9:18" ht="13.45" x14ac:dyDescent="0.25">
      <c r="I640" s="340"/>
      <c r="L640" s="341"/>
      <c r="R640" s="342"/>
    </row>
    <row r="641" spans="9:18" ht="13.45" x14ac:dyDescent="0.25">
      <c r="I641" s="340"/>
      <c r="L641" s="341"/>
      <c r="R641" s="342"/>
    </row>
    <row r="642" spans="9:18" ht="13.45" x14ac:dyDescent="0.25">
      <c r="I642" s="340"/>
      <c r="L642" s="341"/>
      <c r="R642" s="342"/>
    </row>
    <row r="643" spans="9:18" ht="13.45" x14ac:dyDescent="0.25">
      <c r="I643" s="340"/>
      <c r="L643" s="341"/>
      <c r="R643" s="342"/>
    </row>
    <row r="644" spans="9:18" ht="13.45" x14ac:dyDescent="0.25">
      <c r="I644" s="340"/>
      <c r="L644" s="341"/>
      <c r="R644" s="342"/>
    </row>
    <row r="645" spans="9:18" ht="13.45" x14ac:dyDescent="0.25">
      <c r="I645" s="340"/>
      <c r="L645" s="341"/>
      <c r="R645" s="342"/>
    </row>
    <row r="646" spans="9:18" ht="13.45" x14ac:dyDescent="0.25">
      <c r="I646" s="340"/>
      <c r="L646" s="341"/>
      <c r="R646" s="342"/>
    </row>
    <row r="647" spans="9:18" ht="13.45" x14ac:dyDescent="0.25">
      <c r="I647" s="340"/>
      <c r="L647" s="341"/>
      <c r="R647" s="342"/>
    </row>
    <row r="648" spans="9:18" ht="13.45" x14ac:dyDescent="0.25">
      <c r="I648" s="340"/>
      <c r="L648" s="341"/>
      <c r="R648" s="342"/>
    </row>
    <row r="649" spans="9:18" ht="13.45" x14ac:dyDescent="0.25">
      <c r="I649" s="340"/>
      <c r="L649" s="341"/>
      <c r="R649" s="342"/>
    </row>
    <row r="650" spans="9:18" ht="13.45" x14ac:dyDescent="0.25">
      <c r="I650" s="340"/>
      <c r="L650" s="341"/>
      <c r="R650" s="342"/>
    </row>
    <row r="651" spans="9:18" ht="13.45" x14ac:dyDescent="0.25">
      <c r="I651" s="340"/>
      <c r="L651" s="341"/>
      <c r="R651" s="342"/>
    </row>
    <row r="652" spans="9:18" ht="13.45" x14ac:dyDescent="0.25">
      <c r="I652" s="340"/>
      <c r="L652" s="341"/>
      <c r="R652" s="342"/>
    </row>
    <row r="653" spans="9:18" ht="13.45" x14ac:dyDescent="0.25">
      <c r="I653" s="340"/>
      <c r="L653" s="341"/>
      <c r="R653" s="342"/>
    </row>
    <row r="654" spans="9:18" ht="13.45" x14ac:dyDescent="0.25">
      <c r="I654" s="340"/>
      <c r="L654" s="341"/>
      <c r="R654" s="342"/>
    </row>
    <row r="655" spans="9:18" ht="13.45" x14ac:dyDescent="0.25">
      <c r="I655" s="340"/>
      <c r="L655" s="341"/>
      <c r="R655" s="342"/>
    </row>
    <row r="656" spans="9:18" ht="13.45" x14ac:dyDescent="0.25">
      <c r="I656" s="340"/>
      <c r="L656" s="341"/>
      <c r="R656" s="342"/>
    </row>
    <row r="657" spans="9:18" ht="13.45" x14ac:dyDescent="0.25">
      <c r="I657" s="340"/>
      <c r="L657" s="341"/>
      <c r="R657" s="342"/>
    </row>
    <row r="658" spans="9:18" ht="13.45" x14ac:dyDescent="0.25">
      <c r="I658" s="340"/>
      <c r="L658" s="341"/>
      <c r="R658" s="342"/>
    </row>
    <row r="659" spans="9:18" ht="13.45" x14ac:dyDescent="0.25">
      <c r="I659" s="340"/>
      <c r="L659" s="341"/>
      <c r="R659" s="342"/>
    </row>
    <row r="660" spans="9:18" ht="13.45" x14ac:dyDescent="0.25">
      <c r="I660" s="340"/>
      <c r="L660" s="341"/>
      <c r="R660" s="342"/>
    </row>
    <row r="661" spans="9:18" ht="13.45" x14ac:dyDescent="0.25">
      <c r="I661" s="340"/>
      <c r="L661" s="341"/>
      <c r="R661" s="342"/>
    </row>
    <row r="662" spans="9:18" ht="13.45" x14ac:dyDescent="0.25">
      <c r="I662" s="340"/>
      <c r="L662" s="341"/>
      <c r="R662" s="342"/>
    </row>
    <row r="663" spans="9:18" ht="13.45" x14ac:dyDescent="0.25">
      <c r="I663" s="340"/>
      <c r="L663" s="341"/>
      <c r="R663" s="342"/>
    </row>
    <row r="664" spans="9:18" ht="13.45" x14ac:dyDescent="0.25">
      <c r="I664" s="340"/>
      <c r="L664" s="341"/>
      <c r="R664" s="342"/>
    </row>
    <row r="665" spans="9:18" ht="13.45" x14ac:dyDescent="0.25">
      <c r="I665" s="340"/>
      <c r="L665" s="341"/>
      <c r="R665" s="342"/>
    </row>
    <row r="666" spans="9:18" ht="13.45" x14ac:dyDescent="0.25">
      <c r="I666" s="340"/>
      <c r="L666" s="341"/>
      <c r="R666" s="342"/>
    </row>
    <row r="667" spans="9:18" ht="13.45" x14ac:dyDescent="0.25">
      <c r="I667" s="340"/>
      <c r="L667" s="341"/>
      <c r="R667" s="342"/>
    </row>
    <row r="668" spans="9:18" ht="13.45" x14ac:dyDescent="0.25">
      <c r="I668" s="340"/>
      <c r="L668" s="341"/>
      <c r="R668" s="342"/>
    </row>
    <row r="669" spans="9:18" ht="13.45" x14ac:dyDescent="0.25">
      <c r="I669" s="340"/>
      <c r="L669" s="341"/>
      <c r="R669" s="342"/>
    </row>
    <row r="670" spans="9:18" ht="13.45" x14ac:dyDescent="0.25">
      <c r="I670" s="340"/>
      <c r="L670" s="341"/>
      <c r="R670" s="342"/>
    </row>
    <row r="671" spans="9:18" ht="13.45" x14ac:dyDescent="0.25">
      <c r="I671" s="340"/>
      <c r="L671" s="341"/>
      <c r="R671" s="342"/>
    </row>
    <row r="672" spans="9:18" ht="13.45" x14ac:dyDescent="0.25">
      <c r="I672" s="340"/>
      <c r="L672" s="341"/>
      <c r="R672" s="342"/>
    </row>
    <row r="673" spans="9:18" ht="13.45" x14ac:dyDescent="0.25">
      <c r="I673" s="340"/>
      <c r="L673" s="341"/>
      <c r="R673" s="342"/>
    </row>
    <row r="674" spans="9:18" ht="13.45" x14ac:dyDescent="0.25">
      <c r="I674" s="340"/>
      <c r="L674" s="341"/>
      <c r="R674" s="342"/>
    </row>
    <row r="675" spans="9:18" ht="13.45" x14ac:dyDescent="0.25">
      <c r="I675" s="340"/>
      <c r="L675" s="341"/>
      <c r="R675" s="342"/>
    </row>
    <row r="676" spans="9:18" ht="13.45" x14ac:dyDescent="0.25">
      <c r="I676" s="340"/>
      <c r="L676" s="341"/>
      <c r="R676" s="342"/>
    </row>
    <row r="677" spans="9:18" ht="13.45" x14ac:dyDescent="0.25">
      <c r="I677" s="340"/>
      <c r="L677" s="341"/>
      <c r="R677" s="342"/>
    </row>
    <row r="678" spans="9:18" ht="13.45" x14ac:dyDescent="0.25">
      <c r="I678" s="340"/>
      <c r="L678" s="341"/>
      <c r="R678" s="342"/>
    </row>
    <row r="679" spans="9:18" ht="13.45" x14ac:dyDescent="0.25">
      <c r="I679" s="340"/>
      <c r="L679" s="341"/>
      <c r="R679" s="342"/>
    </row>
    <row r="680" spans="9:18" ht="13.45" x14ac:dyDescent="0.25">
      <c r="I680" s="340"/>
      <c r="L680" s="341"/>
      <c r="R680" s="342"/>
    </row>
    <row r="681" spans="9:18" ht="13.45" x14ac:dyDescent="0.25">
      <c r="I681" s="340"/>
      <c r="L681" s="341"/>
      <c r="R681" s="342"/>
    </row>
    <row r="682" spans="9:18" ht="13.45" x14ac:dyDescent="0.25">
      <c r="I682" s="340"/>
      <c r="L682" s="341"/>
      <c r="R682" s="342"/>
    </row>
    <row r="683" spans="9:18" ht="13.45" x14ac:dyDescent="0.25">
      <c r="I683" s="340"/>
      <c r="L683" s="341"/>
      <c r="R683" s="342"/>
    </row>
    <row r="684" spans="9:18" ht="13.45" x14ac:dyDescent="0.25">
      <c r="I684" s="340"/>
      <c r="L684" s="341"/>
      <c r="R684" s="342"/>
    </row>
    <row r="685" spans="9:18" ht="13.45" x14ac:dyDescent="0.25">
      <c r="I685" s="340"/>
      <c r="L685" s="341"/>
      <c r="R685" s="342"/>
    </row>
    <row r="686" spans="9:18" ht="13.45" x14ac:dyDescent="0.25">
      <c r="I686" s="340"/>
      <c r="L686" s="341"/>
      <c r="R686" s="342"/>
    </row>
    <row r="687" spans="9:18" ht="13.45" x14ac:dyDescent="0.25">
      <c r="I687" s="340"/>
      <c r="L687" s="341"/>
      <c r="R687" s="342"/>
    </row>
    <row r="688" spans="9:18" ht="13.45" x14ac:dyDescent="0.25">
      <c r="I688" s="340"/>
      <c r="L688" s="341"/>
      <c r="R688" s="342"/>
    </row>
    <row r="689" spans="9:18" ht="13.45" x14ac:dyDescent="0.25">
      <c r="I689" s="340"/>
      <c r="L689" s="341"/>
      <c r="R689" s="342"/>
    </row>
    <row r="690" spans="9:18" ht="13.45" x14ac:dyDescent="0.25">
      <c r="I690" s="340"/>
      <c r="L690" s="341"/>
      <c r="R690" s="342"/>
    </row>
    <row r="691" spans="9:18" ht="13.45" x14ac:dyDescent="0.25">
      <c r="I691" s="340"/>
      <c r="L691" s="341"/>
      <c r="R691" s="342"/>
    </row>
    <row r="692" spans="9:18" ht="13.45" x14ac:dyDescent="0.25">
      <c r="I692" s="340"/>
      <c r="L692" s="341"/>
      <c r="R692" s="342"/>
    </row>
    <row r="693" spans="9:18" ht="13.45" x14ac:dyDescent="0.25">
      <c r="I693" s="340"/>
      <c r="L693" s="341"/>
      <c r="R693" s="342"/>
    </row>
    <row r="694" spans="9:18" ht="13.45" x14ac:dyDescent="0.25">
      <c r="I694" s="340"/>
      <c r="L694" s="341"/>
      <c r="R694" s="342"/>
    </row>
    <row r="695" spans="9:18" ht="13.45" x14ac:dyDescent="0.25">
      <c r="I695" s="340"/>
      <c r="L695" s="341"/>
      <c r="R695" s="342"/>
    </row>
    <row r="696" spans="9:18" ht="13.45" x14ac:dyDescent="0.25">
      <c r="I696" s="340"/>
      <c r="L696" s="341"/>
      <c r="R696" s="342"/>
    </row>
    <row r="697" spans="9:18" ht="13.45" x14ac:dyDescent="0.25">
      <c r="I697" s="340"/>
      <c r="L697" s="341"/>
      <c r="R697" s="342"/>
    </row>
    <row r="698" spans="9:18" ht="13.45" x14ac:dyDescent="0.25">
      <c r="I698" s="340"/>
      <c r="L698" s="341"/>
      <c r="R698" s="342"/>
    </row>
    <row r="699" spans="9:18" ht="13.45" x14ac:dyDescent="0.25">
      <c r="I699" s="340"/>
      <c r="L699" s="341"/>
      <c r="R699" s="342"/>
    </row>
    <row r="700" spans="9:18" ht="13.45" x14ac:dyDescent="0.25">
      <c r="I700" s="340"/>
      <c r="L700" s="341"/>
      <c r="R700" s="342"/>
    </row>
    <row r="701" spans="9:18" ht="13.45" x14ac:dyDescent="0.25">
      <c r="I701" s="340"/>
      <c r="L701" s="341"/>
      <c r="R701" s="342"/>
    </row>
    <row r="702" spans="9:18" ht="13.45" x14ac:dyDescent="0.25">
      <c r="I702" s="340"/>
      <c r="L702" s="341"/>
      <c r="R702" s="342"/>
    </row>
    <row r="703" spans="9:18" ht="13.45" x14ac:dyDescent="0.25">
      <c r="I703" s="340"/>
      <c r="L703" s="341"/>
      <c r="R703" s="342"/>
    </row>
    <row r="704" spans="9:18" ht="13.45" x14ac:dyDescent="0.25">
      <c r="I704" s="340"/>
      <c r="L704" s="341"/>
      <c r="R704" s="342"/>
    </row>
    <row r="705" spans="9:18" ht="13.45" x14ac:dyDescent="0.25">
      <c r="I705" s="340"/>
      <c r="L705" s="341"/>
      <c r="R705" s="342"/>
    </row>
    <row r="706" spans="9:18" ht="13.45" x14ac:dyDescent="0.25">
      <c r="I706" s="340"/>
      <c r="L706" s="341"/>
      <c r="R706" s="342"/>
    </row>
    <row r="707" spans="9:18" ht="13.45" x14ac:dyDescent="0.25">
      <c r="I707" s="340"/>
      <c r="L707" s="341"/>
      <c r="R707" s="342"/>
    </row>
    <row r="708" spans="9:18" ht="13.45" x14ac:dyDescent="0.25">
      <c r="I708" s="340"/>
      <c r="L708" s="341"/>
      <c r="R708" s="342"/>
    </row>
    <row r="709" spans="9:18" ht="13.45" x14ac:dyDescent="0.25">
      <c r="I709" s="340"/>
      <c r="L709" s="341"/>
      <c r="R709" s="342"/>
    </row>
    <row r="710" spans="9:18" ht="13.45" x14ac:dyDescent="0.25">
      <c r="I710" s="340"/>
      <c r="L710" s="341"/>
      <c r="R710" s="342"/>
    </row>
    <row r="711" spans="9:18" ht="13.45" x14ac:dyDescent="0.25">
      <c r="I711" s="340"/>
      <c r="L711" s="341"/>
      <c r="R711" s="342"/>
    </row>
    <row r="712" spans="9:18" ht="13.45" x14ac:dyDescent="0.25">
      <c r="I712" s="340"/>
      <c r="L712" s="341"/>
      <c r="R712" s="342"/>
    </row>
    <row r="713" spans="9:18" ht="13.45" x14ac:dyDescent="0.25">
      <c r="I713" s="340"/>
      <c r="L713" s="341"/>
      <c r="R713" s="342"/>
    </row>
    <row r="714" spans="9:18" ht="13.45" x14ac:dyDescent="0.25">
      <c r="I714" s="340"/>
      <c r="L714" s="341"/>
      <c r="R714" s="342"/>
    </row>
    <row r="715" spans="9:18" ht="13.45" x14ac:dyDescent="0.25">
      <c r="I715" s="340"/>
      <c r="L715" s="341"/>
      <c r="R715" s="342"/>
    </row>
    <row r="716" spans="9:18" ht="13.45" x14ac:dyDescent="0.25">
      <c r="I716" s="340"/>
      <c r="L716" s="341"/>
      <c r="R716" s="342"/>
    </row>
    <row r="717" spans="9:18" ht="13.45" x14ac:dyDescent="0.25">
      <c r="I717" s="340"/>
      <c r="L717" s="341"/>
      <c r="R717" s="342"/>
    </row>
    <row r="718" spans="9:18" ht="13.45" x14ac:dyDescent="0.25">
      <c r="I718" s="340"/>
      <c r="L718" s="341"/>
      <c r="R718" s="342"/>
    </row>
    <row r="719" spans="9:18" ht="13.45" x14ac:dyDescent="0.25">
      <c r="I719" s="340"/>
      <c r="L719" s="341"/>
      <c r="R719" s="342"/>
    </row>
    <row r="720" spans="9:18" ht="13.45" x14ac:dyDescent="0.25">
      <c r="I720" s="340"/>
      <c r="L720" s="341"/>
      <c r="R720" s="342"/>
    </row>
    <row r="721" spans="9:18" ht="13.45" x14ac:dyDescent="0.25">
      <c r="I721" s="340"/>
      <c r="L721" s="341"/>
      <c r="R721" s="342"/>
    </row>
    <row r="722" spans="9:18" ht="13.45" x14ac:dyDescent="0.25">
      <c r="I722" s="340"/>
      <c r="L722" s="341"/>
      <c r="R722" s="342"/>
    </row>
    <row r="723" spans="9:18" ht="13.45" x14ac:dyDescent="0.25">
      <c r="I723" s="340"/>
      <c r="L723" s="341"/>
      <c r="R723" s="342"/>
    </row>
    <row r="724" spans="9:18" ht="13.45" x14ac:dyDescent="0.25">
      <c r="I724" s="340"/>
      <c r="L724" s="341"/>
      <c r="R724" s="342"/>
    </row>
    <row r="725" spans="9:18" ht="13.45" x14ac:dyDescent="0.25">
      <c r="I725" s="340"/>
      <c r="L725" s="341"/>
      <c r="R725" s="342"/>
    </row>
    <row r="726" spans="9:18" ht="13.45" x14ac:dyDescent="0.25">
      <c r="I726" s="340"/>
      <c r="L726" s="341"/>
      <c r="R726" s="342"/>
    </row>
    <row r="727" spans="9:18" ht="13.45" x14ac:dyDescent="0.25">
      <c r="I727" s="340"/>
      <c r="L727" s="341"/>
      <c r="R727" s="342"/>
    </row>
    <row r="728" spans="9:18" ht="13.45" x14ac:dyDescent="0.25">
      <c r="I728" s="340"/>
      <c r="L728" s="341"/>
      <c r="R728" s="342"/>
    </row>
    <row r="729" spans="9:18" ht="13.45" x14ac:dyDescent="0.25">
      <c r="I729" s="340"/>
      <c r="L729" s="341"/>
      <c r="R729" s="342"/>
    </row>
    <row r="730" spans="9:18" ht="13.45" x14ac:dyDescent="0.25">
      <c r="I730" s="340"/>
      <c r="L730" s="341"/>
      <c r="R730" s="342"/>
    </row>
    <row r="731" spans="9:18" ht="13.45" x14ac:dyDescent="0.25">
      <c r="I731" s="340"/>
      <c r="L731" s="341"/>
      <c r="R731" s="342"/>
    </row>
    <row r="732" spans="9:18" ht="13.45" x14ac:dyDescent="0.25">
      <c r="I732" s="340"/>
      <c r="L732" s="341"/>
      <c r="R732" s="342"/>
    </row>
    <row r="733" spans="9:18" ht="13.45" x14ac:dyDescent="0.25">
      <c r="I733" s="340"/>
      <c r="L733" s="341"/>
      <c r="R733" s="342"/>
    </row>
    <row r="734" spans="9:18" ht="13.45" x14ac:dyDescent="0.25">
      <c r="I734" s="340"/>
      <c r="L734" s="341"/>
      <c r="R734" s="342"/>
    </row>
    <row r="735" spans="9:18" ht="13.45" x14ac:dyDescent="0.25">
      <c r="I735" s="340"/>
      <c r="L735" s="341"/>
      <c r="R735" s="342"/>
    </row>
    <row r="736" spans="9:18" ht="13.45" x14ac:dyDescent="0.25">
      <c r="I736" s="340"/>
      <c r="L736" s="341"/>
      <c r="R736" s="342"/>
    </row>
    <row r="737" spans="9:18" ht="13.45" x14ac:dyDescent="0.25">
      <c r="I737" s="340"/>
      <c r="L737" s="341"/>
      <c r="R737" s="342"/>
    </row>
    <row r="738" spans="9:18" ht="13.45" x14ac:dyDescent="0.25">
      <c r="I738" s="340"/>
      <c r="L738" s="341"/>
      <c r="R738" s="342"/>
    </row>
    <row r="739" spans="9:18" ht="13.45" x14ac:dyDescent="0.25">
      <c r="I739" s="340"/>
      <c r="L739" s="341"/>
      <c r="R739" s="342"/>
    </row>
    <row r="740" spans="9:18" ht="13.45" x14ac:dyDescent="0.25">
      <c r="I740" s="340"/>
      <c r="L740" s="341"/>
      <c r="R740" s="342"/>
    </row>
    <row r="741" spans="9:18" ht="13.45" x14ac:dyDescent="0.25">
      <c r="I741" s="340"/>
      <c r="L741" s="341"/>
      <c r="R741" s="342"/>
    </row>
    <row r="742" spans="9:18" ht="13.45" x14ac:dyDescent="0.25">
      <c r="I742" s="340"/>
      <c r="L742" s="341"/>
      <c r="R742" s="342"/>
    </row>
    <row r="743" spans="9:18" ht="13.45" x14ac:dyDescent="0.25">
      <c r="I743" s="340"/>
      <c r="L743" s="341"/>
      <c r="R743" s="342"/>
    </row>
    <row r="744" spans="9:18" ht="13.45" x14ac:dyDescent="0.25">
      <c r="I744" s="340"/>
      <c r="L744" s="341"/>
      <c r="R744" s="342"/>
    </row>
    <row r="745" spans="9:18" ht="13.45" x14ac:dyDescent="0.25">
      <c r="I745" s="340"/>
      <c r="L745" s="341"/>
      <c r="R745" s="342"/>
    </row>
    <row r="746" spans="9:18" ht="13.45" x14ac:dyDescent="0.25">
      <c r="I746" s="340"/>
      <c r="L746" s="341"/>
      <c r="R746" s="342"/>
    </row>
    <row r="747" spans="9:18" ht="13.45" x14ac:dyDescent="0.25">
      <c r="I747" s="340"/>
      <c r="L747" s="341"/>
      <c r="R747" s="342"/>
    </row>
    <row r="748" spans="9:18" ht="13.45" x14ac:dyDescent="0.25">
      <c r="I748" s="340"/>
      <c r="L748" s="341"/>
      <c r="R748" s="342"/>
    </row>
    <row r="749" spans="9:18" ht="13.45" x14ac:dyDescent="0.25">
      <c r="I749" s="340"/>
      <c r="L749" s="341"/>
      <c r="R749" s="342"/>
    </row>
    <row r="750" spans="9:18" ht="13.45" x14ac:dyDescent="0.25">
      <c r="I750" s="340"/>
      <c r="L750" s="341"/>
      <c r="R750" s="342"/>
    </row>
    <row r="751" spans="9:18" ht="13.45" x14ac:dyDescent="0.25">
      <c r="I751" s="340"/>
      <c r="L751" s="341"/>
      <c r="R751" s="342"/>
    </row>
    <row r="752" spans="9:18" ht="13.45" x14ac:dyDescent="0.25">
      <c r="I752" s="340"/>
      <c r="L752" s="341"/>
      <c r="R752" s="342"/>
    </row>
    <row r="753" spans="9:18" ht="13.45" x14ac:dyDescent="0.25">
      <c r="I753" s="340"/>
      <c r="L753" s="341"/>
      <c r="R753" s="342"/>
    </row>
    <row r="754" spans="9:18" ht="13.45" x14ac:dyDescent="0.25">
      <c r="I754" s="340"/>
      <c r="L754" s="341"/>
      <c r="R754" s="342"/>
    </row>
    <row r="755" spans="9:18" ht="13.45" x14ac:dyDescent="0.25">
      <c r="I755" s="340"/>
      <c r="L755" s="341"/>
      <c r="R755" s="342"/>
    </row>
    <row r="756" spans="9:18" ht="13.45" x14ac:dyDescent="0.25">
      <c r="I756" s="340"/>
      <c r="L756" s="341"/>
      <c r="R756" s="342"/>
    </row>
    <row r="757" spans="9:18" ht="13.45" x14ac:dyDescent="0.25">
      <c r="I757" s="340"/>
      <c r="L757" s="341"/>
      <c r="R757" s="342"/>
    </row>
    <row r="758" spans="9:18" ht="13.45" x14ac:dyDescent="0.25">
      <c r="I758" s="340"/>
      <c r="L758" s="341"/>
      <c r="R758" s="342"/>
    </row>
    <row r="759" spans="9:18" ht="13.45" x14ac:dyDescent="0.25">
      <c r="I759" s="340"/>
      <c r="L759" s="341"/>
      <c r="R759" s="342"/>
    </row>
    <row r="760" spans="9:18" ht="13.45" x14ac:dyDescent="0.25">
      <c r="I760" s="340"/>
      <c r="L760" s="341"/>
      <c r="R760" s="342"/>
    </row>
    <row r="761" spans="9:18" ht="13.45" x14ac:dyDescent="0.25">
      <c r="I761" s="340"/>
      <c r="L761" s="341"/>
      <c r="R761" s="342"/>
    </row>
    <row r="762" spans="9:18" ht="13.45" x14ac:dyDescent="0.25">
      <c r="I762" s="340"/>
      <c r="L762" s="341"/>
      <c r="R762" s="342"/>
    </row>
    <row r="763" spans="9:18" ht="13.45" x14ac:dyDescent="0.25">
      <c r="I763" s="340"/>
      <c r="L763" s="341"/>
      <c r="R763" s="342"/>
    </row>
    <row r="764" spans="9:18" ht="13.45" x14ac:dyDescent="0.25">
      <c r="I764" s="340"/>
      <c r="L764" s="341"/>
      <c r="R764" s="342"/>
    </row>
    <row r="765" spans="9:18" ht="13.45" x14ac:dyDescent="0.25">
      <c r="I765" s="340"/>
      <c r="L765" s="341"/>
      <c r="R765" s="342"/>
    </row>
    <row r="766" spans="9:18" ht="13.45" x14ac:dyDescent="0.25">
      <c r="I766" s="340"/>
      <c r="L766" s="341"/>
      <c r="R766" s="342"/>
    </row>
    <row r="767" spans="9:18" ht="13.45" x14ac:dyDescent="0.25">
      <c r="I767" s="340"/>
      <c r="L767" s="341"/>
      <c r="R767" s="342"/>
    </row>
    <row r="768" spans="9:18" ht="13.45" x14ac:dyDescent="0.25">
      <c r="I768" s="340"/>
      <c r="L768" s="341"/>
      <c r="R768" s="342"/>
    </row>
    <row r="769" spans="9:18" ht="13.45" x14ac:dyDescent="0.25">
      <c r="I769" s="340"/>
      <c r="L769" s="341"/>
      <c r="R769" s="342"/>
    </row>
    <row r="770" spans="9:18" ht="13.45" x14ac:dyDescent="0.25">
      <c r="I770" s="340"/>
      <c r="L770" s="341"/>
      <c r="R770" s="342"/>
    </row>
    <row r="771" spans="9:18" ht="13.45" x14ac:dyDescent="0.25">
      <c r="I771" s="340"/>
      <c r="L771" s="341"/>
      <c r="R771" s="342"/>
    </row>
    <row r="772" spans="9:18" ht="13.45" x14ac:dyDescent="0.25">
      <c r="I772" s="340"/>
      <c r="L772" s="341"/>
      <c r="R772" s="342"/>
    </row>
    <row r="773" spans="9:18" ht="13.45" x14ac:dyDescent="0.25">
      <c r="I773" s="340"/>
      <c r="L773" s="341"/>
      <c r="R773" s="342"/>
    </row>
    <row r="774" spans="9:18" ht="13.45" x14ac:dyDescent="0.25">
      <c r="I774" s="340"/>
      <c r="L774" s="341"/>
      <c r="R774" s="342"/>
    </row>
    <row r="775" spans="9:18" ht="13.45" x14ac:dyDescent="0.25">
      <c r="I775" s="340"/>
      <c r="L775" s="341"/>
      <c r="R775" s="342"/>
    </row>
    <row r="776" spans="9:18" ht="13.45" x14ac:dyDescent="0.25">
      <c r="I776" s="340"/>
      <c r="L776" s="341"/>
      <c r="R776" s="342"/>
    </row>
    <row r="777" spans="9:18" ht="13.45" x14ac:dyDescent="0.25">
      <c r="I777" s="340"/>
      <c r="L777" s="341"/>
      <c r="R777" s="342"/>
    </row>
    <row r="778" spans="9:18" ht="13.45" x14ac:dyDescent="0.25">
      <c r="I778" s="340"/>
      <c r="L778" s="341"/>
      <c r="R778" s="342"/>
    </row>
    <row r="779" spans="9:18" ht="13.45" x14ac:dyDescent="0.25">
      <c r="I779" s="340"/>
      <c r="L779" s="341"/>
      <c r="R779" s="342"/>
    </row>
    <row r="780" spans="9:18" ht="13.45" x14ac:dyDescent="0.25">
      <c r="I780" s="340"/>
      <c r="L780" s="341"/>
      <c r="R780" s="342"/>
    </row>
    <row r="781" spans="9:18" ht="13.45" x14ac:dyDescent="0.25">
      <c r="I781" s="340"/>
      <c r="L781" s="341"/>
      <c r="R781" s="342"/>
    </row>
    <row r="782" spans="9:18" ht="13.45" x14ac:dyDescent="0.25">
      <c r="I782" s="340"/>
      <c r="L782" s="341"/>
      <c r="R782" s="342"/>
    </row>
    <row r="783" spans="9:18" ht="13.45" x14ac:dyDescent="0.25">
      <c r="I783" s="340"/>
      <c r="L783" s="341"/>
      <c r="R783" s="342"/>
    </row>
    <row r="784" spans="9:18" ht="13.45" x14ac:dyDescent="0.25">
      <c r="I784" s="340"/>
      <c r="L784" s="341"/>
      <c r="R784" s="342"/>
    </row>
    <row r="785" spans="9:18" ht="13.45" x14ac:dyDescent="0.25">
      <c r="I785" s="340"/>
      <c r="L785" s="341"/>
      <c r="R785" s="342"/>
    </row>
    <row r="786" spans="9:18" ht="13.45" x14ac:dyDescent="0.25">
      <c r="I786" s="340"/>
      <c r="L786" s="341"/>
      <c r="R786" s="342"/>
    </row>
    <row r="787" spans="9:18" ht="13.45" x14ac:dyDescent="0.25">
      <c r="I787" s="340"/>
      <c r="L787" s="341"/>
      <c r="R787" s="342"/>
    </row>
    <row r="788" spans="9:18" ht="13.45" x14ac:dyDescent="0.25">
      <c r="I788" s="340"/>
      <c r="L788" s="341"/>
      <c r="R788" s="342"/>
    </row>
    <row r="789" spans="9:18" ht="13.45" x14ac:dyDescent="0.25">
      <c r="I789" s="340"/>
      <c r="L789" s="341"/>
      <c r="R789" s="342"/>
    </row>
    <row r="790" spans="9:18" ht="13.45" x14ac:dyDescent="0.25">
      <c r="I790" s="340"/>
      <c r="L790" s="341"/>
      <c r="R790" s="342"/>
    </row>
    <row r="791" spans="9:18" ht="13.45" x14ac:dyDescent="0.25">
      <c r="I791" s="340"/>
      <c r="L791" s="341"/>
      <c r="R791" s="342"/>
    </row>
    <row r="792" spans="9:18" ht="13.45" x14ac:dyDescent="0.25">
      <c r="I792" s="340"/>
      <c r="L792" s="341"/>
      <c r="R792" s="342"/>
    </row>
    <row r="793" spans="9:18" ht="13.45" x14ac:dyDescent="0.25">
      <c r="I793" s="340"/>
      <c r="L793" s="341"/>
      <c r="R793" s="342"/>
    </row>
    <row r="794" spans="9:18" ht="13.45" x14ac:dyDescent="0.25">
      <c r="I794" s="340"/>
      <c r="L794" s="341"/>
      <c r="R794" s="342"/>
    </row>
    <row r="795" spans="9:18" ht="13.45" x14ac:dyDescent="0.25">
      <c r="I795" s="340"/>
      <c r="L795" s="341"/>
      <c r="R795" s="342"/>
    </row>
    <row r="796" spans="9:18" ht="13.45" x14ac:dyDescent="0.25">
      <c r="I796" s="340"/>
      <c r="L796" s="341"/>
      <c r="R796" s="342"/>
    </row>
    <row r="797" spans="9:18" ht="13.45" x14ac:dyDescent="0.25">
      <c r="I797" s="340"/>
      <c r="L797" s="341"/>
      <c r="R797" s="342"/>
    </row>
    <row r="798" spans="9:18" ht="13.45" x14ac:dyDescent="0.25">
      <c r="I798" s="340"/>
      <c r="L798" s="341"/>
      <c r="R798" s="342"/>
    </row>
    <row r="799" spans="9:18" ht="13.45" x14ac:dyDescent="0.25">
      <c r="I799" s="340"/>
      <c r="L799" s="341"/>
      <c r="R799" s="342"/>
    </row>
    <row r="800" spans="9:18" ht="13.45" x14ac:dyDescent="0.25">
      <c r="I800" s="340"/>
      <c r="L800" s="341"/>
      <c r="R800" s="342"/>
    </row>
    <row r="801" spans="9:18" ht="13.45" x14ac:dyDescent="0.25">
      <c r="I801" s="340"/>
      <c r="L801" s="341"/>
      <c r="R801" s="342"/>
    </row>
    <row r="802" spans="9:18" ht="13.45" x14ac:dyDescent="0.25">
      <c r="I802" s="340"/>
      <c r="L802" s="341"/>
      <c r="R802" s="342"/>
    </row>
    <row r="803" spans="9:18" ht="13.45" x14ac:dyDescent="0.25">
      <c r="I803" s="340"/>
      <c r="L803" s="341"/>
      <c r="R803" s="342"/>
    </row>
    <row r="804" spans="9:18" ht="13.45" x14ac:dyDescent="0.25">
      <c r="I804" s="340"/>
      <c r="L804" s="341"/>
      <c r="R804" s="342"/>
    </row>
    <row r="805" spans="9:18" ht="13.45" x14ac:dyDescent="0.25">
      <c r="I805" s="340"/>
      <c r="L805" s="341"/>
      <c r="R805" s="342"/>
    </row>
    <row r="806" spans="9:18" ht="13.45" x14ac:dyDescent="0.25">
      <c r="I806" s="340"/>
      <c r="L806" s="341"/>
      <c r="R806" s="342"/>
    </row>
    <row r="807" spans="9:18" ht="13.45" x14ac:dyDescent="0.25">
      <c r="I807" s="340"/>
      <c r="L807" s="341"/>
      <c r="R807" s="342"/>
    </row>
    <row r="808" spans="9:18" ht="13.45" x14ac:dyDescent="0.25">
      <c r="I808" s="340"/>
      <c r="L808" s="341"/>
      <c r="R808" s="342"/>
    </row>
    <row r="809" spans="9:18" ht="13.45" x14ac:dyDescent="0.25">
      <c r="I809" s="340"/>
      <c r="L809" s="341"/>
      <c r="R809" s="342"/>
    </row>
    <row r="810" spans="9:18" ht="13.45" x14ac:dyDescent="0.25">
      <c r="I810" s="340"/>
      <c r="L810" s="341"/>
      <c r="R810" s="342"/>
    </row>
    <row r="811" spans="9:18" ht="13.45" x14ac:dyDescent="0.25">
      <c r="I811" s="340"/>
      <c r="L811" s="341"/>
      <c r="R811" s="342"/>
    </row>
    <row r="812" spans="9:18" ht="13.45" x14ac:dyDescent="0.25">
      <c r="I812" s="340"/>
      <c r="L812" s="341"/>
      <c r="R812" s="342"/>
    </row>
    <row r="813" spans="9:18" ht="13.45" x14ac:dyDescent="0.25">
      <c r="I813" s="340"/>
      <c r="L813" s="341"/>
      <c r="R813" s="342"/>
    </row>
    <row r="814" spans="9:18" ht="13.45" x14ac:dyDescent="0.25">
      <c r="I814" s="340"/>
      <c r="L814" s="341"/>
      <c r="R814" s="342"/>
    </row>
    <row r="815" spans="9:18" ht="13.45" x14ac:dyDescent="0.25">
      <c r="I815" s="340"/>
      <c r="L815" s="341"/>
      <c r="R815" s="342"/>
    </row>
    <row r="816" spans="9:18" ht="13.45" x14ac:dyDescent="0.25">
      <c r="I816" s="340"/>
      <c r="L816" s="341"/>
      <c r="R816" s="342"/>
    </row>
    <row r="817" spans="9:18" ht="13.45" x14ac:dyDescent="0.25">
      <c r="I817" s="340"/>
      <c r="L817" s="341"/>
      <c r="R817" s="342"/>
    </row>
    <row r="818" spans="9:18" ht="13.45" x14ac:dyDescent="0.25">
      <c r="I818" s="340"/>
      <c r="L818" s="341"/>
      <c r="R818" s="342"/>
    </row>
    <row r="819" spans="9:18" ht="13.45" x14ac:dyDescent="0.25">
      <c r="I819" s="340"/>
      <c r="L819" s="341"/>
      <c r="R819" s="342"/>
    </row>
    <row r="820" spans="9:18" ht="13.45" x14ac:dyDescent="0.25">
      <c r="I820" s="340"/>
      <c r="L820" s="341"/>
      <c r="R820" s="342"/>
    </row>
    <row r="821" spans="9:18" ht="13.45" x14ac:dyDescent="0.25">
      <c r="I821" s="340"/>
      <c r="L821" s="341"/>
      <c r="R821" s="342"/>
    </row>
    <row r="822" spans="9:18" ht="13.45" x14ac:dyDescent="0.25">
      <c r="I822" s="340"/>
      <c r="L822" s="341"/>
      <c r="R822" s="342"/>
    </row>
    <row r="823" spans="9:18" ht="13.45" x14ac:dyDescent="0.25">
      <c r="I823" s="340"/>
      <c r="L823" s="341"/>
      <c r="R823" s="342"/>
    </row>
    <row r="824" spans="9:18" ht="13.45" x14ac:dyDescent="0.25">
      <c r="I824" s="340"/>
      <c r="L824" s="341"/>
      <c r="R824" s="342"/>
    </row>
    <row r="825" spans="9:18" ht="13.45" x14ac:dyDescent="0.25">
      <c r="I825" s="340"/>
      <c r="L825" s="341"/>
      <c r="R825" s="342"/>
    </row>
    <row r="826" spans="9:18" ht="13.45" x14ac:dyDescent="0.25">
      <c r="I826" s="340"/>
      <c r="L826" s="341"/>
      <c r="R826" s="342"/>
    </row>
    <row r="827" spans="9:18" ht="13.45" x14ac:dyDescent="0.25">
      <c r="I827" s="340"/>
      <c r="L827" s="341"/>
      <c r="R827" s="342"/>
    </row>
    <row r="828" spans="9:18" ht="13.45" x14ac:dyDescent="0.25">
      <c r="I828" s="340"/>
      <c r="L828" s="341"/>
      <c r="R828" s="342"/>
    </row>
    <row r="829" spans="9:18" ht="13.45" x14ac:dyDescent="0.25">
      <c r="I829" s="340"/>
      <c r="L829" s="341"/>
      <c r="R829" s="342"/>
    </row>
    <row r="830" spans="9:18" ht="13.45" x14ac:dyDescent="0.25">
      <c r="I830" s="340"/>
      <c r="L830" s="341"/>
      <c r="R830" s="342"/>
    </row>
    <row r="831" spans="9:18" ht="13.45" x14ac:dyDescent="0.25">
      <c r="I831" s="340"/>
      <c r="L831" s="341"/>
      <c r="R831" s="342"/>
    </row>
    <row r="832" spans="9:18" ht="13.45" x14ac:dyDescent="0.25">
      <c r="I832" s="340"/>
      <c r="L832" s="341"/>
      <c r="R832" s="342"/>
    </row>
    <row r="833" spans="9:18" ht="13.45" x14ac:dyDescent="0.25">
      <c r="I833" s="340"/>
      <c r="L833" s="341"/>
      <c r="R833" s="342"/>
    </row>
    <row r="834" spans="9:18" ht="13.45" x14ac:dyDescent="0.25">
      <c r="I834" s="340"/>
      <c r="L834" s="341"/>
      <c r="R834" s="342"/>
    </row>
    <row r="835" spans="9:18" ht="13.45" x14ac:dyDescent="0.25">
      <c r="I835" s="340"/>
      <c r="L835" s="341"/>
      <c r="R835" s="342"/>
    </row>
    <row r="836" spans="9:18" ht="13.45" x14ac:dyDescent="0.25">
      <c r="I836" s="340"/>
      <c r="L836" s="341"/>
      <c r="R836" s="342"/>
    </row>
    <row r="837" spans="9:18" ht="13.45" x14ac:dyDescent="0.25">
      <c r="I837" s="340"/>
      <c r="L837" s="341"/>
      <c r="R837" s="342"/>
    </row>
    <row r="838" spans="9:18" ht="13.45" x14ac:dyDescent="0.25">
      <c r="I838" s="340"/>
      <c r="L838" s="341"/>
      <c r="R838" s="342"/>
    </row>
    <row r="839" spans="9:18" ht="13.45" x14ac:dyDescent="0.25">
      <c r="I839" s="340"/>
      <c r="L839" s="341"/>
      <c r="R839" s="342"/>
    </row>
    <row r="840" spans="9:18" ht="13.45" x14ac:dyDescent="0.25">
      <c r="I840" s="340"/>
      <c r="L840" s="341"/>
      <c r="R840" s="342"/>
    </row>
    <row r="841" spans="9:18" ht="13.45" x14ac:dyDescent="0.25">
      <c r="I841" s="340"/>
      <c r="L841" s="341"/>
      <c r="R841" s="342"/>
    </row>
    <row r="842" spans="9:18" ht="13.45" x14ac:dyDescent="0.25">
      <c r="I842" s="340"/>
      <c r="L842" s="341"/>
      <c r="R842" s="342"/>
    </row>
    <row r="843" spans="9:18" ht="13.45" x14ac:dyDescent="0.25">
      <c r="I843" s="340"/>
      <c r="L843" s="341"/>
      <c r="R843" s="342"/>
    </row>
    <row r="844" spans="9:18" ht="13.45" x14ac:dyDescent="0.25">
      <c r="I844" s="340"/>
      <c r="L844" s="341"/>
      <c r="R844" s="342"/>
    </row>
    <row r="845" spans="9:18" ht="13.45" x14ac:dyDescent="0.25">
      <c r="I845" s="340"/>
      <c r="L845" s="341"/>
      <c r="R845" s="342"/>
    </row>
    <row r="846" spans="9:18" ht="13.45" x14ac:dyDescent="0.25">
      <c r="I846" s="340"/>
      <c r="L846" s="341"/>
      <c r="R846" s="342"/>
    </row>
    <row r="847" spans="9:18" ht="13.45" x14ac:dyDescent="0.25">
      <c r="I847" s="340"/>
      <c r="L847" s="341"/>
      <c r="R847" s="342"/>
    </row>
    <row r="848" spans="9:18" ht="13.45" x14ac:dyDescent="0.25">
      <c r="I848" s="340"/>
      <c r="L848" s="341"/>
      <c r="R848" s="342"/>
    </row>
    <row r="849" spans="9:18" ht="13.45" x14ac:dyDescent="0.25">
      <c r="I849" s="340"/>
      <c r="L849" s="341"/>
      <c r="R849" s="342"/>
    </row>
    <row r="850" spans="9:18" ht="13.45" x14ac:dyDescent="0.25">
      <c r="I850" s="340"/>
      <c r="L850" s="341"/>
      <c r="R850" s="342"/>
    </row>
    <row r="851" spans="9:18" ht="13.45" x14ac:dyDescent="0.25">
      <c r="I851" s="340"/>
      <c r="L851" s="341"/>
      <c r="R851" s="342"/>
    </row>
    <row r="852" spans="9:18" ht="13.45" x14ac:dyDescent="0.25">
      <c r="I852" s="340"/>
      <c r="L852" s="341"/>
      <c r="R852" s="342"/>
    </row>
    <row r="853" spans="9:18" ht="13.45" x14ac:dyDescent="0.25">
      <c r="I853" s="340"/>
      <c r="L853" s="341"/>
      <c r="R853" s="342"/>
    </row>
    <row r="854" spans="9:18" ht="13.45" x14ac:dyDescent="0.25">
      <c r="I854" s="340"/>
      <c r="L854" s="341"/>
      <c r="R854" s="342"/>
    </row>
    <row r="855" spans="9:18" ht="13.45" x14ac:dyDescent="0.25">
      <c r="I855" s="340"/>
      <c r="L855" s="341"/>
      <c r="R855" s="342"/>
    </row>
    <row r="856" spans="9:18" ht="13.45" x14ac:dyDescent="0.25">
      <c r="I856" s="340"/>
      <c r="L856" s="341"/>
      <c r="R856" s="342"/>
    </row>
    <row r="857" spans="9:18" ht="13.45" x14ac:dyDescent="0.25">
      <c r="I857" s="340"/>
      <c r="L857" s="341"/>
      <c r="R857" s="342"/>
    </row>
    <row r="858" spans="9:18" ht="13.45" x14ac:dyDescent="0.25">
      <c r="I858" s="340"/>
      <c r="L858" s="341"/>
      <c r="R858" s="342"/>
    </row>
    <row r="859" spans="9:18" ht="13.45" x14ac:dyDescent="0.25">
      <c r="I859" s="340"/>
      <c r="L859" s="341"/>
      <c r="R859" s="342"/>
    </row>
    <row r="860" spans="9:18" ht="13.45" x14ac:dyDescent="0.25">
      <c r="I860" s="340"/>
      <c r="L860" s="341"/>
      <c r="R860" s="342"/>
    </row>
    <row r="861" spans="9:18" ht="13.45" x14ac:dyDescent="0.25">
      <c r="I861" s="340"/>
      <c r="L861" s="341"/>
      <c r="R861" s="342"/>
    </row>
    <row r="862" spans="9:18" ht="13.45" x14ac:dyDescent="0.25">
      <c r="I862" s="340"/>
      <c r="L862" s="341"/>
      <c r="R862" s="342"/>
    </row>
    <row r="863" spans="9:18" ht="13.45" x14ac:dyDescent="0.25">
      <c r="I863" s="340"/>
      <c r="L863" s="341"/>
      <c r="R863" s="342"/>
    </row>
    <row r="864" spans="9:18" ht="13.45" x14ac:dyDescent="0.25">
      <c r="I864" s="340"/>
      <c r="L864" s="341"/>
      <c r="R864" s="342"/>
    </row>
    <row r="865" spans="9:18" ht="13.45" x14ac:dyDescent="0.25">
      <c r="I865" s="340"/>
      <c r="L865" s="341"/>
      <c r="R865" s="342"/>
    </row>
    <row r="866" spans="9:18" ht="13.45" x14ac:dyDescent="0.25">
      <c r="I866" s="340"/>
      <c r="L866" s="341"/>
      <c r="R866" s="342"/>
    </row>
    <row r="867" spans="9:18" ht="13.45" x14ac:dyDescent="0.25">
      <c r="I867" s="340"/>
      <c r="L867" s="341"/>
      <c r="R867" s="342"/>
    </row>
    <row r="868" spans="9:18" ht="13.45" x14ac:dyDescent="0.25">
      <c r="I868" s="340"/>
      <c r="L868" s="341"/>
      <c r="R868" s="342"/>
    </row>
    <row r="869" spans="9:18" ht="13.45" x14ac:dyDescent="0.25">
      <c r="I869" s="340"/>
      <c r="L869" s="341"/>
      <c r="R869" s="342"/>
    </row>
    <row r="870" spans="9:18" ht="13.45" x14ac:dyDescent="0.25">
      <c r="I870" s="340"/>
      <c r="L870" s="341"/>
      <c r="R870" s="342"/>
    </row>
    <row r="871" spans="9:18" ht="13.45" x14ac:dyDescent="0.25">
      <c r="I871" s="340"/>
      <c r="L871" s="341"/>
      <c r="R871" s="342"/>
    </row>
    <row r="872" spans="9:18" ht="13.45" x14ac:dyDescent="0.25">
      <c r="I872" s="340"/>
      <c r="L872" s="341"/>
      <c r="R872" s="342"/>
    </row>
    <row r="873" spans="9:18" ht="13.45" x14ac:dyDescent="0.25">
      <c r="I873" s="340"/>
      <c r="L873" s="341"/>
      <c r="R873" s="342"/>
    </row>
    <row r="874" spans="9:18" ht="13.45" x14ac:dyDescent="0.25">
      <c r="I874" s="340"/>
      <c r="L874" s="341"/>
      <c r="R874" s="342"/>
    </row>
    <row r="875" spans="9:18" ht="13.45" x14ac:dyDescent="0.25">
      <c r="I875" s="340"/>
      <c r="L875" s="341"/>
      <c r="R875" s="342"/>
    </row>
    <row r="876" spans="9:18" ht="13.45" x14ac:dyDescent="0.25">
      <c r="I876" s="340"/>
      <c r="L876" s="341"/>
      <c r="R876" s="342"/>
    </row>
    <row r="877" spans="9:18" ht="13.45" x14ac:dyDescent="0.25">
      <c r="I877" s="340"/>
      <c r="L877" s="341"/>
      <c r="R877" s="342"/>
    </row>
    <row r="878" spans="9:18" ht="13.45" x14ac:dyDescent="0.25">
      <c r="I878" s="340"/>
      <c r="L878" s="341"/>
      <c r="R878" s="342"/>
    </row>
    <row r="879" spans="9:18" ht="13.45" x14ac:dyDescent="0.25">
      <c r="I879" s="340"/>
      <c r="L879" s="341"/>
      <c r="R879" s="342"/>
    </row>
    <row r="880" spans="9:18" ht="13.45" x14ac:dyDescent="0.25">
      <c r="I880" s="340"/>
      <c r="L880" s="341"/>
      <c r="R880" s="342"/>
    </row>
    <row r="881" spans="9:18" ht="13.45" x14ac:dyDescent="0.25">
      <c r="I881" s="340"/>
      <c r="L881" s="341"/>
      <c r="R881" s="342"/>
    </row>
    <row r="882" spans="9:18" ht="13.45" x14ac:dyDescent="0.25">
      <c r="I882" s="340"/>
      <c r="L882" s="341"/>
      <c r="R882" s="342"/>
    </row>
    <row r="883" spans="9:18" ht="13.45" x14ac:dyDescent="0.25">
      <c r="I883" s="340"/>
      <c r="L883" s="341"/>
      <c r="R883" s="342"/>
    </row>
    <row r="884" spans="9:18" ht="13.45" x14ac:dyDescent="0.25">
      <c r="I884" s="340"/>
      <c r="L884" s="341"/>
      <c r="R884" s="342"/>
    </row>
    <row r="885" spans="9:18" ht="13.45" x14ac:dyDescent="0.25">
      <c r="I885" s="340"/>
      <c r="L885" s="341"/>
      <c r="R885" s="342"/>
    </row>
    <row r="886" spans="9:18" ht="13.45" x14ac:dyDescent="0.25">
      <c r="I886" s="340"/>
      <c r="L886" s="341"/>
      <c r="R886" s="342"/>
    </row>
    <row r="887" spans="9:18" ht="13.45" x14ac:dyDescent="0.25">
      <c r="I887" s="340"/>
      <c r="L887" s="341"/>
      <c r="R887" s="342"/>
    </row>
    <row r="888" spans="9:18" ht="13.45" x14ac:dyDescent="0.25">
      <c r="I888" s="340"/>
      <c r="L888" s="341"/>
      <c r="R888" s="342"/>
    </row>
    <row r="889" spans="9:18" ht="13.45" x14ac:dyDescent="0.25">
      <c r="I889" s="340"/>
      <c r="L889" s="341"/>
      <c r="R889" s="342"/>
    </row>
    <row r="890" spans="9:18" ht="13.45" x14ac:dyDescent="0.25">
      <c r="I890" s="340"/>
      <c r="L890" s="341"/>
      <c r="R890" s="342"/>
    </row>
    <row r="891" spans="9:18" ht="13.45" x14ac:dyDescent="0.25">
      <c r="I891" s="340"/>
      <c r="L891" s="341"/>
      <c r="R891" s="342"/>
    </row>
    <row r="892" spans="9:18" ht="13.45" x14ac:dyDescent="0.25">
      <c r="I892" s="340"/>
      <c r="L892" s="341"/>
      <c r="R892" s="342"/>
    </row>
    <row r="893" spans="9:18" ht="13.45" x14ac:dyDescent="0.25">
      <c r="I893" s="340"/>
      <c r="L893" s="341"/>
      <c r="R893" s="342"/>
    </row>
    <row r="894" spans="9:18" ht="13.45" x14ac:dyDescent="0.25">
      <c r="I894" s="340"/>
      <c r="L894" s="341"/>
      <c r="R894" s="342"/>
    </row>
    <row r="895" spans="9:18" ht="13.45" x14ac:dyDescent="0.25">
      <c r="I895" s="340"/>
      <c r="L895" s="341"/>
      <c r="R895" s="342"/>
    </row>
    <row r="896" spans="9:18" ht="13.45" x14ac:dyDescent="0.25">
      <c r="I896" s="340"/>
      <c r="L896" s="341"/>
      <c r="R896" s="342"/>
    </row>
    <row r="897" spans="9:18" ht="13.45" x14ac:dyDescent="0.25">
      <c r="I897" s="340"/>
      <c r="L897" s="341"/>
      <c r="R897" s="342"/>
    </row>
    <row r="898" spans="9:18" ht="13.45" x14ac:dyDescent="0.25">
      <c r="I898" s="340"/>
      <c r="L898" s="341"/>
      <c r="R898" s="342"/>
    </row>
    <row r="899" spans="9:18" ht="13.45" x14ac:dyDescent="0.25">
      <c r="I899" s="340"/>
      <c r="L899" s="341"/>
      <c r="R899" s="342"/>
    </row>
    <row r="900" spans="9:18" ht="13.45" x14ac:dyDescent="0.25">
      <c r="I900" s="340"/>
      <c r="L900" s="341"/>
      <c r="R900" s="342"/>
    </row>
    <row r="901" spans="9:18" ht="13.45" x14ac:dyDescent="0.25">
      <c r="I901" s="340"/>
      <c r="L901" s="341"/>
      <c r="R901" s="342"/>
    </row>
    <row r="902" spans="9:18" ht="13.45" x14ac:dyDescent="0.25">
      <c r="I902" s="340"/>
      <c r="L902" s="341"/>
      <c r="R902" s="342"/>
    </row>
    <row r="903" spans="9:18" ht="13.45" x14ac:dyDescent="0.25">
      <c r="I903" s="340"/>
      <c r="L903" s="341"/>
      <c r="R903" s="342"/>
    </row>
    <row r="904" spans="9:18" ht="13.45" x14ac:dyDescent="0.25">
      <c r="I904" s="340"/>
      <c r="L904" s="341"/>
      <c r="R904" s="342"/>
    </row>
    <row r="905" spans="9:18" ht="13.45" x14ac:dyDescent="0.25">
      <c r="I905" s="340"/>
      <c r="L905" s="341"/>
      <c r="R905" s="342"/>
    </row>
    <row r="906" spans="9:18" ht="13.45" x14ac:dyDescent="0.25">
      <c r="I906" s="340"/>
      <c r="L906" s="341"/>
      <c r="R906" s="342"/>
    </row>
    <row r="907" spans="9:18" ht="13.45" x14ac:dyDescent="0.25">
      <c r="I907" s="340"/>
      <c r="L907" s="341"/>
      <c r="R907" s="342"/>
    </row>
    <row r="908" spans="9:18" ht="13.45" x14ac:dyDescent="0.25">
      <c r="I908" s="340"/>
      <c r="L908" s="341"/>
      <c r="R908" s="342"/>
    </row>
    <row r="909" spans="9:18" ht="13.45" x14ac:dyDescent="0.25">
      <c r="I909" s="340"/>
      <c r="L909" s="341"/>
      <c r="R909" s="342"/>
    </row>
    <row r="910" spans="9:18" ht="13.45" x14ac:dyDescent="0.25">
      <c r="I910" s="340"/>
      <c r="L910" s="341"/>
      <c r="R910" s="342"/>
    </row>
    <row r="911" spans="9:18" ht="13.45" x14ac:dyDescent="0.25">
      <c r="I911" s="340"/>
      <c r="L911" s="341"/>
      <c r="R911" s="342"/>
    </row>
    <row r="912" spans="9:18" ht="13.45" x14ac:dyDescent="0.25">
      <c r="I912" s="340"/>
      <c r="L912" s="341"/>
      <c r="R912" s="342"/>
    </row>
    <row r="913" spans="9:18" ht="13.45" x14ac:dyDescent="0.25">
      <c r="I913" s="340"/>
      <c r="L913" s="341"/>
      <c r="R913" s="342"/>
    </row>
    <row r="914" spans="9:18" ht="13.45" x14ac:dyDescent="0.25">
      <c r="I914" s="340"/>
      <c r="L914" s="341"/>
      <c r="R914" s="342"/>
    </row>
    <row r="915" spans="9:18" ht="13.45" x14ac:dyDescent="0.25">
      <c r="I915" s="340"/>
      <c r="L915" s="341"/>
      <c r="R915" s="342"/>
    </row>
    <row r="916" spans="9:18" ht="13.45" x14ac:dyDescent="0.25">
      <c r="I916" s="340"/>
      <c r="L916" s="341"/>
      <c r="R916" s="342"/>
    </row>
    <row r="917" spans="9:18" ht="13.45" x14ac:dyDescent="0.25">
      <c r="I917" s="340"/>
      <c r="L917" s="341"/>
      <c r="R917" s="342"/>
    </row>
    <row r="918" spans="9:18" ht="13.45" x14ac:dyDescent="0.25">
      <c r="I918" s="340"/>
      <c r="L918" s="341"/>
      <c r="R918" s="342"/>
    </row>
    <row r="919" spans="9:18" ht="13.45" x14ac:dyDescent="0.25">
      <c r="I919" s="340"/>
      <c r="L919" s="341"/>
      <c r="R919" s="342"/>
    </row>
    <row r="920" spans="9:18" ht="13.45" x14ac:dyDescent="0.25">
      <c r="I920" s="340"/>
      <c r="L920" s="341"/>
      <c r="R920" s="342"/>
    </row>
    <row r="921" spans="9:18" ht="13.45" x14ac:dyDescent="0.25">
      <c r="I921" s="340"/>
      <c r="L921" s="341"/>
      <c r="R921" s="342"/>
    </row>
    <row r="922" spans="9:18" ht="13.45" x14ac:dyDescent="0.25">
      <c r="I922" s="340"/>
      <c r="L922" s="341"/>
      <c r="R922" s="342"/>
    </row>
    <row r="923" spans="9:18" ht="13.45" x14ac:dyDescent="0.25">
      <c r="I923" s="340"/>
      <c r="L923" s="341"/>
      <c r="R923" s="342"/>
    </row>
    <row r="924" spans="9:18" ht="13.45" x14ac:dyDescent="0.25">
      <c r="I924" s="340"/>
      <c r="L924" s="341"/>
      <c r="R924" s="342"/>
    </row>
    <row r="925" spans="9:18" ht="13.45" x14ac:dyDescent="0.25">
      <c r="I925" s="340"/>
      <c r="L925" s="341"/>
      <c r="R925" s="342"/>
    </row>
    <row r="926" spans="9:18" ht="13.45" x14ac:dyDescent="0.25">
      <c r="I926" s="340"/>
      <c r="L926" s="341"/>
      <c r="R926" s="342"/>
    </row>
    <row r="927" spans="9:18" ht="13.45" x14ac:dyDescent="0.25">
      <c r="I927" s="340"/>
      <c r="L927" s="341"/>
      <c r="R927" s="342"/>
    </row>
    <row r="928" spans="9:18" ht="13.45" x14ac:dyDescent="0.25">
      <c r="I928" s="340"/>
      <c r="L928" s="341"/>
      <c r="R928" s="342"/>
    </row>
    <row r="929" spans="9:18" ht="13.45" x14ac:dyDescent="0.25">
      <c r="I929" s="340"/>
      <c r="L929" s="341"/>
      <c r="R929" s="342"/>
    </row>
    <row r="930" spans="9:18" ht="13.45" x14ac:dyDescent="0.25">
      <c r="I930" s="340"/>
      <c r="L930" s="341"/>
      <c r="R930" s="342"/>
    </row>
    <row r="931" spans="9:18" ht="13.45" x14ac:dyDescent="0.25">
      <c r="I931" s="340"/>
      <c r="L931" s="341"/>
      <c r="R931" s="342"/>
    </row>
    <row r="932" spans="9:18" ht="13.45" x14ac:dyDescent="0.25">
      <c r="I932" s="340"/>
      <c r="L932" s="341"/>
      <c r="R932" s="342"/>
    </row>
    <row r="933" spans="9:18" ht="13.45" x14ac:dyDescent="0.25">
      <c r="I933" s="340"/>
      <c r="L933" s="341"/>
      <c r="R933" s="342"/>
    </row>
    <row r="934" spans="9:18" ht="13.45" x14ac:dyDescent="0.25">
      <c r="I934" s="340"/>
      <c r="L934" s="341"/>
      <c r="R934" s="342"/>
    </row>
    <row r="935" spans="9:18" ht="13.45" x14ac:dyDescent="0.25">
      <c r="I935" s="340"/>
      <c r="L935" s="341"/>
      <c r="R935" s="342"/>
    </row>
    <row r="936" spans="9:18" ht="13.45" x14ac:dyDescent="0.25">
      <c r="I936" s="340"/>
      <c r="L936" s="341"/>
      <c r="R936" s="342"/>
    </row>
    <row r="937" spans="9:18" ht="13.45" x14ac:dyDescent="0.25">
      <c r="I937" s="340"/>
      <c r="L937" s="341"/>
      <c r="R937" s="342"/>
    </row>
    <row r="938" spans="9:18" ht="13.45" x14ac:dyDescent="0.25">
      <c r="I938" s="340"/>
      <c r="L938" s="341"/>
      <c r="R938" s="342"/>
    </row>
    <row r="939" spans="9:18" ht="13.45" x14ac:dyDescent="0.25">
      <c r="I939" s="340"/>
      <c r="L939" s="341"/>
      <c r="R939" s="342"/>
    </row>
    <row r="940" spans="9:18" ht="13.45" x14ac:dyDescent="0.25">
      <c r="I940" s="340"/>
      <c r="L940" s="341"/>
      <c r="R940" s="342"/>
    </row>
    <row r="941" spans="9:18" ht="13.45" x14ac:dyDescent="0.25">
      <c r="I941" s="340"/>
      <c r="L941" s="341"/>
      <c r="R941" s="342"/>
    </row>
    <row r="942" spans="9:18" ht="13.45" x14ac:dyDescent="0.25">
      <c r="I942" s="340"/>
      <c r="L942" s="341"/>
      <c r="R942" s="342"/>
    </row>
    <row r="943" spans="9:18" ht="13.45" x14ac:dyDescent="0.25">
      <c r="I943" s="340"/>
      <c r="L943" s="341"/>
      <c r="R943" s="342"/>
    </row>
    <row r="944" spans="9:18" ht="13.45" x14ac:dyDescent="0.25">
      <c r="I944" s="340"/>
      <c r="L944" s="341"/>
      <c r="R944" s="342"/>
    </row>
    <row r="945" spans="9:18" ht="13.45" x14ac:dyDescent="0.25">
      <c r="I945" s="340"/>
      <c r="L945" s="341"/>
      <c r="R945" s="342"/>
    </row>
    <row r="946" spans="9:18" ht="13.45" x14ac:dyDescent="0.25">
      <c r="I946" s="340"/>
      <c r="L946" s="341"/>
      <c r="R946" s="342"/>
    </row>
    <row r="947" spans="9:18" ht="13.45" x14ac:dyDescent="0.25">
      <c r="I947" s="340"/>
      <c r="L947" s="341"/>
      <c r="R947" s="342"/>
    </row>
    <row r="948" spans="9:18" ht="13.45" x14ac:dyDescent="0.25">
      <c r="I948" s="340"/>
      <c r="L948" s="341"/>
      <c r="R948" s="342"/>
    </row>
    <row r="949" spans="9:18" ht="13.45" x14ac:dyDescent="0.25">
      <c r="I949" s="340"/>
      <c r="L949" s="341"/>
      <c r="R949" s="342"/>
    </row>
    <row r="950" spans="9:18" ht="13.45" x14ac:dyDescent="0.25">
      <c r="I950" s="340"/>
      <c r="L950" s="341"/>
      <c r="R950" s="342"/>
    </row>
    <row r="951" spans="9:18" ht="13.45" x14ac:dyDescent="0.25">
      <c r="I951" s="340"/>
      <c r="L951" s="341"/>
      <c r="R951" s="342"/>
    </row>
    <row r="952" spans="9:18" ht="13.45" x14ac:dyDescent="0.25">
      <c r="I952" s="340"/>
      <c r="L952" s="341"/>
      <c r="R952" s="342"/>
    </row>
    <row r="953" spans="9:18" ht="13.45" x14ac:dyDescent="0.25">
      <c r="I953" s="340"/>
      <c r="L953" s="341"/>
      <c r="R953" s="342"/>
    </row>
    <row r="954" spans="9:18" ht="13.45" x14ac:dyDescent="0.25">
      <c r="I954" s="340"/>
      <c r="L954" s="341"/>
      <c r="R954" s="342"/>
    </row>
    <row r="955" spans="9:18" ht="13.45" x14ac:dyDescent="0.25">
      <c r="I955" s="340"/>
      <c r="L955" s="341"/>
      <c r="R955" s="342"/>
    </row>
    <row r="956" spans="9:18" ht="13.45" x14ac:dyDescent="0.25">
      <c r="I956" s="340"/>
      <c r="L956" s="341"/>
      <c r="R956" s="342"/>
    </row>
    <row r="957" spans="9:18" ht="13.45" x14ac:dyDescent="0.25">
      <c r="I957" s="340"/>
      <c r="L957" s="341"/>
      <c r="R957" s="342"/>
    </row>
    <row r="958" spans="9:18" ht="13.45" x14ac:dyDescent="0.25">
      <c r="I958" s="340"/>
      <c r="L958" s="341"/>
      <c r="R958" s="342"/>
    </row>
    <row r="959" spans="9:18" ht="13.45" x14ac:dyDescent="0.25">
      <c r="I959" s="340"/>
      <c r="L959" s="341"/>
      <c r="R959" s="342"/>
    </row>
    <row r="960" spans="9:18" ht="13.45" x14ac:dyDescent="0.25">
      <c r="I960" s="340"/>
      <c r="L960" s="341"/>
      <c r="R960" s="342"/>
    </row>
    <row r="961" spans="9:18" ht="13.45" x14ac:dyDescent="0.25">
      <c r="I961" s="340"/>
      <c r="L961" s="341"/>
      <c r="R961" s="342"/>
    </row>
    <row r="962" spans="9:18" ht="13.45" x14ac:dyDescent="0.25">
      <c r="I962" s="340"/>
      <c r="L962" s="341"/>
      <c r="R962" s="342"/>
    </row>
    <row r="963" spans="9:18" ht="13.45" x14ac:dyDescent="0.25">
      <c r="I963" s="340"/>
      <c r="L963" s="341"/>
      <c r="R963" s="342"/>
    </row>
    <row r="964" spans="9:18" ht="13.45" x14ac:dyDescent="0.25">
      <c r="I964" s="340"/>
      <c r="L964" s="341"/>
      <c r="R964" s="342"/>
    </row>
    <row r="965" spans="9:18" ht="13.45" x14ac:dyDescent="0.25">
      <c r="I965" s="340"/>
      <c r="L965" s="341"/>
      <c r="R965" s="342"/>
    </row>
    <row r="966" spans="9:18" ht="13.45" x14ac:dyDescent="0.25">
      <c r="I966" s="340"/>
      <c r="L966" s="341"/>
      <c r="R966" s="342"/>
    </row>
    <row r="967" spans="9:18" ht="13.45" x14ac:dyDescent="0.25">
      <c r="I967" s="340"/>
      <c r="L967" s="341"/>
      <c r="R967" s="342"/>
    </row>
    <row r="968" spans="9:18" ht="13.45" x14ac:dyDescent="0.25">
      <c r="I968" s="340"/>
      <c r="L968" s="341"/>
      <c r="R968" s="342"/>
    </row>
    <row r="969" spans="9:18" ht="13.45" x14ac:dyDescent="0.25">
      <c r="I969" s="340"/>
      <c r="L969" s="341"/>
      <c r="R969" s="342"/>
    </row>
    <row r="970" spans="9:18" ht="13.45" x14ac:dyDescent="0.25">
      <c r="I970" s="340"/>
      <c r="L970" s="341"/>
      <c r="R970" s="342"/>
    </row>
    <row r="971" spans="9:18" ht="13.45" x14ac:dyDescent="0.25">
      <c r="I971" s="340"/>
      <c r="L971" s="341"/>
      <c r="R971" s="342"/>
    </row>
    <row r="972" spans="9:18" ht="13.45" x14ac:dyDescent="0.25">
      <c r="I972" s="340"/>
      <c r="L972" s="341"/>
      <c r="R972" s="342"/>
    </row>
    <row r="973" spans="9:18" ht="13.45" x14ac:dyDescent="0.25">
      <c r="I973" s="340"/>
      <c r="L973" s="341"/>
      <c r="R973" s="342"/>
    </row>
    <row r="974" spans="9:18" ht="13.45" x14ac:dyDescent="0.25">
      <c r="I974" s="340"/>
      <c r="L974" s="341"/>
      <c r="R974" s="342"/>
    </row>
    <row r="975" spans="9:18" ht="13.45" x14ac:dyDescent="0.25">
      <c r="I975" s="340"/>
      <c r="L975" s="341"/>
      <c r="R975" s="342"/>
    </row>
    <row r="976" spans="9:18" ht="13.45" x14ac:dyDescent="0.25">
      <c r="I976" s="340"/>
      <c r="L976" s="341"/>
      <c r="R976" s="342"/>
    </row>
    <row r="977" spans="9:18" ht="13.45" x14ac:dyDescent="0.25">
      <c r="I977" s="340"/>
      <c r="L977" s="341"/>
      <c r="R977" s="342"/>
    </row>
    <row r="978" spans="9:18" ht="13.45" x14ac:dyDescent="0.25">
      <c r="I978" s="340"/>
      <c r="L978" s="341"/>
      <c r="R978" s="342"/>
    </row>
    <row r="979" spans="9:18" ht="13.45" x14ac:dyDescent="0.25">
      <c r="I979" s="340"/>
      <c r="L979" s="341"/>
      <c r="R979" s="342"/>
    </row>
    <row r="980" spans="9:18" ht="13.45" x14ac:dyDescent="0.25">
      <c r="I980" s="340"/>
      <c r="L980" s="341"/>
      <c r="R980" s="342"/>
    </row>
    <row r="981" spans="9:18" ht="13.45" x14ac:dyDescent="0.25">
      <c r="I981" s="340"/>
      <c r="L981" s="341"/>
      <c r="R981" s="342"/>
    </row>
    <row r="982" spans="9:18" ht="13.45" x14ac:dyDescent="0.25">
      <c r="I982" s="340"/>
      <c r="L982" s="341"/>
      <c r="R982" s="342"/>
    </row>
    <row r="983" spans="9:18" ht="13.45" x14ac:dyDescent="0.25">
      <c r="I983" s="340"/>
      <c r="L983" s="341"/>
      <c r="R983" s="342"/>
    </row>
    <row r="984" spans="9:18" ht="13.45" x14ac:dyDescent="0.25">
      <c r="I984" s="340"/>
      <c r="L984" s="341"/>
      <c r="R984" s="342"/>
    </row>
    <row r="985" spans="9:18" ht="13.45" x14ac:dyDescent="0.25">
      <c r="I985" s="340"/>
      <c r="L985" s="341"/>
      <c r="R985" s="342"/>
    </row>
    <row r="986" spans="9:18" ht="13.45" x14ac:dyDescent="0.25">
      <c r="I986" s="340"/>
      <c r="L986" s="341"/>
      <c r="R986" s="342"/>
    </row>
    <row r="987" spans="9:18" ht="13.45" x14ac:dyDescent="0.25">
      <c r="I987" s="340"/>
      <c r="L987" s="341"/>
      <c r="R987" s="342"/>
    </row>
    <row r="988" spans="9:18" ht="13.45" x14ac:dyDescent="0.25">
      <c r="I988" s="340"/>
      <c r="L988" s="341"/>
      <c r="R988" s="342"/>
    </row>
    <row r="989" spans="9:18" ht="13.45" x14ac:dyDescent="0.25">
      <c r="I989" s="340"/>
      <c r="L989" s="341"/>
      <c r="R989" s="342"/>
    </row>
    <row r="990" spans="9:18" ht="13.45" x14ac:dyDescent="0.25">
      <c r="I990" s="340"/>
      <c r="L990" s="341"/>
      <c r="R990" s="342"/>
    </row>
    <row r="991" spans="9:18" ht="13.45" x14ac:dyDescent="0.25">
      <c r="I991" s="340"/>
      <c r="L991" s="341"/>
      <c r="R991" s="342"/>
    </row>
    <row r="992" spans="9:18" ht="13.45" x14ac:dyDescent="0.25">
      <c r="I992" s="340"/>
      <c r="L992" s="341"/>
      <c r="R992" s="342"/>
    </row>
    <row r="993" spans="9:18" ht="13.45" x14ac:dyDescent="0.25">
      <c r="I993" s="340"/>
      <c r="L993" s="341"/>
      <c r="R993" s="342"/>
    </row>
    <row r="994" spans="9:18" ht="13.45" x14ac:dyDescent="0.25">
      <c r="I994" s="340"/>
      <c r="L994" s="341"/>
      <c r="R994" s="342"/>
    </row>
    <row r="995" spans="9:18" ht="13.45" x14ac:dyDescent="0.25">
      <c r="I995" s="340"/>
      <c r="L995" s="341"/>
      <c r="R995" s="342"/>
    </row>
    <row r="996" spans="9:18" ht="13.45" x14ac:dyDescent="0.25">
      <c r="I996" s="340"/>
      <c r="L996" s="341"/>
      <c r="R996" s="342"/>
    </row>
    <row r="997" spans="9:18" ht="13.45" x14ac:dyDescent="0.25">
      <c r="I997" s="340"/>
      <c r="L997" s="341"/>
      <c r="R997" s="342"/>
    </row>
    <row r="998" spans="9:18" ht="13.45" x14ac:dyDescent="0.25">
      <c r="I998" s="340"/>
      <c r="L998" s="341"/>
      <c r="R998" s="342"/>
    </row>
    <row r="999" spans="9:18" ht="13.45" x14ac:dyDescent="0.25">
      <c r="I999" s="340"/>
      <c r="L999" s="341"/>
      <c r="R999" s="342"/>
    </row>
    <row r="1000" spans="9:18" ht="13.45" x14ac:dyDescent="0.25">
      <c r="I1000" s="340"/>
      <c r="L1000" s="341"/>
      <c r="R1000" s="342"/>
    </row>
    <row r="1001" spans="9:18" ht="13.45" x14ac:dyDescent="0.25">
      <c r="I1001" s="340"/>
      <c r="L1001" s="341"/>
      <c r="R1001" s="342"/>
    </row>
  </sheetData>
  <mergeCells count="1">
    <mergeCell ref="C29:R29"/>
  </mergeCells>
  <dataValidations count="3">
    <dataValidation type="list" allowBlank="1" showErrorMessage="1" sqref="K212:K1001" xr:uid="{00000000-0002-0000-0500-000000000000}">
      <formula1>"RELOTAÇÃO,REMOÇÃO,VACÂNCIA,APOSENTADORIA,RETORNO ORIGEM,CESSÃO,DESLIGAMENTO"</formula1>
      <formula2>0</formula2>
    </dataValidation>
    <dataValidation type="decimal" allowBlank="1" showDropDown="1" showInputMessage="1" showErrorMessage="1" prompt="Insira um número entre 0 e 18, conforme §2 do art. 3 da Portaria n. 138/2022. § 2º. Além dos(as) servidores(as) indicados(as) no parágrafo primeiro, nas varas de Juizado Especial também serão lotados(as) oficiais(las) de justiça a elas vinculados, observa" sqref="D6 D13 D20" xr:uid="{00000000-0002-0000-0500-000001000000}">
      <formula1>0</formula1>
      <formula2>18</formula2>
    </dataValidation>
    <dataValidation type="list" allowBlank="1" showErrorMessage="1" sqref="K6:K28" xr:uid="{00000000-0002-0000-0500-000002000000}">
      <formula1>"DISPOSIÇÃO,RELOTAÇÃO,REMOÇÃO,VACÂNCIA,APOSENTADORIA,RETORNO ORIGEM,CESSÃO,DESLIGAMENTO,VINCULAÇÃO TEMPORÁRIA EXCEPCIONAL,FALECIMENTO"</formula1>
      <formula2>0</formula2>
    </dataValidation>
  </dataValidations>
  <printOptions horizontalCentered="1" gridLines="1"/>
  <pageMargins left="0.70833333333333304" right="0.70833333333333304" top="0.74791666666666701" bottom="0.74791666666666701" header="0.511811023622047" footer="0.511811023622047"/>
  <pageSetup paperSize="9" fitToHeight="0" pageOrder="overThenDown" orientation="landscape" horizontalDpi="300" verticalDpi="300"/>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O1057"/>
  <sheetViews>
    <sheetView showGridLines="0" topLeftCell="A130" zoomScale="68" zoomScaleNormal="68" workbookViewId="0">
      <selection activeCell="A136" activeCellId="1" sqref="B9 A136"/>
    </sheetView>
  </sheetViews>
  <sheetFormatPr defaultColWidth="12.6328125" defaultRowHeight="14.25" customHeight="1" x14ac:dyDescent="0.25"/>
  <cols>
    <col min="1" max="1" width="9.36328125" customWidth="1"/>
    <col min="2" max="2" width="45.90625" customWidth="1"/>
    <col min="3" max="3" width="25" customWidth="1"/>
    <col min="4" max="4" width="21.36328125" customWidth="1"/>
    <col min="5" max="6" width="19.08984375" hidden="1" customWidth="1"/>
    <col min="7" max="7" width="14.90625" hidden="1" customWidth="1"/>
    <col min="8" max="8" width="20.6328125" hidden="1" customWidth="1"/>
    <col min="9" max="9" width="16.26953125" customWidth="1"/>
    <col min="10" max="10" width="20" customWidth="1"/>
    <col min="11" max="11" width="15.6328125" customWidth="1"/>
    <col min="12" max="12" width="17.90625" customWidth="1"/>
    <col min="13" max="13" width="36.7265625" customWidth="1"/>
    <col min="14" max="14" width="78.90625" customWidth="1"/>
    <col min="15" max="15" width="14.36328125" customWidth="1"/>
  </cols>
  <sheetData>
    <row r="1" spans="1:15" ht="23.65" x14ac:dyDescent="0.25">
      <c r="A1" s="299"/>
      <c r="B1" s="397"/>
      <c r="C1" s="398"/>
      <c r="D1" s="301"/>
      <c r="E1" s="399"/>
      <c r="F1" s="399"/>
      <c r="G1" s="399"/>
      <c r="H1" s="301"/>
      <c r="I1" s="301"/>
      <c r="J1" s="301"/>
      <c r="K1" s="301"/>
      <c r="L1" s="301"/>
      <c r="M1" s="301"/>
      <c r="N1" s="301"/>
    </row>
    <row r="2" spans="1:15" ht="14" x14ac:dyDescent="0.25">
      <c r="A2" s="299"/>
      <c r="B2" s="18"/>
      <c r="C2" s="398"/>
      <c r="D2" s="301"/>
      <c r="E2" s="399"/>
      <c r="F2" s="399"/>
      <c r="G2" s="399"/>
      <c r="H2" s="301"/>
      <c r="I2" s="301"/>
      <c r="J2" s="301"/>
      <c r="K2" s="301"/>
      <c r="L2" s="301"/>
      <c r="M2" s="301"/>
      <c r="N2" s="301"/>
    </row>
    <row r="3" spans="1:15" ht="153.80000000000001" customHeight="1" x14ac:dyDescent="0.25">
      <c r="A3" s="299"/>
      <c r="B3" s="18"/>
      <c r="C3" s="398"/>
      <c r="D3" s="301"/>
      <c r="E3" s="399"/>
      <c r="F3" s="399"/>
      <c r="G3" s="399"/>
      <c r="H3" s="301"/>
      <c r="I3" s="301"/>
      <c r="J3" s="301"/>
      <c r="K3" s="301"/>
      <c r="L3" s="301"/>
      <c r="M3" s="301"/>
      <c r="N3" s="301"/>
    </row>
    <row r="4" spans="1:15" ht="23.25" customHeight="1" x14ac:dyDescent="0.25">
      <c r="A4" s="614" t="s">
        <v>1220</v>
      </c>
      <c r="B4" s="614"/>
      <c r="C4" s="614"/>
      <c r="D4" s="614"/>
      <c r="E4" s="614"/>
      <c r="F4" s="614"/>
      <c r="G4" s="614"/>
      <c r="H4" s="400"/>
      <c r="I4" s="615" t="s">
        <v>1221</v>
      </c>
      <c r="J4" s="615"/>
      <c r="K4" s="615"/>
      <c r="L4" s="615"/>
      <c r="M4" s="615"/>
      <c r="N4" s="615" t="s">
        <v>1222</v>
      </c>
      <c r="O4" s="615"/>
    </row>
    <row r="5" spans="1:15" ht="27.95" x14ac:dyDescent="0.25">
      <c r="A5" s="401" t="s">
        <v>1223</v>
      </c>
      <c r="B5" s="401" t="s">
        <v>1224</v>
      </c>
      <c r="C5" s="402" t="s">
        <v>1225</v>
      </c>
      <c r="D5" s="402" t="s">
        <v>118</v>
      </c>
      <c r="E5" s="403" t="s">
        <v>117</v>
      </c>
      <c r="F5" s="403" t="s">
        <v>1226</v>
      </c>
      <c r="G5" s="403" t="s">
        <v>1227</v>
      </c>
      <c r="H5" s="402" t="s">
        <v>152</v>
      </c>
      <c r="I5" s="402" t="s">
        <v>1228</v>
      </c>
      <c r="J5" s="402" t="s">
        <v>1229</v>
      </c>
      <c r="K5" s="402" t="s">
        <v>1230</v>
      </c>
      <c r="L5" s="402" t="s">
        <v>1231</v>
      </c>
      <c r="M5" s="402" t="s">
        <v>1232</v>
      </c>
      <c r="N5" s="402" t="s">
        <v>1038</v>
      </c>
      <c r="O5" s="402" t="s">
        <v>1233</v>
      </c>
    </row>
    <row r="6" spans="1:15" ht="27.95" x14ac:dyDescent="0.25">
      <c r="A6" s="401">
        <v>1</v>
      </c>
      <c r="B6" s="404" t="s">
        <v>1234</v>
      </c>
      <c r="C6" s="404"/>
      <c r="D6" s="404" t="s">
        <v>512</v>
      </c>
      <c r="E6" s="405" t="s">
        <v>1235</v>
      </c>
      <c r="F6" s="405" t="s">
        <v>1236</v>
      </c>
      <c r="G6" s="405" t="s">
        <v>437</v>
      </c>
      <c r="H6" s="405" t="s">
        <v>1237</v>
      </c>
      <c r="I6" s="406">
        <v>42552</v>
      </c>
      <c r="J6" s="405" t="s">
        <v>1053</v>
      </c>
      <c r="K6" s="405" t="s">
        <v>1238</v>
      </c>
      <c r="L6" s="405" t="s">
        <v>1239</v>
      </c>
      <c r="M6" s="405" t="s">
        <v>1240</v>
      </c>
      <c r="N6" s="405" t="s">
        <v>1241</v>
      </c>
    </row>
    <row r="7" spans="1:15" ht="27.95" x14ac:dyDescent="0.25">
      <c r="A7" s="401">
        <v>2</v>
      </c>
      <c r="B7" s="404" t="s">
        <v>1242</v>
      </c>
      <c r="C7" s="404"/>
      <c r="D7" s="404" t="s">
        <v>488</v>
      </c>
      <c r="E7" s="405" t="s">
        <v>120</v>
      </c>
      <c r="F7" s="405" t="s">
        <v>1236</v>
      </c>
      <c r="G7" s="405" t="s">
        <v>31</v>
      </c>
      <c r="H7" s="406"/>
      <c r="I7" s="406">
        <v>42801</v>
      </c>
      <c r="J7" s="405" t="s">
        <v>1053</v>
      </c>
      <c r="K7" s="405" t="s">
        <v>1238</v>
      </c>
      <c r="L7" s="405" t="s">
        <v>1243</v>
      </c>
      <c r="M7" s="405" t="s">
        <v>1244</v>
      </c>
      <c r="N7" s="405" t="s">
        <v>1245</v>
      </c>
    </row>
    <row r="8" spans="1:15" ht="27.95" x14ac:dyDescent="0.25">
      <c r="A8" s="401">
        <v>3</v>
      </c>
      <c r="B8" s="404" t="s">
        <v>1246</v>
      </c>
      <c r="C8" s="404"/>
      <c r="D8" s="404" t="s">
        <v>512</v>
      </c>
      <c r="E8" s="405" t="s">
        <v>120</v>
      </c>
      <c r="F8" s="405" t="s">
        <v>1236</v>
      </c>
      <c r="G8" s="405" t="s">
        <v>25</v>
      </c>
      <c r="H8" s="406"/>
      <c r="I8" s="406">
        <v>42860</v>
      </c>
      <c r="J8" s="405" t="s">
        <v>1053</v>
      </c>
      <c r="K8" s="405" t="s">
        <v>1238</v>
      </c>
      <c r="L8" s="405" t="s">
        <v>1247</v>
      </c>
      <c r="M8" s="405" t="s">
        <v>511</v>
      </c>
      <c r="N8" s="405" t="s">
        <v>1241</v>
      </c>
    </row>
    <row r="9" spans="1:15" ht="27.95" x14ac:dyDescent="0.25">
      <c r="A9" s="401">
        <v>4</v>
      </c>
      <c r="B9" s="404" t="s">
        <v>1248</v>
      </c>
      <c r="C9" s="404"/>
      <c r="D9" s="404" t="s">
        <v>171</v>
      </c>
      <c r="E9" s="405" t="s">
        <v>120</v>
      </c>
      <c r="F9" s="405" t="s">
        <v>1236</v>
      </c>
      <c r="G9" s="405" t="s">
        <v>214</v>
      </c>
      <c r="H9" s="405" t="s">
        <v>286</v>
      </c>
      <c r="I9" s="406">
        <v>42878</v>
      </c>
      <c r="J9" s="405" t="s">
        <v>1053</v>
      </c>
      <c r="K9" s="405" t="s">
        <v>1238</v>
      </c>
      <c r="L9" s="405" t="s">
        <v>1249</v>
      </c>
      <c r="M9" s="405" t="s">
        <v>1250</v>
      </c>
      <c r="N9" s="407"/>
    </row>
    <row r="10" spans="1:15" ht="27.95" x14ac:dyDescent="0.25">
      <c r="A10" s="401">
        <v>5</v>
      </c>
      <c r="B10" s="404" t="s">
        <v>1251</v>
      </c>
      <c r="C10" s="404"/>
      <c r="D10" s="404" t="s">
        <v>171</v>
      </c>
      <c r="E10" s="405" t="s">
        <v>1235</v>
      </c>
      <c r="F10" s="405" t="s">
        <v>1236</v>
      </c>
      <c r="G10" s="405" t="s">
        <v>612</v>
      </c>
      <c r="H10" s="405" t="s">
        <v>1252</v>
      </c>
      <c r="I10" s="406">
        <v>42887</v>
      </c>
      <c r="J10" s="405" t="s">
        <v>1053</v>
      </c>
      <c r="K10" s="405" t="s">
        <v>1238</v>
      </c>
      <c r="L10" s="405" t="s">
        <v>1253</v>
      </c>
      <c r="M10" s="405" t="s">
        <v>1254</v>
      </c>
      <c r="N10" s="405" t="s">
        <v>1255</v>
      </c>
    </row>
    <row r="11" spans="1:15" ht="27.95" x14ac:dyDescent="0.25">
      <c r="A11" s="401">
        <v>6</v>
      </c>
      <c r="B11" s="404" t="s">
        <v>1256</v>
      </c>
      <c r="C11" s="404"/>
      <c r="D11" s="404" t="s">
        <v>512</v>
      </c>
      <c r="E11" s="405" t="s">
        <v>120</v>
      </c>
      <c r="F11" s="405" t="s">
        <v>1236</v>
      </c>
      <c r="G11" s="405" t="s">
        <v>22</v>
      </c>
      <c r="H11" s="406"/>
      <c r="I11" s="406">
        <v>42898</v>
      </c>
      <c r="J11" s="405" t="s">
        <v>1053</v>
      </c>
      <c r="K11" s="405" t="s">
        <v>1238</v>
      </c>
      <c r="L11" s="405" t="s">
        <v>1257</v>
      </c>
      <c r="M11" s="405" t="s">
        <v>518</v>
      </c>
      <c r="N11" s="405" t="s">
        <v>1258</v>
      </c>
    </row>
    <row r="12" spans="1:15" ht="14" x14ac:dyDescent="0.25">
      <c r="A12" s="401">
        <v>7</v>
      </c>
      <c r="B12" s="404" t="s">
        <v>1259</v>
      </c>
      <c r="C12" s="404"/>
      <c r="D12" s="404" t="s">
        <v>171</v>
      </c>
      <c r="E12" s="405" t="s">
        <v>120</v>
      </c>
      <c r="F12" s="405" t="s">
        <v>1236</v>
      </c>
      <c r="G12" s="405" t="s">
        <v>28</v>
      </c>
      <c r="H12" s="406"/>
      <c r="I12" s="406">
        <v>42919</v>
      </c>
      <c r="J12" s="405" t="s">
        <v>1053</v>
      </c>
      <c r="K12" s="405" t="s">
        <v>1238</v>
      </c>
      <c r="L12" s="405"/>
      <c r="M12" s="405" t="s">
        <v>1260</v>
      </c>
      <c r="N12" s="407"/>
    </row>
    <row r="13" spans="1:15" ht="27.95" x14ac:dyDescent="0.25">
      <c r="A13" s="401">
        <v>8</v>
      </c>
      <c r="B13" s="404" t="s">
        <v>1261</v>
      </c>
      <c r="C13" s="404"/>
      <c r="D13" s="404" t="s">
        <v>171</v>
      </c>
      <c r="E13" s="404" t="s">
        <v>120</v>
      </c>
      <c r="F13" s="404" t="s">
        <v>1236</v>
      </c>
      <c r="G13" s="404" t="s">
        <v>21</v>
      </c>
      <c r="H13" s="405"/>
      <c r="I13" s="404">
        <v>42937</v>
      </c>
      <c r="J13" s="404" t="s">
        <v>1053</v>
      </c>
      <c r="K13" s="405" t="s">
        <v>1262</v>
      </c>
      <c r="L13" s="408"/>
      <c r="M13" s="405"/>
      <c r="N13" s="409" t="s">
        <v>1263</v>
      </c>
    </row>
    <row r="14" spans="1:15" ht="27.95" x14ac:dyDescent="0.25">
      <c r="A14" s="401">
        <v>9</v>
      </c>
      <c r="B14" s="404" t="s">
        <v>1264</v>
      </c>
      <c r="C14" s="404"/>
      <c r="D14" s="404" t="s">
        <v>171</v>
      </c>
      <c r="E14" s="404" t="s">
        <v>1235</v>
      </c>
      <c r="F14" s="404" t="s">
        <v>1236</v>
      </c>
      <c r="G14" s="404" t="s">
        <v>437</v>
      </c>
      <c r="H14" s="405" t="s">
        <v>1265</v>
      </c>
      <c r="I14" s="404">
        <v>43010</v>
      </c>
      <c r="J14" s="404" t="s">
        <v>1053</v>
      </c>
      <c r="K14" s="405" t="s">
        <v>1262</v>
      </c>
      <c r="L14" s="408"/>
      <c r="M14" s="408"/>
      <c r="N14" s="409" t="s">
        <v>1263</v>
      </c>
    </row>
    <row r="15" spans="1:15" ht="55.9" x14ac:dyDescent="0.25">
      <c r="A15" s="401">
        <v>10</v>
      </c>
      <c r="B15" s="404" t="s">
        <v>1266</v>
      </c>
      <c r="C15" s="405"/>
      <c r="D15" s="405" t="s">
        <v>213</v>
      </c>
      <c r="E15" s="405" t="s">
        <v>120</v>
      </c>
      <c r="F15" s="405" t="s">
        <v>1236</v>
      </c>
      <c r="G15" s="405" t="s">
        <v>23</v>
      </c>
      <c r="H15" s="406"/>
      <c r="I15" s="406">
        <v>43053</v>
      </c>
      <c r="J15" s="405" t="s">
        <v>1053</v>
      </c>
      <c r="K15" s="405" t="s">
        <v>1238</v>
      </c>
      <c r="L15" s="405"/>
      <c r="M15" s="405"/>
      <c r="N15" s="410" t="s">
        <v>1267</v>
      </c>
    </row>
    <row r="16" spans="1:15" ht="27.95" x14ac:dyDescent="0.25">
      <c r="A16" s="401">
        <v>11</v>
      </c>
      <c r="B16" s="404" t="s">
        <v>1268</v>
      </c>
      <c r="C16" s="404"/>
      <c r="D16" s="404" t="s">
        <v>171</v>
      </c>
      <c r="E16" s="405" t="s">
        <v>1235</v>
      </c>
      <c r="F16" s="405" t="s">
        <v>1236</v>
      </c>
      <c r="G16" s="405" t="s">
        <v>612</v>
      </c>
      <c r="H16" s="405" t="s">
        <v>640</v>
      </c>
      <c r="I16" s="406">
        <v>43070</v>
      </c>
      <c r="J16" s="405" t="s">
        <v>1053</v>
      </c>
      <c r="K16" s="405" t="s">
        <v>1238</v>
      </c>
      <c r="L16" s="405" t="s">
        <v>1269</v>
      </c>
      <c r="M16" s="405" t="s">
        <v>1270</v>
      </c>
      <c r="N16" s="411" t="s">
        <v>1271</v>
      </c>
    </row>
    <row r="17" spans="1:15" ht="27.95" x14ac:dyDescent="0.25">
      <c r="A17" s="401">
        <v>12</v>
      </c>
      <c r="B17" s="404" t="s">
        <v>1272</v>
      </c>
      <c r="C17" s="404"/>
      <c r="D17" s="404" t="s">
        <v>171</v>
      </c>
      <c r="E17" s="405" t="s">
        <v>120</v>
      </c>
      <c r="F17" s="405" t="s">
        <v>1236</v>
      </c>
      <c r="G17" s="405" t="s">
        <v>17</v>
      </c>
      <c r="H17" s="406"/>
      <c r="I17" s="406">
        <v>43108</v>
      </c>
      <c r="J17" s="405" t="s">
        <v>1053</v>
      </c>
      <c r="K17" s="405" t="s">
        <v>1238</v>
      </c>
      <c r="L17" s="405" t="s">
        <v>1269</v>
      </c>
      <c r="M17" s="405" t="s">
        <v>1273</v>
      </c>
      <c r="N17" s="411" t="s">
        <v>1271</v>
      </c>
    </row>
    <row r="18" spans="1:15" ht="41.95" x14ac:dyDescent="0.25">
      <c r="A18" s="401">
        <v>13</v>
      </c>
      <c r="B18" s="404" t="s">
        <v>1274</v>
      </c>
      <c r="C18" s="404"/>
      <c r="D18" s="404" t="s">
        <v>171</v>
      </c>
      <c r="E18" s="405" t="s">
        <v>1235</v>
      </c>
      <c r="F18" s="405" t="s">
        <v>1236</v>
      </c>
      <c r="G18" s="405" t="s">
        <v>200</v>
      </c>
      <c r="H18" s="405" t="s">
        <v>540</v>
      </c>
      <c r="I18" s="406">
        <v>43126</v>
      </c>
      <c r="J18" s="405" t="s">
        <v>1053</v>
      </c>
      <c r="K18" s="405" t="s">
        <v>1238</v>
      </c>
      <c r="L18" s="405" t="s">
        <v>1269</v>
      </c>
      <c r="M18" s="405" t="s">
        <v>1275</v>
      </c>
      <c r="N18" s="411" t="s">
        <v>1271</v>
      </c>
    </row>
    <row r="19" spans="1:15" ht="14" x14ac:dyDescent="0.25">
      <c r="A19" s="401">
        <v>14</v>
      </c>
      <c r="B19" s="404" t="s">
        <v>1276</v>
      </c>
      <c r="C19" s="405"/>
      <c r="D19" s="405" t="s">
        <v>167</v>
      </c>
      <c r="E19" s="405" t="s">
        <v>120</v>
      </c>
      <c r="F19" s="405" t="s">
        <v>1236</v>
      </c>
      <c r="G19" s="405" t="s">
        <v>1277</v>
      </c>
      <c r="H19" s="406"/>
      <c r="I19" s="406">
        <v>43346</v>
      </c>
      <c r="J19" s="405" t="s">
        <v>1053</v>
      </c>
      <c r="K19" s="405" t="s">
        <v>1238</v>
      </c>
      <c r="L19" s="405" t="s">
        <v>1278</v>
      </c>
      <c r="M19" s="405" t="s">
        <v>1279</v>
      </c>
      <c r="N19" s="405"/>
    </row>
    <row r="20" spans="1:15" ht="27.95" x14ac:dyDescent="0.25">
      <c r="A20" s="401">
        <v>15</v>
      </c>
      <c r="B20" s="404" t="s">
        <v>1280</v>
      </c>
      <c r="C20" s="404"/>
      <c r="D20" s="404" t="s">
        <v>167</v>
      </c>
      <c r="E20" s="405" t="s">
        <v>1235</v>
      </c>
      <c r="F20" s="405" t="s">
        <v>1236</v>
      </c>
      <c r="G20" s="405" t="s">
        <v>612</v>
      </c>
      <c r="H20" s="405" t="s">
        <v>1281</v>
      </c>
      <c r="I20" s="406">
        <v>43433</v>
      </c>
      <c r="J20" s="405" t="s">
        <v>1053</v>
      </c>
      <c r="K20" s="405" t="s">
        <v>1238</v>
      </c>
      <c r="L20" s="405" t="s">
        <v>1282</v>
      </c>
      <c r="M20" s="405" t="s">
        <v>1283</v>
      </c>
      <c r="N20" s="405" t="s">
        <v>1284</v>
      </c>
    </row>
    <row r="21" spans="1:15" ht="41.95" x14ac:dyDescent="0.25">
      <c r="A21" s="401">
        <v>16</v>
      </c>
      <c r="B21" s="404" t="s">
        <v>1285</v>
      </c>
      <c r="C21" s="404"/>
      <c r="D21" s="404" t="s">
        <v>167</v>
      </c>
      <c r="E21" s="405" t="s">
        <v>120</v>
      </c>
      <c r="F21" s="405" t="s">
        <v>1236</v>
      </c>
      <c r="G21" s="405" t="s">
        <v>214</v>
      </c>
      <c r="H21" s="405" t="s">
        <v>286</v>
      </c>
      <c r="I21" s="406">
        <v>43497</v>
      </c>
      <c r="J21" s="405" t="s">
        <v>1053</v>
      </c>
      <c r="K21" s="405" t="s">
        <v>1238</v>
      </c>
      <c r="L21" s="405" t="s">
        <v>1286</v>
      </c>
      <c r="M21" s="405" t="s">
        <v>1287</v>
      </c>
      <c r="N21" s="405" t="s">
        <v>1288</v>
      </c>
    </row>
    <row r="22" spans="1:15" ht="14" x14ac:dyDescent="0.25">
      <c r="A22" s="401">
        <v>17</v>
      </c>
      <c r="B22" s="404" t="s">
        <v>1289</v>
      </c>
      <c r="C22" s="404"/>
      <c r="D22" s="404" t="s">
        <v>171</v>
      </c>
      <c r="E22" s="405" t="s">
        <v>1235</v>
      </c>
      <c r="F22" s="405" t="s">
        <v>1236</v>
      </c>
      <c r="G22" s="405" t="s">
        <v>612</v>
      </c>
      <c r="H22" s="405" t="s">
        <v>1252</v>
      </c>
      <c r="I22" s="406">
        <v>43558</v>
      </c>
      <c r="J22" s="405" t="s">
        <v>1053</v>
      </c>
      <c r="K22" s="405" t="s">
        <v>1238</v>
      </c>
      <c r="L22" s="405" t="s">
        <v>1269</v>
      </c>
      <c r="M22" s="405" t="s">
        <v>1290</v>
      </c>
      <c r="N22" s="411" t="s">
        <v>1271</v>
      </c>
    </row>
    <row r="23" spans="1:15" ht="27.95" x14ac:dyDescent="0.25">
      <c r="A23" s="401">
        <v>18</v>
      </c>
      <c r="B23" s="404" t="s">
        <v>1291</v>
      </c>
      <c r="C23" s="404"/>
      <c r="D23" s="404" t="s">
        <v>171</v>
      </c>
      <c r="E23" s="405" t="s">
        <v>1235</v>
      </c>
      <c r="F23" s="405" t="s">
        <v>1236</v>
      </c>
      <c r="G23" s="405" t="s">
        <v>612</v>
      </c>
      <c r="H23" s="405" t="s">
        <v>619</v>
      </c>
      <c r="I23" s="406">
        <v>43598</v>
      </c>
      <c r="J23" s="405" t="s">
        <v>1292</v>
      </c>
      <c r="K23" s="405" t="s">
        <v>1238</v>
      </c>
      <c r="L23" s="405" t="s">
        <v>1286</v>
      </c>
      <c r="M23" s="405" t="s">
        <v>1293</v>
      </c>
      <c r="N23" s="407"/>
    </row>
    <row r="24" spans="1:15" ht="97.8" x14ac:dyDescent="0.25">
      <c r="A24" s="401">
        <v>19</v>
      </c>
      <c r="B24" s="404" t="s">
        <v>1294</v>
      </c>
      <c r="C24" s="404"/>
      <c r="D24" s="404" t="s">
        <v>171</v>
      </c>
      <c r="E24" s="405" t="s">
        <v>120</v>
      </c>
      <c r="F24" s="405" t="s">
        <v>1295</v>
      </c>
      <c r="G24" s="405" t="s">
        <v>45</v>
      </c>
      <c r="H24" s="406"/>
      <c r="I24" s="406">
        <v>43609</v>
      </c>
      <c r="J24" s="405" t="s">
        <v>1296</v>
      </c>
      <c r="K24" s="405" t="s">
        <v>1238</v>
      </c>
      <c r="L24" s="405" t="s">
        <v>1297</v>
      </c>
      <c r="M24" s="405" t="s">
        <v>1298</v>
      </c>
      <c r="N24" s="407" t="s">
        <v>1299</v>
      </c>
    </row>
    <row r="25" spans="1:15" ht="14" x14ac:dyDescent="0.25">
      <c r="A25" s="401">
        <v>20</v>
      </c>
      <c r="B25" s="404" t="s">
        <v>1300</v>
      </c>
      <c r="C25" s="405"/>
      <c r="D25" s="405" t="s">
        <v>178</v>
      </c>
      <c r="E25" s="405" t="s">
        <v>120</v>
      </c>
      <c r="F25" s="405" t="s">
        <v>1236</v>
      </c>
      <c r="G25" s="405" t="s">
        <v>17</v>
      </c>
      <c r="H25" s="406"/>
      <c r="I25" s="406">
        <v>43619</v>
      </c>
      <c r="J25" s="405" t="s">
        <v>1053</v>
      </c>
      <c r="K25" s="405" t="s">
        <v>1238</v>
      </c>
      <c r="L25" s="405" t="s">
        <v>1301</v>
      </c>
      <c r="M25" s="405" t="s">
        <v>1302</v>
      </c>
      <c r="N25" s="407"/>
    </row>
    <row r="26" spans="1:15" ht="27.95" x14ac:dyDescent="0.25">
      <c r="A26" s="401">
        <v>21</v>
      </c>
      <c r="B26" s="412" t="s">
        <v>1303</v>
      </c>
      <c r="C26" s="405"/>
      <c r="D26" s="405" t="s">
        <v>290</v>
      </c>
      <c r="E26" s="405" t="s">
        <v>120</v>
      </c>
      <c r="F26" s="405" t="s">
        <v>1304</v>
      </c>
      <c r="G26" s="405" t="s">
        <v>56</v>
      </c>
      <c r="H26" s="413"/>
      <c r="I26" s="413">
        <v>43626</v>
      </c>
      <c r="J26" s="405" t="s">
        <v>1296</v>
      </c>
      <c r="K26" s="405" t="s">
        <v>1238</v>
      </c>
      <c r="L26" s="405" t="s">
        <v>1286</v>
      </c>
      <c r="M26" s="405" t="s">
        <v>1305</v>
      </c>
      <c r="N26" s="407"/>
    </row>
    <row r="27" spans="1:15" ht="27.95" x14ac:dyDescent="0.25">
      <c r="A27" s="401">
        <v>22</v>
      </c>
      <c r="B27" s="404" t="s">
        <v>1306</v>
      </c>
      <c r="C27" s="404"/>
      <c r="D27" s="404" t="s">
        <v>171</v>
      </c>
      <c r="E27" s="405" t="s">
        <v>120</v>
      </c>
      <c r="F27" s="405" t="s">
        <v>1236</v>
      </c>
      <c r="G27" s="405" t="s">
        <v>22</v>
      </c>
      <c r="H27" s="406"/>
      <c r="I27" s="406">
        <v>43657</v>
      </c>
      <c r="J27" s="405" t="s">
        <v>1053</v>
      </c>
      <c r="K27" s="405" t="s">
        <v>1238</v>
      </c>
      <c r="L27" s="405"/>
      <c r="M27" s="405"/>
      <c r="N27" s="414" t="s">
        <v>1307</v>
      </c>
    </row>
    <row r="28" spans="1:15" ht="14" x14ac:dyDescent="0.25">
      <c r="A28" s="401">
        <v>23</v>
      </c>
      <c r="B28" s="404" t="s">
        <v>1308</v>
      </c>
      <c r="C28" s="405"/>
      <c r="D28" s="405" t="s">
        <v>290</v>
      </c>
      <c r="E28" s="405" t="s">
        <v>120</v>
      </c>
      <c r="F28" s="405" t="s">
        <v>1309</v>
      </c>
      <c r="G28" s="405" t="s">
        <v>54</v>
      </c>
      <c r="H28" s="406"/>
      <c r="I28" s="406">
        <v>43707</v>
      </c>
      <c r="J28" s="405" t="s">
        <v>1053</v>
      </c>
      <c r="K28" s="405" t="s">
        <v>1238</v>
      </c>
      <c r="L28" s="405" t="s">
        <v>1310</v>
      </c>
      <c r="M28" s="405" t="s">
        <v>1311</v>
      </c>
      <c r="N28" s="407"/>
    </row>
    <row r="29" spans="1:15" ht="14" x14ac:dyDescent="0.25">
      <c r="A29" s="401">
        <v>24</v>
      </c>
      <c r="B29" s="404" t="s">
        <v>1312</v>
      </c>
      <c r="C29" s="415" t="s">
        <v>1313</v>
      </c>
      <c r="D29" s="404" t="s">
        <v>171</v>
      </c>
      <c r="E29" s="405" t="s">
        <v>120</v>
      </c>
      <c r="F29" s="405" t="s">
        <v>1236</v>
      </c>
      <c r="G29" s="405" t="s">
        <v>1314</v>
      </c>
      <c r="H29" s="406"/>
      <c r="I29" s="406">
        <v>43709</v>
      </c>
      <c r="J29" s="405" t="s">
        <v>1053</v>
      </c>
      <c r="K29" s="405" t="s">
        <v>1238</v>
      </c>
      <c r="L29" s="405" t="s">
        <v>1315</v>
      </c>
      <c r="M29" s="405" t="s">
        <v>1316</v>
      </c>
      <c r="N29" s="416" t="s">
        <v>1317</v>
      </c>
      <c r="O29" s="417" t="s">
        <v>1318</v>
      </c>
    </row>
    <row r="30" spans="1:15" ht="27.95" x14ac:dyDescent="0.25">
      <c r="A30" s="401">
        <v>25</v>
      </c>
      <c r="B30" s="404" t="s">
        <v>1319</v>
      </c>
      <c r="C30" s="418" t="s">
        <v>1320</v>
      </c>
      <c r="D30" s="405" t="s">
        <v>171</v>
      </c>
      <c r="E30" s="405" t="s">
        <v>120</v>
      </c>
      <c r="F30" s="405" t="s">
        <v>1321</v>
      </c>
      <c r="G30" s="405" t="s">
        <v>57</v>
      </c>
      <c r="H30" s="406"/>
      <c r="I30" s="406">
        <v>43741</v>
      </c>
      <c r="J30" s="405" t="s">
        <v>1296</v>
      </c>
      <c r="K30" s="405" t="s">
        <v>1238</v>
      </c>
      <c r="L30" s="405" t="s">
        <v>1322</v>
      </c>
      <c r="M30" s="405" t="s">
        <v>1323</v>
      </c>
      <c r="N30" s="405" t="s">
        <v>1324</v>
      </c>
    </row>
    <row r="31" spans="1:15" ht="27.95" x14ac:dyDescent="0.25">
      <c r="A31" s="401">
        <v>26</v>
      </c>
      <c r="B31" s="404" t="s">
        <v>1325</v>
      </c>
      <c r="C31" s="418" t="s">
        <v>1326</v>
      </c>
      <c r="D31" s="405" t="s">
        <v>178</v>
      </c>
      <c r="E31" s="405" t="s">
        <v>120</v>
      </c>
      <c r="F31" s="405" t="s">
        <v>1309</v>
      </c>
      <c r="G31" s="405" t="s">
        <v>54</v>
      </c>
      <c r="H31" s="406"/>
      <c r="I31" s="406">
        <v>43760</v>
      </c>
      <c r="J31" s="405" t="s">
        <v>1296</v>
      </c>
      <c r="K31" s="405" t="s">
        <v>1238</v>
      </c>
      <c r="L31" s="405" t="s">
        <v>1327</v>
      </c>
      <c r="M31" s="405" t="s">
        <v>1328</v>
      </c>
      <c r="N31" s="405" t="s">
        <v>1329</v>
      </c>
    </row>
    <row r="32" spans="1:15" ht="27.95" x14ac:dyDescent="0.25">
      <c r="A32" s="401">
        <v>27</v>
      </c>
      <c r="B32" s="404" t="s">
        <v>1330</v>
      </c>
      <c r="C32" s="404"/>
      <c r="D32" s="404" t="s">
        <v>171</v>
      </c>
      <c r="E32" s="405" t="s">
        <v>120</v>
      </c>
      <c r="F32" s="405" t="s">
        <v>1236</v>
      </c>
      <c r="G32" s="405" t="s">
        <v>30</v>
      </c>
      <c r="H32" s="406"/>
      <c r="I32" s="406">
        <v>43768</v>
      </c>
      <c r="J32" s="405" t="s">
        <v>1053</v>
      </c>
      <c r="K32" s="405" t="s">
        <v>1238</v>
      </c>
      <c r="L32" s="405"/>
      <c r="M32" s="405"/>
      <c r="N32" s="414" t="s">
        <v>1331</v>
      </c>
    </row>
    <row r="33" spans="1:15" ht="55.9" x14ac:dyDescent="0.25">
      <c r="A33" s="401">
        <v>28</v>
      </c>
      <c r="B33" s="404" t="s">
        <v>1332</v>
      </c>
      <c r="C33" s="405"/>
      <c r="D33" s="405" t="s">
        <v>213</v>
      </c>
      <c r="E33" s="405" t="s">
        <v>1235</v>
      </c>
      <c r="F33" s="405" t="s">
        <v>1236</v>
      </c>
      <c r="G33" s="405" t="s">
        <v>691</v>
      </c>
      <c r="H33" s="406"/>
      <c r="I33" s="406">
        <v>43768</v>
      </c>
      <c r="J33" s="405" t="s">
        <v>1053</v>
      </c>
      <c r="K33" s="405" t="s">
        <v>1238</v>
      </c>
      <c r="L33" s="405"/>
      <c r="M33" s="405"/>
      <c r="N33" s="410" t="s">
        <v>1267</v>
      </c>
    </row>
    <row r="34" spans="1:15" ht="55.9" x14ac:dyDescent="0.25">
      <c r="A34" s="401">
        <v>29</v>
      </c>
      <c r="B34" s="404" t="s">
        <v>1333</v>
      </c>
      <c r="C34" s="405"/>
      <c r="D34" s="405" t="s">
        <v>213</v>
      </c>
      <c r="E34" s="405" t="s">
        <v>1235</v>
      </c>
      <c r="F34" s="405" t="s">
        <v>1236</v>
      </c>
      <c r="G34" s="405" t="s">
        <v>691</v>
      </c>
      <c r="H34" s="406"/>
      <c r="I34" s="406">
        <v>43794</v>
      </c>
      <c r="J34" s="405" t="s">
        <v>1053</v>
      </c>
      <c r="K34" s="405" t="s">
        <v>1238</v>
      </c>
      <c r="L34" s="405"/>
      <c r="M34" s="405"/>
      <c r="N34" s="410" t="s">
        <v>1334</v>
      </c>
    </row>
    <row r="35" spans="1:15" ht="27.95" x14ac:dyDescent="0.25">
      <c r="A35" s="401">
        <v>30</v>
      </c>
      <c r="B35" s="404" t="s">
        <v>1305</v>
      </c>
      <c r="C35" s="404"/>
      <c r="D35" s="404" t="s">
        <v>171</v>
      </c>
      <c r="E35" s="405" t="s">
        <v>120</v>
      </c>
      <c r="F35" s="405" t="s">
        <v>1236</v>
      </c>
      <c r="G35" s="405" t="s">
        <v>29</v>
      </c>
      <c r="H35" s="406"/>
      <c r="I35" s="406">
        <v>43794</v>
      </c>
      <c r="J35" s="405" t="s">
        <v>1296</v>
      </c>
      <c r="K35" s="405" t="s">
        <v>1238</v>
      </c>
      <c r="L35" s="405" t="s">
        <v>1335</v>
      </c>
      <c r="M35" s="405" t="s">
        <v>1287</v>
      </c>
      <c r="N35" s="405" t="s">
        <v>1336</v>
      </c>
    </row>
    <row r="36" spans="1:15" ht="27.95" x14ac:dyDescent="0.25">
      <c r="A36" s="401">
        <v>31</v>
      </c>
      <c r="B36" s="404" t="s">
        <v>1337</v>
      </c>
      <c r="C36" s="404"/>
      <c r="D36" s="404" t="s">
        <v>171</v>
      </c>
      <c r="E36" s="405" t="s">
        <v>120</v>
      </c>
      <c r="F36" s="405" t="s">
        <v>1338</v>
      </c>
      <c r="G36" s="405" t="s">
        <v>50</v>
      </c>
      <c r="H36" s="406"/>
      <c r="I36" s="406">
        <v>43802</v>
      </c>
      <c r="J36" s="405" t="s">
        <v>1296</v>
      </c>
      <c r="K36" s="405" t="s">
        <v>1238</v>
      </c>
      <c r="L36" s="405" t="s">
        <v>1335</v>
      </c>
      <c r="M36" s="405" t="s">
        <v>1339</v>
      </c>
      <c r="N36" s="405" t="s">
        <v>1336</v>
      </c>
    </row>
    <row r="37" spans="1:15" ht="27.95" x14ac:dyDescent="0.25">
      <c r="A37" s="401">
        <v>32</v>
      </c>
      <c r="B37" s="404" t="s">
        <v>1040</v>
      </c>
      <c r="C37" s="404"/>
      <c r="D37" s="404" t="s">
        <v>171</v>
      </c>
      <c r="E37" s="405" t="s">
        <v>120</v>
      </c>
      <c r="F37" s="405" t="s">
        <v>1236</v>
      </c>
      <c r="G37" s="405" t="s">
        <v>1340</v>
      </c>
      <c r="H37" s="406"/>
      <c r="I37" s="406">
        <v>43832</v>
      </c>
      <c r="J37" s="405" t="s">
        <v>1041</v>
      </c>
      <c r="K37" s="405" t="s">
        <v>1238</v>
      </c>
      <c r="L37" s="405"/>
      <c r="M37" s="405"/>
      <c r="N37" s="414" t="s">
        <v>1341</v>
      </c>
    </row>
    <row r="38" spans="1:15" ht="55.9" x14ac:dyDescent="0.25">
      <c r="A38" s="401">
        <v>33</v>
      </c>
      <c r="B38" s="404" t="s">
        <v>1342</v>
      </c>
      <c r="C38" s="405"/>
      <c r="D38" s="405" t="s">
        <v>213</v>
      </c>
      <c r="E38" s="405" t="s">
        <v>1235</v>
      </c>
      <c r="F38" s="405" t="s">
        <v>1236</v>
      </c>
      <c r="G38" s="405" t="s">
        <v>691</v>
      </c>
      <c r="H38" s="406"/>
      <c r="I38" s="406">
        <v>43838</v>
      </c>
      <c r="J38" s="405" t="s">
        <v>1053</v>
      </c>
      <c r="K38" s="405" t="s">
        <v>1238</v>
      </c>
      <c r="L38" s="405"/>
      <c r="M38" s="405"/>
      <c r="N38" s="419" t="s">
        <v>1267</v>
      </c>
    </row>
    <row r="39" spans="1:15" ht="27.95" x14ac:dyDescent="0.25">
      <c r="A39" s="401">
        <v>34</v>
      </c>
      <c r="B39" s="404" t="s">
        <v>1343</v>
      </c>
      <c r="C39" s="404"/>
      <c r="D39" s="404" t="s">
        <v>171</v>
      </c>
      <c r="E39" s="405" t="s">
        <v>1235</v>
      </c>
      <c r="F39" s="405" t="s">
        <v>1236</v>
      </c>
      <c r="G39" s="405" t="s">
        <v>437</v>
      </c>
      <c r="H39" s="405" t="s">
        <v>1344</v>
      </c>
      <c r="I39" s="406">
        <v>43869</v>
      </c>
      <c r="J39" s="405" t="s">
        <v>1053</v>
      </c>
      <c r="K39" s="405" t="s">
        <v>1238</v>
      </c>
      <c r="L39" s="405"/>
      <c r="M39" s="405"/>
      <c r="N39" s="414" t="s">
        <v>1345</v>
      </c>
    </row>
    <row r="40" spans="1:15" ht="55.9" x14ac:dyDescent="0.25">
      <c r="A40" s="401">
        <v>35</v>
      </c>
      <c r="B40" s="404" t="s">
        <v>1346</v>
      </c>
      <c r="C40" s="405"/>
      <c r="D40" s="405" t="s">
        <v>213</v>
      </c>
      <c r="E40" s="405" t="s">
        <v>1235</v>
      </c>
      <c r="F40" s="405" t="s">
        <v>1236</v>
      </c>
      <c r="G40" s="405" t="s">
        <v>691</v>
      </c>
      <c r="H40" s="405" t="s">
        <v>692</v>
      </c>
      <c r="I40" s="406">
        <v>43857</v>
      </c>
      <c r="J40" s="405" t="s">
        <v>1053</v>
      </c>
      <c r="K40" s="405" t="s">
        <v>1238</v>
      </c>
      <c r="L40" s="405"/>
      <c r="M40" s="405"/>
      <c r="N40" s="419" t="s">
        <v>1267</v>
      </c>
    </row>
    <row r="41" spans="1:15" ht="27.95" x14ac:dyDescent="0.25">
      <c r="A41" s="401">
        <v>36</v>
      </c>
      <c r="B41" s="404" t="s">
        <v>1347</v>
      </c>
      <c r="C41" s="405"/>
      <c r="D41" s="405" t="s">
        <v>1348</v>
      </c>
      <c r="E41" s="405" t="s">
        <v>120</v>
      </c>
      <c r="F41" s="405" t="s">
        <v>1349</v>
      </c>
      <c r="G41" s="405" t="s">
        <v>1350</v>
      </c>
      <c r="H41" s="406"/>
      <c r="I41" s="406">
        <v>43865</v>
      </c>
      <c r="J41" s="405" t="s">
        <v>1296</v>
      </c>
      <c r="K41" s="405" t="s">
        <v>1238</v>
      </c>
      <c r="L41" s="405" t="s">
        <v>1351</v>
      </c>
      <c r="M41" s="405" t="s">
        <v>1352</v>
      </c>
      <c r="N41" s="405" t="s">
        <v>1353</v>
      </c>
    </row>
    <row r="42" spans="1:15" ht="14" x14ac:dyDescent="0.25">
      <c r="A42" s="401">
        <v>37</v>
      </c>
      <c r="B42" s="404" t="s">
        <v>1354</v>
      </c>
      <c r="C42" s="410" t="s">
        <v>1355</v>
      </c>
      <c r="D42" s="404" t="s">
        <v>171</v>
      </c>
      <c r="E42" s="405" t="s">
        <v>120</v>
      </c>
      <c r="F42" s="405" t="s">
        <v>1236</v>
      </c>
      <c r="G42" s="405" t="s">
        <v>31</v>
      </c>
      <c r="H42" s="406"/>
      <c r="I42" s="406">
        <v>43893</v>
      </c>
      <c r="J42" s="405" t="s">
        <v>1053</v>
      </c>
      <c r="K42" s="405" t="s">
        <v>1238</v>
      </c>
      <c r="L42" s="405" t="s">
        <v>1315</v>
      </c>
      <c r="M42" s="405" t="s">
        <v>1356</v>
      </c>
      <c r="N42" s="416" t="s">
        <v>1317</v>
      </c>
      <c r="O42" s="417" t="s">
        <v>1318</v>
      </c>
    </row>
    <row r="43" spans="1:15" ht="55.9" x14ac:dyDescent="0.25">
      <c r="A43" s="401">
        <v>38</v>
      </c>
      <c r="B43" s="404" t="s">
        <v>1357</v>
      </c>
      <c r="C43" s="405"/>
      <c r="D43" s="405" t="s">
        <v>213</v>
      </c>
      <c r="E43" s="405" t="s">
        <v>120</v>
      </c>
      <c r="F43" s="405" t="s">
        <v>1236</v>
      </c>
      <c r="G43" s="405" t="s">
        <v>691</v>
      </c>
      <c r="H43" s="405" t="s">
        <v>692</v>
      </c>
      <c r="I43" s="406">
        <v>43893</v>
      </c>
      <c r="J43" s="405" t="s">
        <v>1053</v>
      </c>
      <c r="K43" s="405" t="s">
        <v>1238</v>
      </c>
      <c r="L43" s="405"/>
      <c r="M43" s="405"/>
      <c r="N43" s="419" t="s">
        <v>1267</v>
      </c>
    </row>
    <row r="44" spans="1:15" ht="27.95" x14ac:dyDescent="0.25">
      <c r="A44" s="401">
        <v>39</v>
      </c>
      <c r="B44" s="404" t="s">
        <v>1358</v>
      </c>
      <c r="C44" s="404"/>
      <c r="D44" s="404" t="s">
        <v>488</v>
      </c>
      <c r="E44" s="405" t="s">
        <v>1235</v>
      </c>
      <c r="F44" s="405" t="s">
        <v>1236</v>
      </c>
      <c r="G44" s="405" t="s">
        <v>481</v>
      </c>
      <c r="H44" s="406"/>
      <c r="I44" s="406">
        <v>44042</v>
      </c>
      <c r="J44" s="405" t="s">
        <v>1296</v>
      </c>
      <c r="K44" s="405" t="s">
        <v>1238</v>
      </c>
      <c r="L44" s="405" t="s">
        <v>1359</v>
      </c>
      <c r="M44" s="405" t="s">
        <v>1360</v>
      </c>
      <c r="N44" s="407"/>
    </row>
    <row r="45" spans="1:15" ht="27.95" x14ac:dyDescent="0.25">
      <c r="A45" s="401">
        <v>40</v>
      </c>
      <c r="B45" s="404" t="s">
        <v>1361</v>
      </c>
      <c r="C45" s="404"/>
      <c r="D45" s="404" t="s">
        <v>171</v>
      </c>
      <c r="E45" s="405" t="s">
        <v>120</v>
      </c>
      <c r="F45" s="405" t="s">
        <v>1295</v>
      </c>
      <c r="G45" s="405" t="s">
        <v>45</v>
      </c>
      <c r="H45" s="406"/>
      <c r="I45" s="406">
        <v>44042</v>
      </c>
      <c r="J45" s="405" t="s">
        <v>1296</v>
      </c>
      <c r="K45" s="405" t="s">
        <v>1238</v>
      </c>
      <c r="L45" s="405" t="s">
        <v>1362</v>
      </c>
      <c r="M45" s="405" t="s">
        <v>1363</v>
      </c>
      <c r="N45" s="407"/>
    </row>
    <row r="46" spans="1:15" ht="41.95" x14ac:dyDescent="0.25">
      <c r="A46" s="401">
        <v>41</v>
      </c>
      <c r="B46" s="404" t="s">
        <v>1364</v>
      </c>
      <c r="C46" s="404"/>
      <c r="D46" s="404" t="s">
        <v>171</v>
      </c>
      <c r="E46" s="405" t="s">
        <v>1235</v>
      </c>
      <c r="F46" s="405" t="s">
        <v>1236</v>
      </c>
      <c r="G46" s="405" t="s">
        <v>437</v>
      </c>
      <c r="H46" s="405" t="s">
        <v>1252</v>
      </c>
      <c r="I46" s="405" t="s">
        <v>1365</v>
      </c>
      <c r="J46" s="405" t="s">
        <v>1053</v>
      </c>
      <c r="K46" s="405" t="s">
        <v>1238</v>
      </c>
      <c r="L46" s="405"/>
      <c r="M46" s="405"/>
      <c r="N46" s="414" t="s">
        <v>1366</v>
      </c>
    </row>
    <row r="47" spans="1:15" ht="27.95" x14ac:dyDescent="0.25">
      <c r="A47" s="401">
        <v>42</v>
      </c>
      <c r="B47" s="404" t="s">
        <v>1287</v>
      </c>
      <c r="C47" s="404"/>
      <c r="D47" s="404" t="s">
        <v>171</v>
      </c>
      <c r="E47" s="405" t="s">
        <v>120</v>
      </c>
      <c r="F47" s="405" t="s">
        <v>1295</v>
      </c>
      <c r="G47" s="405" t="s">
        <v>47</v>
      </c>
      <c r="H47" s="406"/>
      <c r="I47" s="406">
        <v>44158</v>
      </c>
      <c r="J47" s="405" t="s">
        <v>1296</v>
      </c>
      <c r="K47" s="405" t="s">
        <v>1238</v>
      </c>
      <c r="L47" s="405" t="s">
        <v>1367</v>
      </c>
      <c r="M47" s="405" t="s">
        <v>1368</v>
      </c>
      <c r="N47" s="407"/>
    </row>
    <row r="48" spans="1:15" ht="27.95" x14ac:dyDescent="0.25">
      <c r="A48" s="401">
        <v>43</v>
      </c>
      <c r="B48" s="404" t="s">
        <v>1369</v>
      </c>
      <c r="C48" s="404"/>
      <c r="D48" s="404" t="s">
        <v>171</v>
      </c>
      <c r="E48" s="405" t="s">
        <v>120</v>
      </c>
      <c r="F48" s="405" t="s">
        <v>1236</v>
      </c>
      <c r="G48" s="405" t="s">
        <v>19</v>
      </c>
      <c r="H48" s="406"/>
      <c r="I48" s="406">
        <v>44183</v>
      </c>
      <c r="J48" s="405" t="s">
        <v>1296</v>
      </c>
      <c r="K48" s="405" t="s">
        <v>1238</v>
      </c>
      <c r="L48" s="405" t="s">
        <v>1370</v>
      </c>
      <c r="M48" s="405" t="s">
        <v>1371</v>
      </c>
      <c r="N48" s="405" t="s">
        <v>1372</v>
      </c>
    </row>
    <row r="49" spans="1:15" ht="14" x14ac:dyDescent="0.25">
      <c r="A49" s="401">
        <v>44</v>
      </c>
      <c r="B49" s="404" t="s">
        <v>1293</v>
      </c>
      <c r="C49" s="404"/>
      <c r="D49" s="404" t="s">
        <v>171</v>
      </c>
      <c r="E49" s="405" t="s">
        <v>120</v>
      </c>
      <c r="F49" s="405" t="s">
        <v>1304</v>
      </c>
      <c r="G49" s="405" t="s">
        <v>56</v>
      </c>
      <c r="H49" s="406"/>
      <c r="I49" s="406">
        <v>44207</v>
      </c>
      <c r="J49" s="405" t="s">
        <v>1292</v>
      </c>
      <c r="K49" s="405" t="s">
        <v>1238</v>
      </c>
      <c r="L49" s="405" t="s">
        <v>1373</v>
      </c>
      <c r="M49" s="405" t="s">
        <v>1374</v>
      </c>
      <c r="N49" s="405" t="s">
        <v>1372</v>
      </c>
    </row>
    <row r="50" spans="1:15" ht="14" x14ac:dyDescent="0.25">
      <c r="A50" s="401">
        <v>45</v>
      </c>
      <c r="B50" s="404" t="s">
        <v>1375</v>
      </c>
      <c r="C50" s="404"/>
      <c r="D50" s="404" t="s">
        <v>171</v>
      </c>
      <c r="E50" s="405" t="s">
        <v>120</v>
      </c>
      <c r="F50" s="405" t="s">
        <v>1338</v>
      </c>
      <c r="G50" s="405" t="s">
        <v>52</v>
      </c>
      <c r="H50" s="406"/>
      <c r="I50" s="406">
        <v>44207</v>
      </c>
      <c r="J50" s="405" t="s">
        <v>1292</v>
      </c>
      <c r="K50" s="405" t="s">
        <v>1238</v>
      </c>
      <c r="L50" s="405" t="s">
        <v>1376</v>
      </c>
      <c r="M50" s="405" t="s">
        <v>1377</v>
      </c>
      <c r="N50" s="405" t="s">
        <v>1372</v>
      </c>
    </row>
    <row r="51" spans="1:15" ht="14" x14ac:dyDescent="0.25">
      <c r="A51" s="401">
        <v>46</v>
      </c>
      <c r="B51" s="404" t="s">
        <v>1378</v>
      </c>
      <c r="C51" s="404"/>
      <c r="D51" s="404" t="s">
        <v>178</v>
      </c>
      <c r="E51" s="405" t="s">
        <v>120</v>
      </c>
      <c r="F51" s="405" t="s">
        <v>1304</v>
      </c>
      <c r="G51" s="405" t="s">
        <v>56</v>
      </c>
      <c r="H51" s="406"/>
      <c r="I51" s="406">
        <v>44209</v>
      </c>
      <c r="J51" s="405" t="s">
        <v>1292</v>
      </c>
      <c r="K51" s="405" t="s">
        <v>1238</v>
      </c>
      <c r="L51" s="405" t="s">
        <v>1379</v>
      </c>
      <c r="M51" s="405" t="s">
        <v>1380</v>
      </c>
      <c r="N51" s="405" t="s">
        <v>1372</v>
      </c>
    </row>
    <row r="52" spans="1:15" ht="27.95" x14ac:dyDescent="0.25">
      <c r="A52" s="401">
        <v>47</v>
      </c>
      <c r="B52" s="404" t="s">
        <v>1381</v>
      </c>
      <c r="C52" s="412"/>
      <c r="D52" s="412" t="s">
        <v>539</v>
      </c>
      <c r="E52" s="405" t="s">
        <v>120</v>
      </c>
      <c r="F52" s="405" t="s">
        <v>1236</v>
      </c>
      <c r="G52" s="405" t="s">
        <v>32</v>
      </c>
      <c r="H52" s="406"/>
      <c r="I52" s="406">
        <v>44292</v>
      </c>
      <c r="J52" s="405" t="s">
        <v>1053</v>
      </c>
      <c r="K52" s="405" t="s">
        <v>1238</v>
      </c>
      <c r="L52" s="405" t="s">
        <v>1382</v>
      </c>
      <c r="M52" s="405" t="s">
        <v>651</v>
      </c>
      <c r="N52" s="405" t="s">
        <v>1383</v>
      </c>
    </row>
    <row r="53" spans="1:15" ht="14" x14ac:dyDescent="0.25">
      <c r="A53" s="401">
        <v>48</v>
      </c>
      <c r="B53" s="420" t="s">
        <v>1384</v>
      </c>
      <c r="C53" s="404"/>
      <c r="D53" s="404" t="s">
        <v>171</v>
      </c>
      <c r="E53" s="405" t="s">
        <v>1235</v>
      </c>
      <c r="F53" s="405" t="s">
        <v>1236</v>
      </c>
      <c r="G53" s="405" t="s">
        <v>157</v>
      </c>
      <c r="H53" s="406"/>
      <c r="I53" s="406">
        <v>44356</v>
      </c>
      <c r="J53" s="405" t="s">
        <v>1385</v>
      </c>
      <c r="K53" s="405" t="s">
        <v>1238</v>
      </c>
      <c r="L53" s="405" t="s">
        <v>1386</v>
      </c>
      <c r="M53" s="405" t="s">
        <v>1387</v>
      </c>
      <c r="N53" s="405" t="s">
        <v>1388</v>
      </c>
    </row>
    <row r="54" spans="1:15" ht="14" x14ac:dyDescent="0.25">
      <c r="A54" s="401">
        <v>49</v>
      </c>
      <c r="B54" s="404" t="s">
        <v>1389</v>
      </c>
      <c r="C54" s="405"/>
      <c r="D54" s="405" t="s">
        <v>488</v>
      </c>
      <c r="E54" s="405" t="s">
        <v>1235</v>
      </c>
      <c r="F54" s="405" t="s">
        <v>1236</v>
      </c>
      <c r="G54" s="405" t="s">
        <v>481</v>
      </c>
      <c r="H54" s="406"/>
      <c r="I54" s="406">
        <v>44375</v>
      </c>
      <c r="J54" s="405" t="s">
        <v>1292</v>
      </c>
      <c r="K54" s="405" t="s">
        <v>1238</v>
      </c>
      <c r="L54" s="405" t="s">
        <v>1390</v>
      </c>
      <c r="M54" s="405" t="s">
        <v>487</v>
      </c>
      <c r="N54" s="405"/>
    </row>
    <row r="55" spans="1:15" ht="27.95" x14ac:dyDescent="0.25">
      <c r="A55" s="401">
        <v>50</v>
      </c>
      <c r="B55" s="404" t="s">
        <v>1254</v>
      </c>
      <c r="C55" s="404"/>
      <c r="D55" s="404" t="s">
        <v>171</v>
      </c>
      <c r="E55" s="405" t="s">
        <v>120</v>
      </c>
      <c r="F55" s="405" t="s">
        <v>1338</v>
      </c>
      <c r="G55" s="405" t="s">
        <v>52</v>
      </c>
      <c r="H55" s="406"/>
      <c r="I55" s="406">
        <v>44416</v>
      </c>
      <c r="J55" s="405" t="s">
        <v>1296</v>
      </c>
      <c r="K55" s="405" t="s">
        <v>1238</v>
      </c>
      <c r="L55" s="405" t="s">
        <v>1391</v>
      </c>
      <c r="M55" s="405" t="s">
        <v>1392</v>
      </c>
      <c r="N55" s="405" t="s">
        <v>1393</v>
      </c>
    </row>
    <row r="56" spans="1:15" ht="55.9" x14ac:dyDescent="0.25">
      <c r="A56" s="401">
        <v>51</v>
      </c>
      <c r="B56" s="404" t="s">
        <v>1394</v>
      </c>
      <c r="C56" s="405"/>
      <c r="D56" s="405" t="s">
        <v>290</v>
      </c>
      <c r="E56" s="405" t="s">
        <v>120</v>
      </c>
      <c r="F56" s="405" t="s">
        <v>1236</v>
      </c>
      <c r="G56" s="405" t="s">
        <v>33</v>
      </c>
      <c r="H56" s="406"/>
      <c r="I56" s="406">
        <v>44431</v>
      </c>
      <c r="J56" s="405" t="s">
        <v>1053</v>
      </c>
      <c r="K56" s="405" t="s">
        <v>1238</v>
      </c>
      <c r="L56" s="405" t="s">
        <v>1395</v>
      </c>
      <c r="M56" s="405" t="s">
        <v>450</v>
      </c>
      <c r="N56" s="405" t="s">
        <v>1396</v>
      </c>
    </row>
    <row r="57" spans="1:15" ht="27.95" x14ac:dyDescent="0.25">
      <c r="A57" s="401">
        <v>52</v>
      </c>
      <c r="B57" s="404" t="s">
        <v>1374</v>
      </c>
      <c r="C57" s="404"/>
      <c r="D57" s="404" t="s">
        <v>171</v>
      </c>
      <c r="E57" s="405" t="s">
        <v>120</v>
      </c>
      <c r="F57" s="405" t="s">
        <v>1304</v>
      </c>
      <c r="G57" s="405" t="s">
        <v>56</v>
      </c>
      <c r="H57" s="406"/>
      <c r="I57" s="406">
        <v>44424</v>
      </c>
      <c r="J57" s="405" t="s">
        <v>1296</v>
      </c>
      <c r="K57" s="405" t="s">
        <v>1238</v>
      </c>
      <c r="L57" s="405" t="s">
        <v>1397</v>
      </c>
      <c r="M57" s="405" t="s">
        <v>1398</v>
      </c>
      <c r="N57" s="405" t="s">
        <v>1393</v>
      </c>
    </row>
    <row r="58" spans="1:15" ht="14" x14ac:dyDescent="0.25">
      <c r="A58" s="401">
        <v>53</v>
      </c>
      <c r="B58" s="404" t="s">
        <v>1399</v>
      </c>
      <c r="C58" s="405"/>
      <c r="D58" s="405" t="s">
        <v>213</v>
      </c>
      <c r="E58" s="405" t="s">
        <v>120</v>
      </c>
      <c r="F58" s="405" t="s">
        <v>1295</v>
      </c>
      <c r="G58" s="405" t="s">
        <v>45</v>
      </c>
      <c r="H58" s="406"/>
      <c r="I58" s="406">
        <v>44427</v>
      </c>
      <c r="J58" s="405" t="s">
        <v>1041</v>
      </c>
      <c r="K58" s="405" t="s">
        <v>1238</v>
      </c>
      <c r="L58" s="405" t="s">
        <v>1400</v>
      </c>
      <c r="M58" s="405" t="s">
        <v>1401</v>
      </c>
      <c r="N58" s="405"/>
    </row>
    <row r="59" spans="1:15" ht="27.95" x14ac:dyDescent="0.25">
      <c r="A59" s="401">
        <v>54</v>
      </c>
      <c r="B59" s="404" t="s">
        <v>1402</v>
      </c>
      <c r="C59" s="404"/>
      <c r="D59" s="404" t="s">
        <v>171</v>
      </c>
      <c r="E59" s="405" t="s">
        <v>120</v>
      </c>
      <c r="F59" s="405" t="s">
        <v>1304</v>
      </c>
      <c r="G59" s="405" t="s">
        <v>56</v>
      </c>
      <c r="H59" s="406"/>
      <c r="I59" s="406">
        <v>44531</v>
      </c>
      <c r="J59" s="405" t="s">
        <v>1296</v>
      </c>
      <c r="K59" s="405" t="s">
        <v>1238</v>
      </c>
      <c r="L59" s="405" t="s">
        <v>1403</v>
      </c>
      <c r="M59" s="405" t="s">
        <v>1404</v>
      </c>
      <c r="N59" s="407"/>
    </row>
    <row r="60" spans="1:15" ht="41.95" x14ac:dyDescent="0.25">
      <c r="A60" s="401">
        <v>55</v>
      </c>
      <c r="B60" s="404" t="s">
        <v>1405</v>
      </c>
      <c r="C60" s="404"/>
      <c r="D60" s="404" t="s">
        <v>171</v>
      </c>
      <c r="E60" s="405" t="s">
        <v>120</v>
      </c>
      <c r="F60" s="405" t="s">
        <v>1236</v>
      </c>
      <c r="G60" s="405" t="s">
        <v>214</v>
      </c>
      <c r="H60" s="405" t="s">
        <v>175</v>
      </c>
      <c r="I60" s="406">
        <v>44571</v>
      </c>
      <c r="J60" s="405" t="s">
        <v>1053</v>
      </c>
      <c r="K60" s="405" t="s">
        <v>1238</v>
      </c>
      <c r="L60" s="405"/>
      <c r="M60" s="405"/>
      <c r="N60" s="414" t="s">
        <v>1406</v>
      </c>
    </row>
    <row r="61" spans="1:15" ht="55.9" x14ac:dyDescent="0.25">
      <c r="A61" s="401">
        <v>56</v>
      </c>
      <c r="B61" s="404" t="s">
        <v>1407</v>
      </c>
      <c r="C61" s="404"/>
      <c r="D61" s="404" t="s">
        <v>178</v>
      </c>
      <c r="E61" s="404" t="s">
        <v>120</v>
      </c>
      <c r="F61" s="404" t="s">
        <v>1236</v>
      </c>
      <c r="G61" s="404" t="s">
        <v>214</v>
      </c>
      <c r="H61" s="405" t="s">
        <v>286</v>
      </c>
      <c r="I61" s="406">
        <v>44572</v>
      </c>
      <c r="J61" s="404" t="s">
        <v>1053</v>
      </c>
      <c r="K61" s="405" t="s">
        <v>1262</v>
      </c>
      <c r="L61" s="405"/>
      <c r="M61" s="405"/>
      <c r="N61" s="405" t="s">
        <v>1408</v>
      </c>
    </row>
    <row r="62" spans="1:15" ht="27.95" x14ac:dyDescent="0.25">
      <c r="A62" s="401">
        <v>57</v>
      </c>
      <c r="B62" s="404" t="s">
        <v>1409</v>
      </c>
      <c r="C62" s="404" t="s">
        <v>1410</v>
      </c>
      <c r="D62" s="404" t="s">
        <v>178</v>
      </c>
      <c r="E62" s="404" t="s">
        <v>120</v>
      </c>
      <c r="F62" s="404" t="s">
        <v>1236</v>
      </c>
      <c r="G62" s="404" t="s">
        <v>21</v>
      </c>
      <c r="H62" s="405"/>
      <c r="I62" s="406">
        <v>44579</v>
      </c>
      <c r="J62" s="404" t="s">
        <v>1053</v>
      </c>
      <c r="K62" s="405" t="s">
        <v>1262</v>
      </c>
      <c r="L62" s="405"/>
      <c r="M62" s="405"/>
      <c r="N62" s="409" t="s">
        <v>1263</v>
      </c>
    </row>
    <row r="63" spans="1:15" ht="27.95" x14ac:dyDescent="0.25">
      <c r="A63" s="401">
        <v>58</v>
      </c>
      <c r="B63" s="404" t="s">
        <v>1398</v>
      </c>
      <c r="C63" s="404"/>
      <c r="D63" s="404" t="s">
        <v>171</v>
      </c>
      <c r="E63" s="405" t="s">
        <v>120</v>
      </c>
      <c r="F63" s="405" t="s">
        <v>1411</v>
      </c>
      <c r="G63" s="405" t="s">
        <v>41</v>
      </c>
      <c r="H63" s="406"/>
      <c r="I63" s="406">
        <v>44620</v>
      </c>
      <c r="J63" s="405" t="s">
        <v>1296</v>
      </c>
      <c r="K63" s="405" t="s">
        <v>1238</v>
      </c>
      <c r="L63" s="405"/>
      <c r="M63" s="405" t="s">
        <v>1412</v>
      </c>
      <c r="N63" s="405"/>
    </row>
    <row r="64" spans="1:15" ht="55.9" x14ac:dyDescent="0.25">
      <c r="A64" s="401">
        <v>59</v>
      </c>
      <c r="B64" s="404" t="s">
        <v>1413</v>
      </c>
      <c r="C64" s="410" t="s">
        <v>1355</v>
      </c>
      <c r="D64" s="404" t="s">
        <v>171</v>
      </c>
      <c r="E64" s="405" t="s">
        <v>120</v>
      </c>
      <c r="F64" s="405" t="s">
        <v>1236</v>
      </c>
      <c r="G64" s="405" t="s">
        <v>31</v>
      </c>
      <c r="H64" s="406"/>
      <c r="I64" s="406">
        <v>44674</v>
      </c>
      <c r="J64" s="405" t="s">
        <v>1041</v>
      </c>
      <c r="K64" s="405" t="s">
        <v>1238</v>
      </c>
      <c r="L64" s="405" t="s">
        <v>1414</v>
      </c>
      <c r="M64" s="405" t="s">
        <v>1415</v>
      </c>
      <c r="N64" s="410" t="s">
        <v>1267</v>
      </c>
      <c r="O64" s="417" t="s">
        <v>1318</v>
      </c>
    </row>
    <row r="65" spans="1:15" ht="55.9" x14ac:dyDescent="0.25">
      <c r="A65" s="401">
        <v>60</v>
      </c>
      <c r="B65" s="404" t="s">
        <v>1266</v>
      </c>
      <c r="C65" s="410" t="s">
        <v>1355</v>
      </c>
      <c r="D65" s="410" t="s">
        <v>512</v>
      </c>
      <c r="E65" s="405" t="s">
        <v>120</v>
      </c>
      <c r="F65" s="405" t="s">
        <v>1236</v>
      </c>
      <c r="G65" s="405" t="s">
        <v>23</v>
      </c>
      <c r="H65" s="406"/>
      <c r="I65" s="406">
        <v>43053</v>
      </c>
      <c r="J65" s="405" t="s">
        <v>1053</v>
      </c>
      <c r="K65" s="405" t="s">
        <v>1238</v>
      </c>
      <c r="L65" s="405" t="s">
        <v>1416</v>
      </c>
      <c r="M65" s="405" t="s">
        <v>533</v>
      </c>
      <c r="N65" s="410" t="s">
        <v>1267</v>
      </c>
      <c r="O65" s="417" t="s">
        <v>1318</v>
      </c>
    </row>
    <row r="66" spans="1:15" ht="55.9" x14ac:dyDescent="0.25">
      <c r="A66" s="401">
        <v>61</v>
      </c>
      <c r="B66" s="404" t="s">
        <v>1332</v>
      </c>
      <c r="C66" s="410" t="s">
        <v>1355</v>
      </c>
      <c r="D66" s="410" t="s">
        <v>512</v>
      </c>
      <c r="E66" s="405" t="s">
        <v>1235</v>
      </c>
      <c r="F66" s="405" t="s">
        <v>1236</v>
      </c>
      <c r="G66" s="405" t="s">
        <v>1417</v>
      </c>
      <c r="H66" s="406"/>
      <c r="I66" s="406">
        <v>43768</v>
      </c>
      <c r="J66" s="405" t="s">
        <v>1053</v>
      </c>
      <c r="K66" s="405" t="s">
        <v>1238</v>
      </c>
      <c r="L66" s="405" t="s">
        <v>1416</v>
      </c>
      <c r="M66" s="405" t="s">
        <v>531</v>
      </c>
      <c r="N66" s="410" t="s">
        <v>1267</v>
      </c>
      <c r="O66" s="417" t="s">
        <v>1318</v>
      </c>
    </row>
    <row r="67" spans="1:15" ht="55.9" x14ac:dyDescent="0.25">
      <c r="A67" s="401">
        <v>62</v>
      </c>
      <c r="B67" s="404" t="s">
        <v>1333</v>
      </c>
      <c r="C67" s="410" t="s">
        <v>1355</v>
      </c>
      <c r="D67" s="410" t="s">
        <v>512</v>
      </c>
      <c r="E67" s="405" t="s">
        <v>1235</v>
      </c>
      <c r="F67" s="405" t="s">
        <v>1236</v>
      </c>
      <c r="G67" s="405" t="s">
        <v>1417</v>
      </c>
      <c r="H67" s="406"/>
      <c r="I67" s="406">
        <v>43794</v>
      </c>
      <c r="J67" s="405" t="s">
        <v>1053</v>
      </c>
      <c r="K67" s="405" t="s">
        <v>1238</v>
      </c>
      <c r="L67" s="405" t="s">
        <v>1418</v>
      </c>
      <c r="M67" s="405" t="s">
        <v>525</v>
      </c>
      <c r="N67" s="410" t="s">
        <v>1267</v>
      </c>
      <c r="O67" s="417" t="s">
        <v>1318</v>
      </c>
    </row>
    <row r="68" spans="1:15" ht="55.9" x14ac:dyDescent="0.25">
      <c r="A68" s="401">
        <v>63</v>
      </c>
      <c r="B68" s="404" t="s">
        <v>1342</v>
      </c>
      <c r="C68" s="410" t="s">
        <v>1355</v>
      </c>
      <c r="D68" s="410" t="s">
        <v>512</v>
      </c>
      <c r="E68" s="405" t="s">
        <v>1235</v>
      </c>
      <c r="F68" s="405" t="s">
        <v>1236</v>
      </c>
      <c r="G68" s="405" t="s">
        <v>1417</v>
      </c>
      <c r="H68" s="406"/>
      <c r="I68" s="406">
        <v>43838</v>
      </c>
      <c r="J68" s="405" t="s">
        <v>1053</v>
      </c>
      <c r="K68" s="405" t="s">
        <v>1238</v>
      </c>
      <c r="L68" s="405" t="s">
        <v>1419</v>
      </c>
      <c r="M68" s="405" t="s">
        <v>1420</v>
      </c>
      <c r="N68" s="410" t="s">
        <v>1267</v>
      </c>
      <c r="O68" s="417" t="s">
        <v>1318</v>
      </c>
    </row>
    <row r="69" spans="1:15" ht="55.9" x14ac:dyDescent="0.25">
      <c r="A69" s="401">
        <v>64</v>
      </c>
      <c r="B69" s="404" t="s">
        <v>1346</v>
      </c>
      <c r="C69" s="410" t="s">
        <v>1355</v>
      </c>
      <c r="D69" s="410" t="s">
        <v>512</v>
      </c>
      <c r="E69" s="405" t="s">
        <v>1235</v>
      </c>
      <c r="F69" s="405" t="s">
        <v>1236</v>
      </c>
      <c r="G69" s="405" t="s">
        <v>1417</v>
      </c>
      <c r="H69" s="406"/>
      <c r="I69" s="406">
        <v>43857</v>
      </c>
      <c r="J69" s="405" t="s">
        <v>1053</v>
      </c>
      <c r="K69" s="405" t="s">
        <v>1238</v>
      </c>
      <c r="L69" s="405" t="s">
        <v>1421</v>
      </c>
      <c r="M69" s="404" t="s">
        <v>523</v>
      </c>
      <c r="N69" s="410" t="s">
        <v>1267</v>
      </c>
      <c r="O69" s="417" t="s">
        <v>1318</v>
      </c>
    </row>
    <row r="70" spans="1:15" ht="55.9" x14ac:dyDescent="0.25">
      <c r="A70" s="401">
        <v>65</v>
      </c>
      <c r="B70" s="404" t="s">
        <v>1357</v>
      </c>
      <c r="C70" s="410" t="s">
        <v>1355</v>
      </c>
      <c r="D70" s="410" t="s">
        <v>512</v>
      </c>
      <c r="E70" s="405" t="s">
        <v>1235</v>
      </c>
      <c r="F70" s="405" t="s">
        <v>1236</v>
      </c>
      <c r="G70" s="405" t="s">
        <v>1417</v>
      </c>
      <c r="H70" s="406"/>
      <c r="I70" s="406">
        <v>43893</v>
      </c>
      <c r="J70" s="405" t="s">
        <v>1053</v>
      </c>
      <c r="K70" s="405" t="s">
        <v>1422</v>
      </c>
      <c r="L70" s="405"/>
      <c r="M70" s="405"/>
      <c r="N70" s="410" t="s">
        <v>1267</v>
      </c>
      <c r="O70" s="417" t="s">
        <v>1318</v>
      </c>
    </row>
    <row r="71" spans="1:15" ht="27.95" x14ac:dyDescent="0.25">
      <c r="A71" s="401">
        <v>66</v>
      </c>
      <c r="B71" s="404" t="s">
        <v>1423</v>
      </c>
      <c r="C71" s="410" t="s">
        <v>1424</v>
      </c>
      <c r="D71" s="410" t="s">
        <v>167</v>
      </c>
      <c r="E71" s="405" t="s">
        <v>1235</v>
      </c>
      <c r="F71" s="405" t="s">
        <v>1236</v>
      </c>
      <c r="G71" s="405" t="s">
        <v>612</v>
      </c>
      <c r="H71" s="405" t="s">
        <v>1281</v>
      </c>
      <c r="I71" s="406">
        <v>44722</v>
      </c>
      <c r="J71" s="405" t="s">
        <v>1296</v>
      </c>
      <c r="K71" s="405" t="s">
        <v>1238</v>
      </c>
      <c r="L71" s="405" t="s">
        <v>1425</v>
      </c>
      <c r="M71" s="405" t="s">
        <v>1426</v>
      </c>
      <c r="N71" s="407"/>
    </row>
    <row r="72" spans="1:15" ht="27.95" x14ac:dyDescent="0.25">
      <c r="A72" s="401">
        <v>67</v>
      </c>
      <c r="B72" s="404" t="s">
        <v>1427</v>
      </c>
      <c r="C72" s="421" t="s">
        <v>1428</v>
      </c>
      <c r="D72" s="404" t="s">
        <v>171</v>
      </c>
      <c r="E72" s="404" t="s">
        <v>1235</v>
      </c>
      <c r="F72" s="404" t="s">
        <v>1236</v>
      </c>
      <c r="G72" s="404" t="s">
        <v>214</v>
      </c>
      <c r="H72" s="405" t="s">
        <v>1429</v>
      </c>
      <c r="I72" s="422">
        <v>44698</v>
      </c>
      <c r="J72" s="404" t="s">
        <v>1053</v>
      </c>
      <c r="K72" s="405" t="s">
        <v>1262</v>
      </c>
      <c r="L72" s="408"/>
      <c r="M72" s="405"/>
      <c r="N72" s="405" t="s">
        <v>1430</v>
      </c>
    </row>
    <row r="73" spans="1:15" ht="41.95" x14ac:dyDescent="0.25">
      <c r="A73" s="401">
        <v>68</v>
      </c>
      <c r="B73" s="404" t="s">
        <v>1431</v>
      </c>
      <c r="C73" s="410" t="s">
        <v>1432</v>
      </c>
      <c r="D73" s="410" t="s">
        <v>171</v>
      </c>
      <c r="E73" s="405" t="s">
        <v>1235</v>
      </c>
      <c r="F73" s="405" t="s">
        <v>1236</v>
      </c>
      <c r="G73" s="405" t="s">
        <v>612</v>
      </c>
      <c r="H73" s="405" t="s">
        <v>640</v>
      </c>
      <c r="I73" s="406">
        <v>44735</v>
      </c>
      <c r="J73" s="405" t="s">
        <v>1053</v>
      </c>
      <c r="K73" s="405" t="s">
        <v>1238</v>
      </c>
      <c r="L73" s="405"/>
      <c r="M73" s="405"/>
      <c r="N73" s="414" t="s">
        <v>1433</v>
      </c>
    </row>
    <row r="74" spans="1:15" ht="27.95" x14ac:dyDescent="0.25">
      <c r="A74" s="401">
        <v>69</v>
      </c>
      <c r="B74" s="404" t="s">
        <v>1052</v>
      </c>
      <c r="C74" s="410" t="s">
        <v>1434</v>
      </c>
      <c r="D74" s="410" t="s">
        <v>167</v>
      </c>
      <c r="E74" s="405" t="s">
        <v>1235</v>
      </c>
      <c r="F74" s="405" t="s">
        <v>1236</v>
      </c>
      <c r="G74" s="405" t="s">
        <v>973</v>
      </c>
      <c r="H74" s="406"/>
      <c r="I74" s="406">
        <v>44713</v>
      </c>
      <c r="J74" s="405" t="s">
        <v>1053</v>
      </c>
      <c r="K74" s="405" t="s">
        <v>1238</v>
      </c>
      <c r="L74" s="405" t="s">
        <v>1269</v>
      </c>
      <c r="M74" s="405" t="s">
        <v>1435</v>
      </c>
      <c r="N74" s="411" t="s">
        <v>1271</v>
      </c>
    </row>
    <row r="75" spans="1:15" ht="27.95" x14ac:dyDescent="0.25">
      <c r="A75" s="401">
        <v>70</v>
      </c>
      <c r="B75" s="404" t="s">
        <v>1436</v>
      </c>
      <c r="C75" s="423" t="s">
        <v>1437</v>
      </c>
      <c r="D75" s="410" t="s">
        <v>171</v>
      </c>
      <c r="E75" s="405" t="s">
        <v>1235</v>
      </c>
      <c r="F75" s="405" t="s">
        <v>1236</v>
      </c>
      <c r="G75" s="405" t="s">
        <v>22</v>
      </c>
      <c r="H75" s="406"/>
      <c r="I75" s="406">
        <v>44750</v>
      </c>
      <c r="J75" s="405" t="s">
        <v>1296</v>
      </c>
      <c r="K75" s="405" t="s">
        <v>1238</v>
      </c>
      <c r="L75" s="405"/>
      <c r="M75" s="405"/>
      <c r="N75" s="405"/>
    </row>
    <row r="76" spans="1:15" ht="27.95" x14ac:dyDescent="0.3">
      <c r="A76" s="401">
        <v>71</v>
      </c>
      <c r="B76" s="424" t="s">
        <v>1438</v>
      </c>
      <c r="C76" s="423" t="s">
        <v>1439</v>
      </c>
      <c r="D76" s="425" t="s">
        <v>178</v>
      </c>
      <c r="E76" s="426" t="s">
        <v>120</v>
      </c>
      <c r="F76" s="426" t="s">
        <v>1236</v>
      </c>
      <c r="G76" s="427" t="s">
        <v>41</v>
      </c>
      <c r="H76" s="428"/>
      <c r="I76" s="429">
        <v>44792</v>
      </c>
      <c r="J76" s="426" t="s">
        <v>1296</v>
      </c>
      <c r="K76" s="427" t="s">
        <v>1238</v>
      </c>
      <c r="L76" s="426"/>
      <c r="M76" s="426"/>
      <c r="N76" s="426"/>
    </row>
    <row r="77" spans="1:15" ht="27.95" x14ac:dyDescent="0.25">
      <c r="A77" s="401">
        <v>72</v>
      </c>
      <c r="B77" s="404" t="s">
        <v>1440</v>
      </c>
      <c r="C77" s="410" t="s">
        <v>1441</v>
      </c>
      <c r="D77" s="410" t="s">
        <v>171</v>
      </c>
      <c r="E77" s="405" t="s">
        <v>1235</v>
      </c>
      <c r="F77" s="405" t="s">
        <v>1295</v>
      </c>
      <c r="G77" s="405" t="s">
        <v>46</v>
      </c>
      <c r="H77" s="406"/>
      <c r="I77" s="406">
        <v>44789</v>
      </c>
      <c r="J77" s="405" t="s">
        <v>1296</v>
      </c>
      <c r="K77" s="405" t="s">
        <v>1238</v>
      </c>
      <c r="L77" s="405"/>
      <c r="M77" s="405"/>
      <c r="N77" s="405"/>
    </row>
    <row r="78" spans="1:15" ht="14" x14ac:dyDescent="0.3">
      <c r="A78" s="401">
        <v>73</v>
      </c>
      <c r="B78" s="424" t="s">
        <v>1442</v>
      </c>
      <c r="C78" s="415" t="s">
        <v>1313</v>
      </c>
      <c r="D78" s="410" t="s">
        <v>171</v>
      </c>
      <c r="E78" s="405" t="s">
        <v>1235</v>
      </c>
      <c r="F78" s="405" t="s">
        <v>1236</v>
      </c>
      <c r="G78" s="405" t="s">
        <v>20</v>
      </c>
      <c r="H78" s="428"/>
      <c r="I78" s="430">
        <v>44761</v>
      </c>
      <c r="J78" s="405" t="s">
        <v>1053</v>
      </c>
      <c r="K78" s="405" t="s">
        <v>1238</v>
      </c>
      <c r="L78" s="404"/>
      <c r="M78" s="405"/>
      <c r="N78" s="414" t="s">
        <v>1443</v>
      </c>
      <c r="O78" s="417"/>
    </row>
    <row r="79" spans="1:15" ht="27.95" x14ac:dyDescent="0.3">
      <c r="A79" s="401">
        <v>74</v>
      </c>
      <c r="B79" s="404" t="s">
        <v>1073</v>
      </c>
      <c r="C79" s="421" t="s">
        <v>1444</v>
      </c>
      <c r="D79" s="431" t="s">
        <v>178</v>
      </c>
      <c r="E79" s="431" t="s">
        <v>120</v>
      </c>
      <c r="F79" s="431" t="s">
        <v>1236</v>
      </c>
      <c r="G79" s="404" t="s">
        <v>17</v>
      </c>
      <c r="H79" s="432"/>
      <c r="I79" s="433">
        <v>44809</v>
      </c>
      <c r="J79" s="431" t="s">
        <v>1053</v>
      </c>
      <c r="K79" s="432" t="s">
        <v>1262</v>
      </c>
      <c r="L79" s="434"/>
      <c r="M79" s="405"/>
      <c r="N79" s="405" t="s">
        <v>1430</v>
      </c>
    </row>
    <row r="80" spans="1:15" ht="27.95" x14ac:dyDescent="0.3">
      <c r="A80" s="401">
        <v>75</v>
      </c>
      <c r="B80" s="404" t="s">
        <v>1445</v>
      </c>
      <c r="C80" s="435" t="s">
        <v>1446</v>
      </c>
      <c r="D80" s="431" t="s">
        <v>178</v>
      </c>
      <c r="E80" s="431" t="s">
        <v>1235</v>
      </c>
      <c r="F80" s="431" t="s">
        <v>1236</v>
      </c>
      <c r="G80" s="404" t="s">
        <v>535</v>
      </c>
      <c r="H80" s="405" t="s">
        <v>1447</v>
      </c>
      <c r="I80" s="433">
        <v>44835</v>
      </c>
      <c r="J80" s="431" t="s">
        <v>1053</v>
      </c>
      <c r="K80" s="405" t="s">
        <v>1238</v>
      </c>
      <c r="L80" s="405" t="s">
        <v>1269</v>
      </c>
      <c r="M80" s="405" t="s">
        <v>1448</v>
      </c>
      <c r="N80" s="411" t="s">
        <v>1271</v>
      </c>
    </row>
    <row r="81" spans="1:15" ht="27.95" x14ac:dyDescent="0.25">
      <c r="A81" s="401">
        <v>76</v>
      </c>
      <c r="B81" s="404" t="s">
        <v>1449</v>
      </c>
      <c r="C81" s="435" t="s">
        <v>1450</v>
      </c>
      <c r="D81" s="410" t="s">
        <v>171</v>
      </c>
      <c r="E81" s="404" t="s">
        <v>120</v>
      </c>
      <c r="F81" s="404" t="s">
        <v>1304</v>
      </c>
      <c r="G81" s="404" t="s">
        <v>56</v>
      </c>
      <c r="H81" s="405"/>
      <c r="I81" s="433">
        <v>44853</v>
      </c>
      <c r="J81" s="405" t="s">
        <v>1296</v>
      </c>
      <c r="K81" s="405" t="s">
        <v>1238</v>
      </c>
      <c r="L81" s="405" t="s">
        <v>1451</v>
      </c>
      <c r="M81" s="405" t="s">
        <v>1452</v>
      </c>
      <c r="N81" s="405"/>
    </row>
    <row r="82" spans="1:15" ht="27.95" x14ac:dyDescent="0.25">
      <c r="A82" s="401">
        <v>77</v>
      </c>
      <c r="B82" s="436" t="s">
        <v>1453</v>
      </c>
      <c r="C82" s="418" t="s">
        <v>1454</v>
      </c>
      <c r="D82" s="410" t="s">
        <v>213</v>
      </c>
      <c r="E82" s="404" t="s">
        <v>120</v>
      </c>
      <c r="F82" s="404" t="s">
        <v>1236</v>
      </c>
      <c r="G82" s="404" t="s">
        <v>32</v>
      </c>
      <c r="H82" s="405"/>
      <c r="I82" s="437">
        <v>44931</v>
      </c>
      <c r="J82" s="405" t="s">
        <v>1296</v>
      </c>
      <c r="K82" s="405" t="s">
        <v>1238</v>
      </c>
      <c r="L82" s="405" t="s">
        <v>1269</v>
      </c>
      <c r="M82" s="427" t="s">
        <v>1455</v>
      </c>
      <c r="N82" s="438"/>
    </row>
    <row r="83" spans="1:15" ht="27.95" x14ac:dyDescent="0.25">
      <c r="A83" s="401">
        <v>78</v>
      </c>
      <c r="B83" s="436" t="s">
        <v>1240</v>
      </c>
      <c r="C83" s="418" t="s">
        <v>1456</v>
      </c>
      <c r="D83" s="410" t="s">
        <v>512</v>
      </c>
      <c r="E83" s="404" t="s">
        <v>1235</v>
      </c>
      <c r="F83" s="404" t="s">
        <v>1236</v>
      </c>
      <c r="G83" s="404" t="s">
        <v>1417</v>
      </c>
      <c r="H83" s="405"/>
      <c r="I83" s="437">
        <v>44951</v>
      </c>
      <c r="J83" s="405" t="s">
        <v>1296</v>
      </c>
      <c r="K83" s="405" t="s">
        <v>1238</v>
      </c>
      <c r="L83" s="405" t="s">
        <v>1457</v>
      </c>
      <c r="M83" s="427" t="s">
        <v>518</v>
      </c>
      <c r="N83" s="439" t="s">
        <v>1458</v>
      </c>
    </row>
    <row r="84" spans="1:15" ht="14" x14ac:dyDescent="0.25">
      <c r="A84" s="401">
        <v>79</v>
      </c>
      <c r="B84" s="404" t="s">
        <v>1459</v>
      </c>
      <c r="C84" s="418" t="s">
        <v>1320</v>
      </c>
      <c r="D84" s="410" t="s">
        <v>213</v>
      </c>
      <c r="E84" s="404" t="s">
        <v>1235</v>
      </c>
      <c r="F84" s="404" t="s">
        <v>1236</v>
      </c>
      <c r="G84" s="404" t="s">
        <v>691</v>
      </c>
      <c r="H84" s="405"/>
      <c r="I84" s="437">
        <v>44971</v>
      </c>
      <c r="J84" s="405" t="s">
        <v>1053</v>
      </c>
      <c r="K84" s="405" t="s">
        <v>1238</v>
      </c>
      <c r="L84" s="405" t="s">
        <v>1460</v>
      </c>
      <c r="M84" s="404" t="s">
        <v>1461</v>
      </c>
      <c r="N84" s="414" t="s">
        <v>1462</v>
      </c>
      <c r="O84" s="417" t="s">
        <v>1318</v>
      </c>
    </row>
    <row r="85" spans="1:15" ht="27.95" x14ac:dyDescent="0.3">
      <c r="A85" s="401">
        <v>80</v>
      </c>
      <c r="B85" s="404" t="s">
        <v>1463</v>
      </c>
      <c r="C85" s="418" t="s">
        <v>1464</v>
      </c>
      <c r="D85" s="431" t="s">
        <v>178</v>
      </c>
      <c r="E85" s="404" t="s">
        <v>1235</v>
      </c>
      <c r="F85" s="404" t="s">
        <v>1236</v>
      </c>
      <c r="G85" s="404" t="s">
        <v>157</v>
      </c>
      <c r="H85" s="405"/>
      <c r="I85" s="437">
        <v>45035</v>
      </c>
      <c r="J85" s="431" t="s">
        <v>1053</v>
      </c>
      <c r="K85" s="405" t="s">
        <v>1238</v>
      </c>
      <c r="L85" s="405" t="s">
        <v>1269</v>
      </c>
      <c r="M85" s="427" t="s">
        <v>1465</v>
      </c>
      <c r="N85" s="411" t="s">
        <v>1271</v>
      </c>
    </row>
    <row r="86" spans="1:15" ht="27.95" x14ac:dyDescent="0.3">
      <c r="A86" s="401">
        <v>81</v>
      </c>
      <c r="B86" s="404" t="s">
        <v>1466</v>
      </c>
      <c r="C86" s="418" t="s">
        <v>1467</v>
      </c>
      <c r="D86" s="431" t="s">
        <v>178</v>
      </c>
      <c r="E86" s="404" t="s">
        <v>1235</v>
      </c>
      <c r="F86" s="404" t="s">
        <v>1236</v>
      </c>
      <c r="G86" s="404" t="s">
        <v>973</v>
      </c>
      <c r="H86" s="405"/>
      <c r="I86" s="437">
        <v>45048</v>
      </c>
      <c r="J86" s="431" t="s">
        <v>1053</v>
      </c>
      <c r="K86" s="405" t="s">
        <v>1238</v>
      </c>
      <c r="L86" s="405" t="s">
        <v>1269</v>
      </c>
      <c r="M86" s="427" t="s">
        <v>1468</v>
      </c>
      <c r="N86" s="411" t="s">
        <v>1271</v>
      </c>
    </row>
    <row r="87" spans="1:15" ht="14" x14ac:dyDescent="0.3">
      <c r="A87" s="401">
        <v>82</v>
      </c>
      <c r="B87" s="404" t="s">
        <v>1469</v>
      </c>
      <c r="C87" s="418" t="s">
        <v>1326</v>
      </c>
      <c r="D87" s="431" t="s">
        <v>171</v>
      </c>
      <c r="E87" s="404" t="s">
        <v>1235</v>
      </c>
      <c r="F87" s="404" t="s">
        <v>1236</v>
      </c>
      <c r="G87" s="404" t="s">
        <v>612</v>
      </c>
      <c r="H87" s="405" t="s">
        <v>1470</v>
      </c>
      <c r="I87" s="437">
        <v>45035</v>
      </c>
      <c r="J87" s="431" t="s">
        <v>1053</v>
      </c>
      <c r="K87" s="405" t="s">
        <v>1238</v>
      </c>
      <c r="L87" s="424" t="s">
        <v>1414</v>
      </c>
      <c r="M87" s="427" t="s">
        <v>1471</v>
      </c>
      <c r="N87" s="438"/>
      <c r="O87" s="417" t="s">
        <v>1318</v>
      </c>
    </row>
    <row r="88" spans="1:15" ht="14" x14ac:dyDescent="0.3">
      <c r="A88" s="401">
        <v>83</v>
      </c>
      <c r="B88" s="404" t="s">
        <v>1060</v>
      </c>
      <c r="C88" s="418" t="s">
        <v>1472</v>
      </c>
      <c r="D88" s="431" t="s">
        <v>178</v>
      </c>
      <c r="E88" s="404" t="s">
        <v>120</v>
      </c>
      <c r="F88" s="404" t="s">
        <v>1236</v>
      </c>
      <c r="G88" s="404" t="s">
        <v>1314</v>
      </c>
      <c r="H88" s="405"/>
      <c r="I88" s="437">
        <v>45048</v>
      </c>
      <c r="J88" s="431" t="s">
        <v>1053</v>
      </c>
      <c r="K88" s="405" t="s">
        <v>1238</v>
      </c>
      <c r="L88" s="405" t="s">
        <v>1473</v>
      </c>
      <c r="M88" s="427" t="s">
        <v>1474</v>
      </c>
      <c r="N88" s="411" t="s">
        <v>1271</v>
      </c>
    </row>
    <row r="89" spans="1:15" ht="27.95" x14ac:dyDescent="0.25">
      <c r="A89" s="401">
        <v>84</v>
      </c>
      <c r="B89" s="436" t="s">
        <v>518</v>
      </c>
      <c r="C89" s="418" t="s">
        <v>1475</v>
      </c>
      <c r="D89" s="404" t="s">
        <v>512</v>
      </c>
      <c r="E89" s="404" t="s">
        <v>1235</v>
      </c>
      <c r="F89" s="404" t="s">
        <v>1236</v>
      </c>
      <c r="G89" s="404" t="s">
        <v>1417</v>
      </c>
      <c r="H89" s="405"/>
      <c r="I89" s="437">
        <v>45044</v>
      </c>
      <c r="J89" s="405" t="s">
        <v>1296</v>
      </c>
      <c r="K89" s="405" t="s">
        <v>1238</v>
      </c>
      <c r="L89" s="424" t="s">
        <v>1457</v>
      </c>
      <c r="M89" s="427" t="s">
        <v>529</v>
      </c>
      <c r="N89" s="439" t="s">
        <v>1476</v>
      </c>
    </row>
    <row r="90" spans="1:15" ht="27.95" x14ac:dyDescent="0.3">
      <c r="A90" s="401">
        <v>85</v>
      </c>
      <c r="B90" s="404" t="s">
        <v>1113</v>
      </c>
      <c r="C90" s="418" t="s">
        <v>1477</v>
      </c>
      <c r="D90" s="431" t="s">
        <v>167</v>
      </c>
      <c r="E90" s="404" t="s">
        <v>120</v>
      </c>
      <c r="F90" s="404" t="s">
        <v>1236</v>
      </c>
      <c r="G90" s="404" t="s">
        <v>20</v>
      </c>
      <c r="H90" s="405"/>
      <c r="I90" s="437">
        <v>45070</v>
      </c>
      <c r="J90" s="431" t="s">
        <v>1053</v>
      </c>
      <c r="K90" s="405" t="s">
        <v>1238</v>
      </c>
      <c r="L90" s="424" t="s">
        <v>1478</v>
      </c>
      <c r="M90" s="427" t="s">
        <v>1479</v>
      </c>
      <c r="N90" s="419" t="s">
        <v>1480</v>
      </c>
    </row>
    <row r="91" spans="1:15" ht="27.95" x14ac:dyDescent="0.3">
      <c r="A91" s="401">
        <v>86</v>
      </c>
      <c r="B91" s="436" t="s">
        <v>1481</v>
      </c>
      <c r="C91" s="418" t="s">
        <v>1482</v>
      </c>
      <c r="D91" s="431" t="s">
        <v>171</v>
      </c>
      <c r="E91" s="404" t="s">
        <v>120</v>
      </c>
      <c r="F91" s="404" t="s">
        <v>1338</v>
      </c>
      <c r="G91" s="404" t="s">
        <v>51</v>
      </c>
      <c r="H91" s="405"/>
      <c r="I91" s="437">
        <v>45063</v>
      </c>
      <c r="J91" s="405" t="s">
        <v>1296</v>
      </c>
      <c r="K91" s="405" t="s">
        <v>1238</v>
      </c>
      <c r="L91" s="424" t="s">
        <v>1483</v>
      </c>
      <c r="M91" s="427" t="s">
        <v>1484</v>
      </c>
      <c r="N91" s="438"/>
    </row>
    <row r="92" spans="1:15" ht="14" x14ac:dyDescent="0.3">
      <c r="A92" s="401">
        <v>87</v>
      </c>
      <c r="B92" s="404" t="s">
        <v>1485</v>
      </c>
      <c r="C92" s="418" t="s">
        <v>1486</v>
      </c>
      <c r="D92" s="431" t="s">
        <v>171</v>
      </c>
      <c r="E92" s="404" t="s">
        <v>1235</v>
      </c>
      <c r="F92" s="404" t="s">
        <v>1236</v>
      </c>
      <c r="G92" s="404" t="s">
        <v>612</v>
      </c>
      <c r="H92" s="405" t="s">
        <v>1487</v>
      </c>
      <c r="I92" s="437">
        <v>45078</v>
      </c>
      <c r="J92" s="431" t="s">
        <v>1053</v>
      </c>
      <c r="K92" s="405" t="s">
        <v>1238</v>
      </c>
      <c r="L92" s="424" t="s">
        <v>1414</v>
      </c>
      <c r="M92" s="427" t="s">
        <v>1488</v>
      </c>
      <c r="N92" s="438"/>
      <c r="O92" s="417" t="s">
        <v>1318</v>
      </c>
    </row>
    <row r="93" spans="1:15" ht="27.95" x14ac:dyDescent="0.25">
      <c r="A93" s="401">
        <v>88</v>
      </c>
      <c r="B93" s="404" t="s">
        <v>1489</v>
      </c>
      <c r="C93" s="418" t="s">
        <v>1490</v>
      </c>
      <c r="D93" s="404" t="s">
        <v>167</v>
      </c>
      <c r="E93" s="404" t="s">
        <v>120</v>
      </c>
      <c r="F93" s="404" t="s">
        <v>1236</v>
      </c>
      <c r="G93" s="404" t="s">
        <v>1491</v>
      </c>
      <c r="H93" s="405"/>
      <c r="I93" s="437">
        <v>45082</v>
      </c>
      <c r="J93" s="404" t="s">
        <v>1053</v>
      </c>
      <c r="K93" s="405" t="s">
        <v>1238</v>
      </c>
      <c r="L93" s="405" t="s">
        <v>1492</v>
      </c>
      <c r="M93" s="427" t="s">
        <v>1493</v>
      </c>
      <c r="N93" s="419" t="s">
        <v>1480</v>
      </c>
    </row>
    <row r="94" spans="1:15" ht="27.95" x14ac:dyDescent="0.25">
      <c r="A94" s="401">
        <v>89</v>
      </c>
      <c r="B94" s="436" t="s">
        <v>1494</v>
      </c>
      <c r="C94" s="418" t="s">
        <v>1495</v>
      </c>
      <c r="D94" s="404" t="s">
        <v>178</v>
      </c>
      <c r="E94" s="404" t="s">
        <v>120</v>
      </c>
      <c r="F94" s="404" t="s">
        <v>1309</v>
      </c>
      <c r="G94" s="404" t="s">
        <v>54</v>
      </c>
      <c r="H94" s="405"/>
      <c r="I94" s="437">
        <v>45161</v>
      </c>
      <c r="J94" s="404" t="s">
        <v>1296</v>
      </c>
      <c r="K94" s="405" t="s">
        <v>1238</v>
      </c>
      <c r="L94" s="405" t="s">
        <v>1496</v>
      </c>
      <c r="M94" s="427" t="s">
        <v>1497</v>
      </c>
      <c r="N94" s="405"/>
    </row>
    <row r="95" spans="1:15" ht="14" x14ac:dyDescent="0.25">
      <c r="A95" s="401">
        <v>90</v>
      </c>
      <c r="B95" s="404" t="s">
        <v>243</v>
      </c>
      <c r="C95" s="418" t="s">
        <v>1498</v>
      </c>
      <c r="D95" s="404" t="s">
        <v>178</v>
      </c>
      <c r="E95" s="404" t="s">
        <v>1235</v>
      </c>
      <c r="F95" s="404" t="s">
        <v>1236</v>
      </c>
      <c r="G95" s="404" t="s">
        <v>214</v>
      </c>
      <c r="H95" s="405" t="s">
        <v>1499</v>
      </c>
      <c r="I95" s="437">
        <v>45169</v>
      </c>
      <c r="J95" s="404" t="s">
        <v>1053</v>
      </c>
      <c r="K95" s="405" t="s">
        <v>1238</v>
      </c>
      <c r="L95" s="405" t="s">
        <v>1496</v>
      </c>
      <c r="M95" s="427" t="s">
        <v>1500</v>
      </c>
      <c r="N95" s="405"/>
    </row>
    <row r="96" spans="1:15" ht="14" x14ac:dyDescent="0.3">
      <c r="A96" s="401">
        <v>91</v>
      </c>
      <c r="B96" s="404" t="s">
        <v>1086</v>
      </c>
      <c r="C96" s="418" t="s">
        <v>1501</v>
      </c>
      <c r="D96" s="431" t="s">
        <v>178</v>
      </c>
      <c r="E96" s="404" t="s">
        <v>120</v>
      </c>
      <c r="F96" s="404" t="s">
        <v>1236</v>
      </c>
      <c r="G96" s="404" t="s">
        <v>1502</v>
      </c>
      <c r="H96" s="405"/>
      <c r="I96" s="437">
        <v>45201</v>
      </c>
      <c r="J96" s="404" t="s">
        <v>1053</v>
      </c>
      <c r="K96" s="405" t="s">
        <v>1238</v>
      </c>
      <c r="L96" s="405" t="s">
        <v>1503</v>
      </c>
      <c r="M96" s="427" t="s">
        <v>1504</v>
      </c>
      <c r="N96" s="438"/>
    </row>
    <row r="97" spans="1:15" ht="14" x14ac:dyDescent="0.25">
      <c r="A97" s="401">
        <v>92</v>
      </c>
      <c r="B97" s="436" t="s">
        <v>1279</v>
      </c>
      <c r="C97" s="418" t="s">
        <v>1505</v>
      </c>
      <c r="D97" s="404" t="s">
        <v>167</v>
      </c>
      <c r="E97" s="404" t="s">
        <v>120</v>
      </c>
      <c r="F97" s="404" t="s">
        <v>1506</v>
      </c>
      <c r="G97" s="404" t="s">
        <v>55</v>
      </c>
      <c r="H97" s="405"/>
      <c r="I97" s="437">
        <v>45209</v>
      </c>
      <c r="J97" s="404" t="s">
        <v>1292</v>
      </c>
      <c r="K97" s="405" t="s">
        <v>1238</v>
      </c>
      <c r="L97" s="405" t="s">
        <v>1507</v>
      </c>
      <c r="M97" s="424" t="s">
        <v>1508</v>
      </c>
      <c r="N97" s="438"/>
    </row>
    <row r="98" spans="1:15" ht="14" x14ac:dyDescent="0.25">
      <c r="A98" s="401">
        <v>93</v>
      </c>
      <c r="B98" s="404" t="s">
        <v>1509</v>
      </c>
      <c r="C98" s="418" t="s">
        <v>1510</v>
      </c>
      <c r="D98" s="404" t="s">
        <v>171</v>
      </c>
      <c r="E98" s="404" t="s">
        <v>120</v>
      </c>
      <c r="F98" s="404" t="s">
        <v>1411</v>
      </c>
      <c r="G98" s="404" t="s">
        <v>42</v>
      </c>
      <c r="H98" s="405"/>
      <c r="I98" s="437">
        <v>45229</v>
      </c>
      <c r="J98" s="404" t="s">
        <v>1296</v>
      </c>
      <c r="K98" s="405" t="s">
        <v>1238</v>
      </c>
      <c r="L98" s="405" t="s">
        <v>1511</v>
      </c>
      <c r="M98" s="427" t="s">
        <v>1512</v>
      </c>
      <c r="N98" s="438"/>
      <c r="O98" s="417" t="s">
        <v>1513</v>
      </c>
    </row>
    <row r="99" spans="1:15" ht="14" x14ac:dyDescent="0.25">
      <c r="A99" s="401">
        <v>94</v>
      </c>
      <c r="B99" s="436" t="s">
        <v>1514</v>
      </c>
      <c r="C99" s="418" t="s">
        <v>1515</v>
      </c>
      <c r="D99" s="404" t="s">
        <v>290</v>
      </c>
      <c r="E99" s="404" t="s">
        <v>120</v>
      </c>
      <c r="F99" s="404" t="s">
        <v>1516</v>
      </c>
      <c r="G99" s="404" t="s">
        <v>59</v>
      </c>
      <c r="H99" s="405"/>
      <c r="I99" s="437">
        <v>45237</v>
      </c>
      <c r="J99" s="404" t="s">
        <v>1296</v>
      </c>
      <c r="K99" s="405" t="s">
        <v>1238</v>
      </c>
      <c r="L99" s="405" t="s">
        <v>1507</v>
      </c>
      <c r="M99" s="424" t="s">
        <v>1517</v>
      </c>
      <c r="N99" s="438"/>
    </row>
    <row r="100" spans="1:15" ht="27.95" x14ac:dyDescent="0.3">
      <c r="A100" s="401">
        <v>95</v>
      </c>
      <c r="B100" s="436" t="s">
        <v>1518</v>
      </c>
      <c r="C100" s="418" t="s">
        <v>1519</v>
      </c>
      <c r="D100" s="404" t="s">
        <v>171</v>
      </c>
      <c r="E100" s="404" t="s">
        <v>120</v>
      </c>
      <c r="F100" s="404" t="s">
        <v>1304</v>
      </c>
      <c r="G100" s="404" t="s">
        <v>56</v>
      </c>
      <c r="H100" s="405"/>
      <c r="I100" s="437"/>
      <c r="J100" s="404" t="s">
        <v>1385</v>
      </c>
      <c r="K100" s="405" t="s">
        <v>1238</v>
      </c>
      <c r="L100" s="440"/>
      <c r="M100" s="424" t="s">
        <v>1520</v>
      </c>
      <c r="N100" s="414" t="s">
        <v>1521</v>
      </c>
    </row>
    <row r="101" spans="1:15" ht="27.95" x14ac:dyDescent="0.3">
      <c r="A101" s="401">
        <v>96</v>
      </c>
      <c r="B101" s="404" t="s">
        <v>1103</v>
      </c>
      <c r="C101" s="418" t="s">
        <v>1522</v>
      </c>
      <c r="D101" s="404" t="s">
        <v>167</v>
      </c>
      <c r="E101" s="404" t="s">
        <v>120</v>
      </c>
      <c r="F101" s="404" t="s">
        <v>1516</v>
      </c>
      <c r="G101" s="404" t="s">
        <v>1277</v>
      </c>
      <c r="H101" s="405"/>
      <c r="I101" s="437">
        <v>45275</v>
      </c>
      <c r="J101" s="431" t="s">
        <v>1053</v>
      </c>
      <c r="K101" s="405" t="s">
        <v>1238</v>
      </c>
      <c r="L101" s="405" t="s">
        <v>1523</v>
      </c>
      <c r="M101" s="424" t="s">
        <v>1524</v>
      </c>
      <c r="N101" s="441" t="s">
        <v>1525</v>
      </c>
      <c r="O101" s="417" t="s">
        <v>1318</v>
      </c>
    </row>
    <row r="102" spans="1:15" ht="14" x14ac:dyDescent="0.3">
      <c r="A102" s="401">
        <v>97</v>
      </c>
      <c r="B102" s="436" t="s">
        <v>1401</v>
      </c>
      <c r="C102" s="418" t="s">
        <v>1526</v>
      </c>
      <c r="D102" s="410" t="s">
        <v>213</v>
      </c>
      <c r="E102" s="404" t="s">
        <v>120</v>
      </c>
      <c r="F102" s="404" t="s">
        <v>1304</v>
      </c>
      <c r="G102" s="404" t="s">
        <v>56</v>
      </c>
      <c r="H102" s="405"/>
      <c r="I102" s="437">
        <v>45254</v>
      </c>
      <c r="J102" s="404" t="s">
        <v>1296</v>
      </c>
      <c r="K102" s="405" t="s">
        <v>1238</v>
      </c>
      <c r="L102" s="440"/>
      <c r="M102" s="424" t="s">
        <v>1527</v>
      </c>
      <c r="N102" s="438"/>
    </row>
    <row r="103" spans="1:15" ht="14" x14ac:dyDescent="0.25">
      <c r="A103" s="401">
        <v>98</v>
      </c>
      <c r="B103" s="436" t="s">
        <v>1493</v>
      </c>
      <c r="C103" s="418" t="s">
        <v>1528</v>
      </c>
      <c r="D103" s="404" t="s">
        <v>488</v>
      </c>
      <c r="E103" s="404" t="s">
        <v>1235</v>
      </c>
      <c r="F103" s="404" t="s">
        <v>1236</v>
      </c>
      <c r="G103" s="404" t="s">
        <v>1417</v>
      </c>
      <c r="H103" s="405"/>
      <c r="I103" s="437">
        <v>45264</v>
      </c>
      <c r="J103" s="404" t="s">
        <v>1296</v>
      </c>
      <c r="K103" s="405" t="s">
        <v>1238</v>
      </c>
      <c r="L103" s="405" t="s">
        <v>1529</v>
      </c>
      <c r="M103" s="424" t="s">
        <v>1530</v>
      </c>
      <c r="N103" s="438"/>
    </row>
    <row r="104" spans="1:15" ht="14" x14ac:dyDescent="0.25">
      <c r="A104" s="401">
        <v>99</v>
      </c>
      <c r="B104" s="436" t="s">
        <v>1531</v>
      </c>
      <c r="C104" s="418" t="s">
        <v>1532</v>
      </c>
      <c r="D104" s="410" t="s">
        <v>213</v>
      </c>
      <c r="E104" s="404" t="s">
        <v>120</v>
      </c>
      <c r="F104" s="404" t="s">
        <v>1295</v>
      </c>
      <c r="G104" s="404" t="s">
        <v>47</v>
      </c>
      <c r="H104" s="405"/>
      <c r="I104" s="437"/>
      <c r="J104" s="404" t="s">
        <v>1533</v>
      </c>
      <c r="K104" s="405" t="s">
        <v>1238</v>
      </c>
      <c r="L104" s="405" t="s">
        <v>1534</v>
      </c>
      <c r="M104" s="424"/>
      <c r="N104" s="438"/>
    </row>
    <row r="105" spans="1:15" ht="55.9" x14ac:dyDescent="0.3">
      <c r="A105" s="401">
        <v>100</v>
      </c>
      <c r="B105" s="404" t="s">
        <v>1090</v>
      </c>
      <c r="C105" s="418" t="s">
        <v>1535</v>
      </c>
      <c r="D105" s="404" t="s">
        <v>167</v>
      </c>
      <c r="E105" s="404" t="s">
        <v>120</v>
      </c>
      <c r="F105" s="404" t="s">
        <v>1236</v>
      </c>
      <c r="G105" s="404" t="s">
        <v>32</v>
      </c>
      <c r="H105" s="405"/>
      <c r="I105" s="437">
        <v>45261</v>
      </c>
      <c r="J105" s="431" t="s">
        <v>1053</v>
      </c>
      <c r="K105" s="405" t="s">
        <v>1238</v>
      </c>
      <c r="L105" s="405" t="s">
        <v>1536</v>
      </c>
      <c r="M105" s="424"/>
      <c r="N105" s="441" t="s">
        <v>1537</v>
      </c>
    </row>
    <row r="106" spans="1:15" ht="14" x14ac:dyDescent="0.3">
      <c r="A106" s="401">
        <v>101</v>
      </c>
      <c r="B106" s="404" t="s">
        <v>1093</v>
      </c>
      <c r="C106" s="418" t="s">
        <v>1538</v>
      </c>
      <c r="D106" s="404" t="s">
        <v>171</v>
      </c>
      <c r="E106" s="404" t="s">
        <v>120</v>
      </c>
      <c r="F106" s="404" t="s">
        <v>1236</v>
      </c>
      <c r="G106" s="404" t="s">
        <v>18</v>
      </c>
      <c r="H106" s="405"/>
      <c r="I106" s="437">
        <v>45275</v>
      </c>
      <c r="J106" s="431" t="s">
        <v>1053</v>
      </c>
      <c r="K106" s="405" t="s">
        <v>1238</v>
      </c>
      <c r="L106" s="424" t="s">
        <v>1414</v>
      </c>
      <c r="M106" s="424" t="s">
        <v>1539</v>
      </c>
      <c r="N106" s="438"/>
      <c r="O106" s="417" t="s">
        <v>1318</v>
      </c>
    </row>
    <row r="107" spans="1:15" ht="14" x14ac:dyDescent="0.3">
      <c r="A107" s="401">
        <v>102</v>
      </c>
      <c r="B107" s="404" t="s">
        <v>1540</v>
      </c>
      <c r="C107" s="418" t="s">
        <v>1541</v>
      </c>
      <c r="D107" s="404" t="s">
        <v>171</v>
      </c>
      <c r="E107" s="404" t="s">
        <v>120</v>
      </c>
      <c r="F107" s="404" t="s">
        <v>1236</v>
      </c>
      <c r="G107" s="404" t="s">
        <v>23</v>
      </c>
      <c r="H107" s="405"/>
      <c r="I107" s="437">
        <v>45275</v>
      </c>
      <c r="J107" s="431" t="s">
        <v>1053</v>
      </c>
      <c r="K107" s="405" t="s">
        <v>1238</v>
      </c>
      <c r="L107" s="424" t="s">
        <v>1414</v>
      </c>
      <c r="M107" s="424" t="s">
        <v>1542</v>
      </c>
      <c r="N107" s="438"/>
      <c r="O107" s="417" t="s">
        <v>1318</v>
      </c>
    </row>
    <row r="108" spans="1:15" ht="14" x14ac:dyDescent="0.25">
      <c r="A108" s="401">
        <v>103</v>
      </c>
      <c r="B108" s="436" t="s">
        <v>1543</v>
      </c>
      <c r="C108" s="418" t="s">
        <v>1544</v>
      </c>
      <c r="D108" s="404" t="s">
        <v>171</v>
      </c>
      <c r="E108" s="404" t="s">
        <v>120</v>
      </c>
      <c r="F108" s="404" t="s">
        <v>1236</v>
      </c>
      <c r="G108" s="404" t="s">
        <v>18</v>
      </c>
      <c r="H108" s="405"/>
      <c r="I108" s="437">
        <v>45303</v>
      </c>
      <c r="J108" s="404" t="s">
        <v>1296</v>
      </c>
      <c r="K108" s="405" t="s">
        <v>1238</v>
      </c>
      <c r="L108" s="405" t="s">
        <v>1545</v>
      </c>
      <c r="M108" s="424" t="s">
        <v>1546</v>
      </c>
      <c r="N108" s="442" t="s">
        <v>1547</v>
      </c>
    </row>
    <row r="109" spans="1:15" ht="14" x14ac:dyDescent="0.3">
      <c r="A109" s="401">
        <v>104</v>
      </c>
      <c r="B109" s="404" t="s">
        <v>558</v>
      </c>
      <c r="C109" s="418" t="s">
        <v>1548</v>
      </c>
      <c r="D109" s="404" t="s">
        <v>171</v>
      </c>
      <c r="E109" s="404" t="s">
        <v>1235</v>
      </c>
      <c r="F109" s="404" t="s">
        <v>1236</v>
      </c>
      <c r="G109" s="443" t="s">
        <v>1549</v>
      </c>
      <c r="H109" s="405"/>
      <c r="I109" s="437">
        <v>45295</v>
      </c>
      <c r="J109" s="404" t="s">
        <v>1296</v>
      </c>
      <c r="K109" s="405" t="s">
        <v>1238</v>
      </c>
      <c r="L109" s="405" t="s">
        <v>1511</v>
      </c>
      <c r="M109" s="424" t="s">
        <v>1550</v>
      </c>
      <c r="N109" s="444"/>
      <c r="O109" s="417" t="s">
        <v>1513</v>
      </c>
    </row>
    <row r="110" spans="1:15" ht="14" x14ac:dyDescent="0.3">
      <c r="A110" s="401">
        <v>105</v>
      </c>
      <c r="B110" s="404" t="s">
        <v>1551</v>
      </c>
      <c r="C110" s="418" t="s">
        <v>1552</v>
      </c>
      <c r="D110" s="404" t="s">
        <v>171</v>
      </c>
      <c r="E110" s="404" t="s">
        <v>1235</v>
      </c>
      <c r="F110" s="404" t="s">
        <v>1236</v>
      </c>
      <c r="G110" s="443" t="s">
        <v>1553</v>
      </c>
      <c r="H110" s="405"/>
      <c r="I110" s="437">
        <v>45315</v>
      </c>
      <c r="J110" s="404" t="s">
        <v>1296</v>
      </c>
      <c r="K110" s="405" t="s">
        <v>1238</v>
      </c>
      <c r="L110" s="405" t="s">
        <v>1554</v>
      </c>
      <c r="M110" s="424" t="s">
        <v>1555</v>
      </c>
      <c r="N110" s="442" t="s">
        <v>1556</v>
      </c>
    </row>
    <row r="111" spans="1:15" ht="14" x14ac:dyDescent="0.3">
      <c r="A111" s="401">
        <v>106</v>
      </c>
      <c r="B111" s="404" t="s">
        <v>1371</v>
      </c>
      <c r="C111" s="418" t="s">
        <v>1557</v>
      </c>
      <c r="D111" s="404" t="s">
        <v>171</v>
      </c>
      <c r="E111" s="404" t="s">
        <v>120</v>
      </c>
      <c r="F111" s="404" t="s">
        <v>1295</v>
      </c>
      <c r="G111" s="443" t="s">
        <v>1558</v>
      </c>
      <c r="H111" s="405"/>
      <c r="I111" s="437">
        <v>45329</v>
      </c>
      <c r="J111" s="404" t="s">
        <v>1296</v>
      </c>
      <c r="K111" s="405" t="s">
        <v>1238</v>
      </c>
      <c r="L111" s="405" t="s">
        <v>1559</v>
      </c>
      <c r="M111" s="424" t="s">
        <v>1560</v>
      </c>
      <c r="N111" s="442"/>
      <c r="O111" s="417" t="s">
        <v>1513</v>
      </c>
    </row>
    <row r="112" spans="1:15" ht="14" x14ac:dyDescent="0.3">
      <c r="A112" s="401">
        <v>107</v>
      </c>
      <c r="B112" s="404" t="s">
        <v>1100</v>
      </c>
      <c r="C112" s="418" t="s">
        <v>1561</v>
      </c>
      <c r="D112" s="404" t="s">
        <v>171</v>
      </c>
      <c r="E112" s="404" t="s">
        <v>120</v>
      </c>
      <c r="F112" s="404" t="s">
        <v>1236</v>
      </c>
      <c r="G112" s="404" t="s">
        <v>23</v>
      </c>
      <c r="H112" s="405"/>
      <c r="I112" s="437">
        <v>45369</v>
      </c>
      <c r="J112" s="431" t="s">
        <v>1053</v>
      </c>
      <c r="K112" s="405" t="s">
        <v>1238</v>
      </c>
      <c r="L112" s="424" t="s">
        <v>1414</v>
      </c>
      <c r="M112" s="424" t="s">
        <v>1562</v>
      </c>
      <c r="N112" s="442"/>
      <c r="O112" s="417" t="s">
        <v>1318</v>
      </c>
    </row>
    <row r="113" spans="1:15" ht="14" x14ac:dyDescent="0.3">
      <c r="A113" s="401">
        <v>108</v>
      </c>
      <c r="B113" s="404" t="s">
        <v>1563</v>
      </c>
      <c r="C113" s="418" t="s">
        <v>1564</v>
      </c>
      <c r="D113" s="404" t="s">
        <v>171</v>
      </c>
      <c r="E113" s="404" t="s">
        <v>120</v>
      </c>
      <c r="F113" s="404" t="s">
        <v>1236</v>
      </c>
      <c r="G113" s="404" t="s">
        <v>19</v>
      </c>
      <c r="H113" s="405"/>
      <c r="I113" s="437">
        <v>45369</v>
      </c>
      <c r="J113" s="431" t="s">
        <v>1053</v>
      </c>
      <c r="K113" s="405" t="s">
        <v>1238</v>
      </c>
      <c r="L113" s="424" t="s">
        <v>1414</v>
      </c>
      <c r="M113" s="424" t="s">
        <v>1565</v>
      </c>
      <c r="N113" s="438"/>
      <c r="O113" s="417" t="s">
        <v>1318</v>
      </c>
    </row>
    <row r="114" spans="1:15" ht="14" x14ac:dyDescent="0.3">
      <c r="A114" s="401">
        <v>109</v>
      </c>
      <c r="B114" s="404" t="s">
        <v>1566</v>
      </c>
      <c r="C114" s="418" t="s">
        <v>1567</v>
      </c>
      <c r="D114" s="404" t="s">
        <v>171</v>
      </c>
      <c r="E114" s="404" t="s">
        <v>1235</v>
      </c>
      <c r="F114" s="404" t="s">
        <v>1236</v>
      </c>
      <c r="G114" s="405" t="s">
        <v>157</v>
      </c>
      <c r="H114" s="405"/>
      <c r="I114" s="437">
        <v>45383</v>
      </c>
      <c r="J114" s="431" t="s">
        <v>1053</v>
      </c>
      <c r="K114" s="405" t="s">
        <v>1238</v>
      </c>
      <c r="L114" s="424" t="s">
        <v>1414</v>
      </c>
      <c r="M114" s="424" t="s">
        <v>1568</v>
      </c>
      <c r="N114" s="438"/>
      <c r="O114" s="417" t="s">
        <v>1318</v>
      </c>
    </row>
    <row r="115" spans="1:15" ht="14" x14ac:dyDescent="0.25">
      <c r="A115" s="401">
        <v>110</v>
      </c>
      <c r="B115" s="404" t="s">
        <v>1569</v>
      </c>
      <c r="C115" s="418" t="s">
        <v>1570</v>
      </c>
      <c r="D115" s="404" t="s">
        <v>171</v>
      </c>
      <c r="E115" s="404" t="s">
        <v>120</v>
      </c>
      <c r="F115" s="404" t="s">
        <v>1236</v>
      </c>
      <c r="G115" s="405" t="s">
        <v>1314</v>
      </c>
      <c r="H115" s="405"/>
      <c r="I115" s="437">
        <v>45405</v>
      </c>
      <c r="J115" s="404" t="s">
        <v>1296</v>
      </c>
      <c r="K115" s="405" t="s">
        <v>1238</v>
      </c>
      <c r="L115" s="405" t="s">
        <v>1511</v>
      </c>
      <c r="M115" s="424" t="s">
        <v>1571</v>
      </c>
      <c r="N115" s="438"/>
      <c r="O115" s="417" t="s">
        <v>1513</v>
      </c>
    </row>
    <row r="116" spans="1:15" ht="28.5" customHeight="1" x14ac:dyDescent="0.25">
      <c r="A116" s="401">
        <v>111</v>
      </c>
      <c r="B116" s="404" t="s">
        <v>1065</v>
      </c>
      <c r="C116" s="418" t="s">
        <v>1572</v>
      </c>
      <c r="D116" s="404" t="s">
        <v>167</v>
      </c>
      <c r="E116" s="404" t="s">
        <v>120</v>
      </c>
      <c r="F116" s="404" t="s">
        <v>1236</v>
      </c>
      <c r="G116" s="405" t="s">
        <v>21</v>
      </c>
      <c r="H116" s="405"/>
      <c r="I116" s="437">
        <v>45463</v>
      </c>
      <c r="J116" s="404" t="s">
        <v>1053</v>
      </c>
      <c r="K116" s="405" t="s">
        <v>1422</v>
      </c>
      <c r="L116" s="405"/>
      <c r="M116" s="424"/>
      <c r="N116" s="445" t="s">
        <v>1573</v>
      </c>
      <c r="O116" s="417" t="s">
        <v>1318</v>
      </c>
    </row>
    <row r="117" spans="1:15" ht="27.95" x14ac:dyDescent="0.3">
      <c r="A117" s="401">
        <v>112</v>
      </c>
      <c r="B117" s="404" t="s">
        <v>1574</v>
      </c>
      <c r="C117" s="418" t="s">
        <v>1575</v>
      </c>
      <c r="D117" s="404" t="s">
        <v>178</v>
      </c>
      <c r="E117" s="404" t="s">
        <v>1235</v>
      </c>
      <c r="F117" s="404" t="s">
        <v>1236</v>
      </c>
      <c r="G117" s="405" t="s">
        <v>214</v>
      </c>
      <c r="H117" s="405"/>
      <c r="I117" s="437">
        <v>45426</v>
      </c>
      <c r="J117" s="431" t="s">
        <v>1053</v>
      </c>
      <c r="K117" s="405" t="s">
        <v>1238</v>
      </c>
      <c r="L117" s="405"/>
      <c r="M117" s="424"/>
      <c r="N117" s="414" t="s">
        <v>1576</v>
      </c>
    </row>
    <row r="118" spans="1:15" ht="27.95" x14ac:dyDescent="0.3">
      <c r="A118" s="401">
        <v>113</v>
      </c>
      <c r="B118" s="404" t="s">
        <v>1577</v>
      </c>
      <c r="C118" s="418" t="s">
        <v>1578</v>
      </c>
      <c r="D118" s="404" t="s">
        <v>290</v>
      </c>
      <c r="E118" s="404" t="s">
        <v>120</v>
      </c>
      <c r="F118" s="404" t="s">
        <v>1236</v>
      </c>
      <c r="G118" s="405" t="s">
        <v>214</v>
      </c>
      <c r="H118" s="405"/>
      <c r="I118" s="437">
        <v>45446</v>
      </c>
      <c r="J118" s="431" t="s">
        <v>1053</v>
      </c>
      <c r="K118" s="405" t="s">
        <v>1238</v>
      </c>
      <c r="L118" s="405"/>
      <c r="M118" s="424"/>
      <c r="N118" s="414" t="s">
        <v>1579</v>
      </c>
    </row>
    <row r="119" spans="1:15" ht="14" x14ac:dyDescent="0.25">
      <c r="A119" s="401">
        <v>114</v>
      </c>
      <c r="B119" s="404" t="s">
        <v>1580</v>
      </c>
      <c r="C119" s="418" t="s">
        <v>1581</v>
      </c>
      <c r="D119" s="404" t="s">
        <v>178</v>
      </c>
      <c r="E119" s="404" t="s">
        <v>120</v>
      </c>
      <c r="F119" s="404" t="s">
        <v>1236</v>
      </c>
      <c r="G119" s="405" t="s">
        <v>18</v>
      </c>
      <c r="H119" s="405"/>
      <c r="I119" s="437">
        <v>45478</v>
      </c>
      <c r="J119" s="404" t="s">
        <v>1296</v>
      </c>
      <c r="K119" s="405" t="s">
        <v>1238</v>
      </c>
      <c r="L119" s="405" t="s">
        <v>1511</v>
      </c>
      <c r="M119" s="424" t="s">
        <v>1582</v>
      </c>
      <c r="N119" s="414"/>
      <c r="O119" s="417" t="s">
        <v>1513</v>
      </c>
    </row>
    <row r="120" spans="1:15" ht="14" x14ac:dyDescent="0.25">
      <c r="A120" s="401">
        <v>115</v>
      </c>
      <c r="B120" s="404" t="s">
        <v>1583</v>
      </c>
      <c r="C120" s="418" t="s">
        <v>1584</v>
      </c>
      <c r="D120" s="404" t="s">
        <v>167</v>
      </c>
      <c r="E120" s="404" t="s">
        <v>1235</v>
      </c>
      <c r="F120" s="404" t="s">
        <v>1304</v>
      </c>
      <c r="G120" s="405" t="s">
        <v>56</v>
      </c>
      <c r="H120" s="405"/>
      <c r="I120" s="437">
        <v>45478</v>
      </c>
      <c r="J120" s="404" t="s">
        <v>1296</v>
      </c>
      <c r="K120" s="405" t="s">
        <v>1238</v>
      </c>
      <c r="L120" s="405" t="s">
        <v>1559</v>
      </c>
      <c r="M120" s="424" t="s">
        <v>1585</v>
      </c>
      <c r="N120" s="414"/>
      <c r="O120" s="417" t="s">
        <v>1513</v>
      </c>
    </row>
    <row r="121" spans="1:15" ht="27.95" x14ac:dyDescent="0.3">
      <c r="A121" s="401">
        <v>116</v>
      </c>
      <c r="B121" s="404" t="s">
        <v>1586</v>
      </c>
      <c r="C121" s="418" t="s">
        <v>1578</v>
      </c>
      <c r="D121" s="404" t="s">
        <v>290</v>
      </c>
      <c r="E121" s="404" t="s">
        <v>120</v>
      </c>
      <c r="F121" s="404" t="s">
        <v>1321</v>
      </c>
      <c r="G121" s="405" t="s">
        <v>57</v>
      </c>
      <c r="H121" s="405"/>
      <c r="I121" s="437">
        <v>45454</v>
      </c>
      <c r="J121" s="431" t="s">
        <v>1053</v>
      </c>
      <c r="K121" s="405" t="s">
        <v>1238</v>
      </c>
      <c r="L121" s="405"/>
      <c r="M121" s="424"/>
      <c r="N121" s="414" t="s">
        <v>1587</v>
      </c>
    </row>
    <row r="122" spans="1:15" ht="14" x14ac:dyDescent="0.3">
      <c r="A122" s="401">
        <v>117</v>
      </c>
      <c r="B122" s="404" t="s">
        <v>1588</v>
      </c>
      <c r="C122" s="418" t="s">
        <v>1567</v>
      </c>
      <c r="D122" s="404" t="s">
        <v>171</v>
      </c>
      <c r="E122" s="404" t="s">
        <v>120</v>
      </c>
      <c r="F122" s="404" t="s">
        <v>1236</v>
      </c>
      <c r="G122" s="405" t="s">
        <v>17</v>
      </c>
      <c r="H122" s="405"/>
      <c r="I122" s="446">
        <v>45474</v>
      </c>
      <c r="J122" s="431" t="s">
        <v>1053</v>
      </c>
      <c r="K122" s="405" t="s">
        <v>1238</v>
      </c>
      <c r="L122" s="405" t="s">
        <v>1589</v>
      </c>
      <c r="M122" s="404" t="s">
        <v>1590</v>
      </c>
      <c r="N122" s="410"/>
      <c r="O122" s="417" t="s">
        <v>1318</v>
      </c>
    </row>
    <row r="123" spans="1:15" ht="14" x14ac:dyDescent="0.3">
      <c r="A123" s="401">
        <v>118</v>
      </c>
      <c r="B123" s="404" t="s">
        <v>1115</v>
      </c>
      <c r="C123" s="418" t="s">
        <v>1591</v>
      </c>
      <c r="D123" s="404" t="s">
        <v>171</v>
      </c>
      <c r="E123" s="404" t="s">
        <v>120</v>
      </c>
      <c r="F123" s="404" t="s">
        <v>1236</v>
      </c>
      <c r="G123" s="405" t="s">
        <v>1592</v>
      </c>
      <c r="H123" s="405"/>
      <c r="I123" s="437">
        <v>45526</v>
      </c>
      <c r="J123" s="431" t="s">
        <v>1053</v>
      </c>
      <c r="K123" s="405" t="s">
        <v>1238</v>
      </c>
      <c r="L123" s="405" t="s">
        <v>1589</v>
      </c>
      <c r="M123" s="404" t="s">
        <v>1593</v>
      </c>
      <c r="N123" s="414"/>
      <c r="O123" s="417" t="s">
        <v>1318</v>
      </c>
    </row>
    <row r="124" spans="1:15" ht="14" x14ac:dyDescent="0.3">
      <c r="A124" s="401">
        <v>119</v>
      </c>
      <c r="B124" s="404" t="s">
        <v>1594</v>
      </c>
      <c r="C124" s="418" t="s">
        <v>1595</v>
      </c>
      <c r="D124" s="404" t="s">
        <v>178</v>
      </c>
      <c r="E124" s="404" t="s">
        <v>120</v>
      </c>
      <c r="F124" s="404" t="s">
        <v>1236</v>
      </c>
      <c r="G124" s="405" t="s">
        <v>33</v>
      </c>
      <c r="H124" s="405"/>
      <c r="I124" s="437">
        <v>45505</v>
      </c>
      <c r="J124" s="431" t="s">
        <v>1053</v>
      </c>
      <c r="K124" s="405" t="s">
        <v>1238</v>
      </c>
      <c r="L124" s="424" t="s">
        <v>1414</v>
      </c>
      <c r="M124" s="424" t="s">
        <v>1596</v>
      </c>
      <c r="N124" s="414"/>
      <c r="O124" s="417" t="s">
        <v>1318</v>
      </c>
    </row>
    <row r="125" spans="1:15" ht="27.95" x14ac:dyDescent="0.25">
      <c r="A125" s="401">
        <v>120</v>
      </c>
      <c r="B125" s="404" t="s">
        <v>1287</v>
      </c>
      <c r="C125" s="418" t="s">
        <v>1597</v>
      </c>
      <c r="D125" s="404" t="s">
        <v>167</v>
      </c>
      <c r="E125" s="404" t="s">
        <v>120</v>
      </c>
      <c r="F125" s="404" t="s">
        <v>1236</v>
      </c>
      <c r="G125" s="405" t="s">
        <v>46</v>
      </c>
      <c r="H125" s="405"/>
      <c r="I125" s="437">
        <v>45537</v>
      </c>
      <c r="J125" s="404" t="s">
        <v>1533</v>
      </c>
      <c r="K125" s="405" t="s">
        <v>1238</v>
      </c>
      <c r="L125" s="405" t="s">
        <v>1598</v>
      </c>
      <c r="M125" s="424"/>
      <c r="N125" s="414" t="s">
        <v>1599</v>
      </c>
    </row>
    <row r="126" spans="1:15" ht="14" x14ac:dyDescent="0.25">
      <c r="A126" s="401">
        <v>121</v>
      </c>
      <c r="B126" s="404" t="s">
        <v>430</v>
      </c>
      <c r="C126" s="447" t="s">
        <v>1600</v>
      </c>
      <c r="D126" s="404" t="s">
        <v>171</v>
      </c>
      <c r="E126" s="404" t="s">
        <v>1235</v>
      </c>
      <c r="F126" s="404" t="s">
        <v>1236</v>
      </c>
      <c r="G126" s="405" t="s">
        <v>214</v>
      </c>
      <c r="H126" s="405" t="s">
        <v>1601</v>
      </c>
      <c r="I126" s="406">
        <v>45548</v>
      </c>
      <c r="J126" s="405" t="s">
        <v>1041</v>
      </c>
      <c r="K126" s="405" t="s">
        <v>1238</v>
      </c>
      <c r="L126" s="405" t="s">
        <v>1602</v>
      </c>
      <c r="M126" s="404" t="s">
        <v>1603</v>
      </c>
      <c r="N126" s="410"/>
      <c r="O126" s="417"/>
    </row>
    <row r="127" spans="1:15" ht="27.95" x14ac:dyDescent="0.3">
      <c r="A127" s="401">
        <v>122</v>
      </c>
      <c r="B127" s="404" t="s">
        <v>432</v>
      </c>
      <c r="C127" s="447" t="s">
        <v>1604</v>
      </c>
      <c r="D127" s="404" t="s">
        <v>171</v>
      </c>
      <c r="E127" s="404" t="s">
        <v>1235</v>
      </c>
      <c r="F127" s="404" t="s">
        <v>1236</v>
      </c>
      <c r="G127" s="405" t="s">
        <v>214</v>
      </c>
      <c r="H127" s="405" t="s">
        <v>1605</v>
      </c>
      <c r="I127" s="446">
        <v>45569</v>
      </c>
      <c r="J127" s="431" t="s">
        <v>1053</v>
      </c>
      <c r="K127" s="405" t="s">
        <v>1238</v>
      </c>
      <c r="L127" s="405" t="s">
        <v>1606</v>
      </c>
      <c r="M127" s="404" t="s">
        <v>1607</v>
      </c>
      <c r="N127" s="410"/>
      <c r="O127" s="417"/>
    </row>
    <row r="128" spans="1:15" ht="14" x14ac:dyDescent="0.3">
      <c r="A128" s="401">
        <v>123</v>
      </c>
      <c r="B128" s="404" t="s">
        <v>1608</v>
      </c>
      <c r="C128" s="447" t="s">
        <v>1609</v>
      </c>
      <c r="D128" s="404" t="s">
        <v>171</v>
      </c>
      <c r="E128" s="404" t="s">
        <v>120</v>
      </c>
      <c r="F128" s="404" t="s">
        <v>1506</v>
      </c>
      <c r="G128" s="405" t="s">
        <v>55</v>
      </c>
      <c r="H128" s="405"/>
      <c r="I128" s="446">
        <v>45653</v>
      </c>
      <c r="J128" s="431" t="s">
        <v>1296</v>
      </c>
      <c r="K128" s="405" t="s">
        <v>1422</v>
      </c>
      <c r="L128" s="405"/>
      <c r="M128" s="405"/>
      <c r="N128" s="410"/>
      <c r="O128" s="417"/>
    </row>
    <row r="129" spans="1:15" ht="14" x14ac:dyDescent="0.3">
      <c r="A129" s="401">
        <v>124</v>
      </c>
      <c r="B129" s="404" t="s">
        <v>1610</v>
      </c>
      <c r="C129" s="447" t="s">
        <v>1611</v>
      </c>
      <c r="D129" s="404" t="s">
        <v>213</v>
      </c>
      <c r="E129" s="404" t="s">
        <v>1235</v>
      </c>
      <c r="F129" s="404" t="s">
        <v>1236</v>
      </c>
      <c r="G129" s="405" t="s">
        <v>691</v>
      </c>
      <c r="H129" s="405" t="s">
        <v>1612</v>
      </c>
      <c r="I129" s="446">
        <v>45747</v>
      </c>
      <c r="J129" s="431" t="s">
        <v>1053</v>
      </c>
      <c r="K129" s="405" t="s">
        <v>1422</v>
      </c>
      <c r="L129" s="405"/>
      <c r="M129" s="405"/>
      <c r="N129" s="410"/>
      <c r="O129" s="417"/>
    </row>
    <row r="130" spans="1:15" ht="14" x14ac:dyDescent="0.3">
      <c r="A130" s="401">
        <v>125</v>
      </c>
      <c r="B130" s="404" t="s">
        <v>1613</v>
      </c>
      <c r="C130" s="448" t="s">
        <v>1614</v>
      </c>
      <c r="D130" s="404" t="s">
        <v>171</v>
      </c>
      <c r="E130" s="404" t="s">
        <v>1235</v>
      </c>
      <c r="F130" s="404" t="s">
        <v>1236</v>
      </c>
      <c r="G130" s="405" t="s">
        <v>1615</v>
      </c>
      <c r="H130" s="405"/>
      <c r="I130" s="446">
        <v>45799</v>
      </c>
      <c r="J130" s="431" t="s">
        <v>1053</v>
      </c>
      <c r="K130" s="405" t="s">
        <v>1422</v>
      </c>
      <c r="L130" s="405"/>
      <c r="M130" s="405"/>
      <c r="N130" s="410"/>
      <c r="O130" s="417"/>
    </row>
    <row r="131" spans="1:15" ht="14" x14ac:dyDescent="0.3">
      <c r="A131" s="401">
        <v>125</v>
      </c>
      <c r="B131" s="404" t="s">
        <v>1616</v>
      </c>
      <c r="C131" s="448" t="s">
        <v>1617</v>
      </c>
      <c r="D131" s="404" t="s">
        <v>178</v>
      </c>
      <c r="E131" s="404" t="s">
        <v>120</v>
      </c>
      <c r="F131" s="404" t="s">
        <v>1236</v>
      </c>
      <c r="G131" s="405" t="s">
        <v>1277</v>
      </c>
      <c r="H131" s="405"/>
      <c r="I131" s="446">
        <v>45786</v>
      </c>
      <c r="J131" s="431" t="s">
        <v>1053</v>
      </c>
      <c r="K131" s="405" t="s">
        <v>1238</v>
      </c>
      <c r="L131" s="405" t="s">
        <v>1460</v>
      </c>
      <c r="M131" s="404" t="s">
        <v>1618</v>
      </c>
      <c r="N131" s="410"/>
      <c r="O131" s="417"/>
    </row>
    <row r="132" spans="1:15" ht="14" x14ac:dyDescent="0.3">
      <c r="A132" s="401">
        <v>126</v>
      </c>
      <c r="B132" s="449" t="s">
        <v>1619</v>
      </c>
      <c r="C132" s="448" t="s">
        <v>1620</v>
      </c>
      <c r="D132" s="449" t="s">
        <v>171</v>
      </c>
      <c r="E132" s="449"/>
      <c r="F132" s="449"/>
      <c r="G132" s="450"/>
      <c r="H132" s="450"/>
      <c r="I132" s="451">
        <v>45453</v>
      </c>
      <c r="J132" s="452" t="s">
        <v>1296</v>
      </c>
      <c r="K132" s="450" t="s">
        <v>1238</v>
      </c>
      <c r="L132" s="405" t="s">
        <v>1621</v>
      </c>
      <c r="M132" s="404" t="s">
        <v>1622</v>
      </c>
      <c r="N132" s="453"/>
    </row>
    <row r="133" spans="1:15" ht="14" x14ac:dyDescent="0.3">
      <c r="A133" s="401">
        <v>125</v>
      </c>
      <c r="B133" s="404" t="s">
        <v>1623</v>
      </c>
      <c r="C133" s="448" t="s">
        <v>1624</v>
      </c>
      <c r="D133" s="404" t="s">
        <v>213</v>
      </c>
      <c r="E133" s="404" t="s">
        <v>1235</v>
      </c>
      <c r="F133" s="404" t="s">
        <v>1236</v>
      </c>
      <c r="G133" s="405" t="s">
        <v>1615</v>
      </c>
      <c r="H133" s="405" t="s">
        <v>1612</v>
      </c>
      <c r="I133" s="446">
        <v>45820</v>
      </c>
      <c r="J133" s="431" t="s">
        <v>1041</v>
      </c>
      <c r="K133" s="405" t="s">
        <v>1238</v>
      </c>
      <c r="L133" s="405" t="s">
        <v>1625</v>
      </c>
      <c r="M133" s="405" t="s">
        <v>715</v>
      </c>
      <c r="N133" s="410"/>
      <c r="O133" s="417"/>
    </row>
    <row r="134" spans="1:15" ht="14" x14ac:dyDescent="0.3">
      <c r="A134" s="401">
        <v>125</v>
      </c>
      <c r="B134" s="404" t="s">
        <v>1342</v>
      </c>
      <c r="C134" s="448" t="s">
        <v>1626</v>
      </c>
      <c r="D134" s="404" t="s">
        <v>213</v>
      </c>
      <c r="E134" s="404" t="s">
        <v>1235</v>
      </c>
      <c r="F134" s="404" t="s">
        <v>1236</v>
      </c>
      <c r="G134" s="405" t="s">
        <v>1615</v>
      </c>
      <c r="H134" s="405" t="s">
        <v>1612</v>
      </c>
      <c r="I134" s="446">
        <v>45830</v>
      </c>
      <c r="J134" s="431" t="s">
        <v>1041</v>
      </c>
      <c r="K134" s="405" t="s">
        <v>1238</v>
      </c>
      <c r="L134" s="405" t="s">
        <v>1419</v>
      </c>
      <c r="M134" s="405" t="s">
        <v>1420</v>
      </c>
      <c r="N134" s="410"/>
      <c r="O134" s="417"/>
    </row>
    <row r="136" spans="1:15" ht="13.45" x14ac:dyDescent="0.25">
      <c r="A136" s="616"/>
      <c r="B136" s="616"/>
      <c r="C136" s="616"/>
      <c r="D136" s="616"/>
      <c r="E136" s="616"/>
      <c r="F136" s="616"/>
      <c r="G136" s="616"/>
      <c r="H136" s="616"/>
      <c r="I136" s="616"/>
      <c r="J136" s="616"/>
      <c r="K136" s="616"/>
      <c r="L136" s="616"/>
      <c r="M136" s="616"/>
      <c r="N136" s="616"/>
    </row>
    <row r="137" spans="1:15" ht="15.05" customHeight="1" x14ac:dyDescent="0.25">
      <c r="A137" s="616"/>
      <c r="B137" s="616"/>
      <c r="C137" s="616"/>
      <c r="D137" s="616"/>
      <c r="E137" s="616"/>
      <c r="F137" s="616"/>
      <c r="G137" s="616"/>
      <c r="H137" s="616"/>
      <c r="I137" s="616"/>
      <c r="J137" s="616"/>
      <c r="K137" s="616"/>
      <c r="L137" s="616"/>
      <c r="M137" s="616"/>
      <c r="N137" s="616"/>
    </row>
    <row r="138" spans="1:15" ht="15.05" customHeight="1" x14ac:dyDescent="0.25">
      <c r="A138" s="616"/>
      <c r="B138" s="616"/>
      <c r="C138" s="616"/>
      <c r="D138" s="616"/>
      <c r="E138" s="616"/>
      <c r="F138" s="616"/>
      <c r="G138" s="616"/>
      <c r="H138" s="616"/>
      <c r="I138" s="616"/>
      <c r="J138" s="616"/>
      <c r="K138" s="616"/>
      <c r="L138" s="616"/>
      <c r="M138" s="616"/>
      <c r="N138" s="616"/>
    </row>
    <row r="139" spans="1:15" ht="15.05" customHeight="1" x14ac:dyDescent="0.25">
      <c r="A139" s="616"/>
      <c r="B139" s="616"/>
      <c r="C139" s="616"/>
      <c r="D139" s="616"/>
      <c r="E139" s="616"/>
      <c r="F139" s="616"/>
      <c r="G139" s="616"/>
      <c r="H139" s="616"/>
      <c r="I139" s="616"/>
      <c r="J139" s="616"/>
      <c r="K139" s="616"/>
      <c r="L139" s="616"/>
      <c r="M139" s="616"/>
      <c r="N139" s="616"/>
    </row>
    <row r="140" spans="1:15" ht="15.05" customHeight="1" x14ac:dyDescent="0.25">
      <c r="A140" s="616"/>
      <c r="B140" s="616"/>
      <c r="C140" s="616"/>
      <c r="D140" s="616"/>
      <c r="E140" s="616"/>
      <c r="F140" s="616"/>
      <c r="G140" s="616"/>
      <c r="H140" s="616"/>
      <c r="I140" s="616"/>
      <c r="J140" s="616"/>
      <c r="K140" s="616"/>
      <c r="L140" s="616"/>
      <c r="M140" s="616"/>
      <c r="N140" s="616"/>
    </row>
    <row r="141" spans="1:15" ht="15.05" customHeight="1" x14ac:dyDescent="0.25">
      <c r="A141" s="616"/>
      <c r="B141" s="616"/>
      <c r="C141" s="616"/>
      <c r="D141" s="616"/>
      <c r="E141" s="616"/>
      <c r="F141" s="616"/>
      <c r="G141" s="616"/>
      <c r="H141" s="616"/>
      <c r="I141" s="616"/>
      <c r="J141" s="616"/>
      <c r="K141" s="616"/>
      <c r="L141" s="616"/>
      <c r="M141" s="616"/>
      <c r="N141" s="616"/>
    </row>
    <row r="142" spans="1:15" ht="14" x14ac:dyDescent="0.25">
      <c r="A142" s="305"/>
      <c r="B142" s="454" t="s">
        <v>1627</v>
      </c>
      <c r="C142" s="455">
        <f>COUNTIFS(D8:D131,"AJAJ",K8:K131,"VAGO")</f>
        <v>0</v>
      </c>
      <c r="D142" s="306"/>
      <c r="E142" s="456"/>
      <c r="F142" s="456"/>
      <c r="G142" s="456"/>
      <c r="H142" s="301"/>
      <c r="I142" s="617"/>
      <c r="J142" s="617"/>
      <c r="K142" s="617"/>
      <c r="L142" s="306"/>
      <c r="M142" s="306"/>
      <c r="N142" s="306"/>
    </row>
    <row r="143" spans="1:15" ht="27.95" x14ac:dyDescent="0.25">
      <c r="A143" s="305"/>
      <c r="B143" s="454" t="s">
        <v>1628</v>
      </c>
      <c r="C143" s="455">
        <f>COUNTIFS(D8:D131,"AJOJ",K8:K131,"VAGO")</f>
        <v>0</v>
      </c>
      <c r="D143" s="306"/>
      <c r="E143" s="456"/>
      <c r="F143" s="456"/>
      <c r="G143" s="456"/>
      <c r="H143" s="301"/>
      <c r="I143" s="617"/>
      <c r="J143" s="617"/>
      <c r="K143" s="617"/>
      <c r="L143" s="617"/>
      <c r="M143" s="617"/>
      <c r="N143" s="617"/>
    </row>
    <row r="144" spans="1:15" ht="14" x14ac:dyDescent="0.25">
      <c r="A144" s="305"/>
      <c r="B144" s="454" t="s">
        <v>1629</v>
      </c>
      <c r="C144" s="455">
        <v>0</v>
      </c>
      <c r="D144" s="306"/>
      <c r="E144" s="456"/>
      <c r="F144" s="456"/>
      <c r="G144" s="456"/>
      <c r="H144" s="301"/>
      <c r="I144" s="617"/>
      <c r="J144" s="617"/>
      <c r="K144" s="617"/>
      <c r="L144" s="617"/>
      <c r="M144" s="306"/>
      <c r="N144" s="306"/>
    </row>
    <row r="145" spans="1:14" ht="27.95" x14ac:dyDescent="0.25">
      <c r="A145" s="305"/>
      <c r="B145" s="454" t="s">
        <v>1630</v>
      </c>
      <c r="C145" s="455">
        <v>0</v>
      </c>
      <c r="D145" s="306"/>
      <c r="E145" s="456"/>
      <c r="F145" s="456"/>
      <c r="G145" s="456"/>
      <c r="H145" s="301"/>
      <c r="I145" s="617"/>
      <c r="J145" s="617"/>
      <c r="K145" s="306"/>
      <c r="L145" s="306"/>
      <c r="M145" s="306"/>
      <c r="N145" s="306"/>
    </row>
    <row r="146" spans="1:14" ht="27.95" x14ac:dyDescent="0.25">
      <c r="A146" s="305"/>
      <c r="B146" s="454" t="s">
        <v>1631</v>
      </c>
      <c r="C146" s="455">
        <f>COUNTIFS(D8:D131,"AJ-INFRAESTRUTURA",K8:K131,"VAGO")</f>
        <v>0</v>
      </c>
      <c r="D146" s="306"/>
      <c r="E146" s="456"/>
      <c r="F146" s="456"/>
      <c r="G146" s="456"/>
      <c r="H146" s="301"/>
      <c r="I146" s="617"/>
      <c r="J146" s="617"/>
      <c r="K146" s="306"/>
      <c r="L146" s="306"/>
      <c r="M146" s="306"/>
      <c r="N146" s="306"/>
    </row>
    <row r="147" spans="1:14" ht="27.95" x14ac:dyDescent="0.25">
      <c r="A147" s="305"/>
      <c r="B147" s="454" t="s">
        <v>1632</v>
      </c>
      <c r="C147" s="455">
        <f>COUNTIFS(D8:D123,"AJ-DESENVOLVIMENTO",K8:K123,"VAGO")</f>
        <v>0</v>
      </c>
      <c r="D147" s="306"/>
      <c r="E147" s="456"/>
      <c r="F147" s="456"/>
      <c r="G147" s="456"/>
      <c r="H147" s="301"/>
      <c r="I147" s="617"/>
      <c r="J147" s="617"/>
      <c r="K147" s="306"/>
      <c r="L147" s="306"/>
      <c r="M147" s="306"/>
      <c r="N147" s="306"/>
    </row>
    <row r="148" spans="1:14" ht="27.95" x14ac:dyDescent="0.25">
      <c r="A148" s="305"/>
      <c r="B148" s="454" t="s">
        <v>1633</v>
      </c>
      <c r="C148" s="455">
        <f>COUNTIFS(D8:D131,"AJ-CONTADOR",K8:K131,"VAGO")</f>
        <v>0</v>
      </c>
      <c r="D148" s="306"/>
      <c r="E148" s="456"/>
      <c r="F148" s="456"/>
      <c r="G148" s="456"/>
      <c r="H148" s="306"/>
      <c r="I148" s="306"/>
      <c r="J148" s="306"/>
      <c r="K148" s="306"/>
      <c r="L148" s="306"/>
      <c r="M148" s="306"/>
      <c r="N148" s="306"/>
    </row>
    <row r="149" spans="1:14" ht="27.95" x14ac:dyDescent="0.25">
      <c r="A149" s="305"/>
      <c r="B149" s="454" t="s">
        <v>1634</v>
      </c>
      <c r="C149" s="455">
        <v>1</v>
      </c>
      <c r="D149" s="306"/>
      <c r="E149" s="456"/>
      <c r="F149" s="456"/>
      <c r="G149" s="456"/>
      <c r="H149" s="306"/>
      <c r="I149" s="306"/>
      <c r="J149" s="306"/>
      <c r="K149" s="306"/>
      <c r="L149" s="306"/>
      <c r="M149" s="306"/>
      <c r="N149" s="306"/>
    </row>
    <row r="150" spans="1:14" ht="27.95" x14ac:dyDescent="0.25">
      <c r="A150" s="305"/>
      <c r="B150" s="454" t="s">
        <v>1635</v>
      </c>
      <c r="C150" s="455">
        <f>COUNTIFS(D8:D131,"AJ-ENGENHARIA CIVIL",K8:K131,"VAGO")</f>
        <v>0</v>
      </c>
      <c r="D150" s="306"/>
      <c r="E150" s="456"/>
      <c r="F150" s="456"/>
      <c r="G150" s="456"/>
      <c r="H150" s="306"/>
      <c r="I150" s="306"/>
      <c r="J150" s="306"/>
      <c r="K150" s="306"/>
      <c r="L150" s="306"/>
      <c r="M150" s="306"/>
      <c r="N150" s="306"/>
    </row>
    <row r="151" spans="1:14" ht="27.95" x14ac:dyDescent="0.25">
      <c r="A151" s="305"/>
      <c r="B151" s="454" t="s">
        <v>1636</v>
      </c>
      <c r="C151" s="455">
        <f>COUNTIFS(D9:D132,"AJ-ENGENHARIA CIVIL",K9:K132,"VAGO")</f>
        <v>0</v>
      </c>
      <c r="D151" s="306"/>
      <c r="E151" s="456"/>
      <c r="F151" s="456"/>
      <c r="G151" s="456"/>
      <c r="H151" s="306"/>
      <c r="I151" s="306"/>
      <c r="J151" s="306"/>
      <c r="K151" s="306"/>
      <c r="L151" s="306"/>
      <c r="M151" s="306"/>
      <c r="N151" s="306"/>
    </row>
    <row r="152" spans="1:14" ht="14" x14ac:dyDescent="0.25">
      <c r="A152" s="305"/>
      <c r="B152" s="454" t="s">
        <v>1637</v>
      </c>
      <c r="C152" s="455">
        <f>COUNTIFS(D10:D136,"TJAA",K10:K136,"VAGO")</f>
        <v>2</v>
      </c>
      <c r="D152" s="306"/>
      <c r="E152" s="456"/>
      <c r="F152" s="456"/>
      <c r="G152" s="456"/>
      <c r="H152" s="306"/>
      <c r="I152" s="306"/>
      <c r="J152" s="457"/>
      <c r="K152" s="306"/>
      <c r="L152" s="306"/>
      <c r="M152" s="306"/>
      <c r="N152" s="306"/>
    </row>
    <row r="153" spans="1:14" ht="27.95" x14ac:dyDescent="0.25">
      <c r="A153" s="305"/>
      <c r="B153" s="454" t="s">
        <v>1638</v>
      </c>
      <c r="C153" s="455">
        <f>COUNTIFS(D8:D131,"TJAS",K8:K131,"VAGO")</f>
        <v>1</v>
      </c>
      <c r="D153" s="306"/>
      <c r="E153" s="456"/>
      <c r="F153" s="456"/>
      <c r="G153" s="456"/>
      <c r="H153" s="306"/>
      <c r="I153" s="306"/>
      <c r="J153" s="306"/>
      <c r="K153" s="306"/>
      <c r="L153" s="306"/>
      <c r="M153" s="306"/>
      <c r="N153" s="306"/>
    </row>
    <row r="154" spans="1:14" ht="27.95" x14ac:dyDescent="0.25">
      <c r="A154" s="305"/>
      <c r="B154" s="454" t="s">
        <v>1639</v>
      </c>
      <c r="C154" s="455">
        <f>COUNTIFS(D8:D131,"TJ-INFORMÁTICA",K8:K131,"VAGO")</f>
        <v>1</v>
      </c>
      <c r="D154" s="306"/>
      <c r="E154" s="456"/>
      <c r="F154" s="456"/>
      <c r="G154" s="456"/>
      <c r="H154" s="306"/>
      <c r="I154" s="306"/>
      <c r="J154" s="306"/>
      <c r="K154" s="306"/>
      <c r="L154" s="306"/>
      <c r="M154" s="306"/>
      <c r="N154" s="306"/>
    </row>
    <row r="155" spans="1:14" ht="15.6" x14ac:dyDescent="0.25">
      <c r="A155" s="305"/>
      <c r="B155" s="458" t="s">
        <v>1640</v>
      </c>
      <c r="C155" s="459">
        <f>SUM(C142:C154)</f>
        <v>5</v>
      </c>
      <c r="D155" s="306"/>
      <c r="E155" s="456"/>
      <c r="F155" s="456"/>
      <c r="G155" s="456"/>
      <c r="H155" s="306"/>
      <c r="I155" s="306"/>
      <c r="J155" s="306"/>
      <c r="K155" s="306"/>
      <c r="L155" s="306"/>
      <c r="M155" s="306"/>
      <c r="N155" s="306"/>
    </row>
    <row r="156" spans="1:14" ht="15.6" x14ac:dyDescent="0.25">
      <c r="A156" s="305"/>
      <c r="B156" s="458" t="s">
        <v>1641</v>
      </c>
      <c r="C156" s="459">
        <f>COUNTIF(K8:K112,"A SER PROVIDO")</f>
        <v>0</v>
      </c>
      <c r="D156" s="306"/>
      <c r="E156" s="456"/>
      <c r="F156" s="456"/>
      <c r="G156" s="456"/>
      <c r="H156" s="306"/>
      <c r="I156" s="306"/>
      <c r="J156" s="306"/>
      <c r="K156" s="306"/>
      <c r="L156" s="306"/>
      <c r="M156" s="306"/>
      <c r="N156" s="306"/>
    </row>
    <row r="157" spans="1:14" ht="15.6" x14ac:dyDescent="0.25">
      <c r="A157" s="305"/>
      <c r="B157" s="458" t="s">
        <v>115</v>
      </c>
      <c r="C157" s="459">
        <f>SUM(C155,C156)</f>
        <v>5</v>
      </c>
      <c r="D157" s="306"/>
      <c r="E157" s="456"/>
      <c r="F157" s="456"/>
      <c r="G157" s="456"/>
      <c r="H157" s="306"/>
      <c r="I157" s="306"/>
      <c r="J157" s="306"/>
      <c r="K157" s="306"/>
      <c r="L157" s="306"/>
      <c r="M157" s="306"/>
      <c r="N157" s="306"/>
    </row>
    <row r="158" spans="1:14" ht="14" x14ac:dyDescent="0.25">
      <c r="A158" s="305"/>
      <c r="B158" s="164"/>
      <c r="C158" s="460"/>
      <c r="D158" s="306"/>
      <c r="E158" s="456"/>
      <c r="F158" s="456"/>
      <c r="G158" s="456"/>
      <c r="H158" s="306"/>
      <c r="I158" s="306"/>
      <c r="J158" s="306"/>
      <c r="K158" s="306"/>
      <c r="L158" s="306"/>
      <c r="M158" s="306"/>
      <c r="N158" s="306"/>
    </row>
    <row r="159" spans="1:14" ht="14" x14ac:dyDescent="0.25">
      <c r="A159" s="305"/>
      <c r="B159" s="164"/>
      <c r="C159" s="460"/>
      <c r="D159" s="306"/>
      <c r="E159" s="456"/>
      <c r="F159" s="456"/>
      <c r="G159" s="456"/>
      <c r="H159" s="306"/>
      <c r="I159" s="306"/>
      <c r="J159" s="306"/>
      <c r="K159" s="306"/>
      <c r="L159" s="306"/>
      <c r="M159" s="306"/>
      <c r="N159" s="306"/>
    </row>
    <row r="160" spans="1:14" ht="14" x14ac:dyDescent="0.25">
      <c r="A160" s="305"/>
      <c r="B160" s="164"/>
      <c r="C160" s="460"/>
      <c r="D160" s="306"/>
      <c r="E160" s="456"/>
      <c r="F160" s="456"/>
      <c r="G160" s="456"/>
      <c r="H160" s="306"/>
      <c r="I160" s="306"/>
      <c r="J160" s="306"/>
      <c r="K160" s="306"/>
      <c r="L160" s="306"/>
      <c r="M160" s="306"/>
      <c r="N160" s="306"/>
    </row>
    <row r="161" spans="1:14" ht="14" x14ac:dyDescent="0.25">
      <c r="A161" s="305"/>
      <c r="B161" s="164"/>
      <c r="C161" s="460"/>
      <c r="D161" s="306"/>
      <c r="E161" s="456"/>
      <c r="F161" s="456"/>
      <c r="G161" s="456"/>
      <c r="H161" s="306"/>
      <c r="I161" s="306"/>
      <c r="J161" s="306"/>
      <c r="K161" s="306"/>
      <c r="L161" s="306"/>
      <c r="M161" s="306"/>
      <c r="N161" s="306"/>
    </row>
    <row r="162" spans="1:14" ht="14" x14ac:dyDescent="0.25">
      <c r="A162" s="305"/>
      <c r="B162" s="164"/>
      <c r="C162" s="460"/>
      <c r="D162" s="306"/>
      <c r="E162" s="456"/>
      <c r="F162" s="456"/>
      <c r="G162" s="456"/>
      <c r="H162" s="306"/>
      <c r="I162" s="306"/>
      <c r="J162" s="306"/>
      <c r="K162" s="306"/>
      <c r="L162" s="306"/>
      <c r="M162" s="306"/>
      <c r="N162" s="306"/>
    </row>
    <row r="163" spans="1:14" ht="14" x14ac:dyDescent="0.25">
      <c r="A163" s="305"/>
      <c r="B163" s="164"/>
      <c r="C163" s="460"/>
      <c r="D163" s="306"/>
      <c r="E163" s="456"/>
      <c r="F163" s="456"/>
      <c r="G163" s="456"/>
      <c r="H163" s="306"/>
      <c r="I163" s="306"/>
      <c r="J163" s="306"/>
      <c r="K163" s="306"/>
      <c r="L163" s="306"/>
      <c r="M163" s="306"/>
      <c r="N163" s="306"/>
    </row>
    <row r="164" spans="1:14" ht="14" x14ac:dyDescent="0.25">
      <c r="A164" s="305"/>
      <c r="B164" s="164"/>
      <c r="C164" s="460"/>
      <c r="D164" s="306"/>
      <c r="E164" s="456"/>
      <c r="F164" s="456"/>
      <c r="G164" s="456"/>
      <c r="H164" s="306"/>
      <c r="I164" s="306"/>
      <c r="J164" s="306"/>
      <c r="K164" s="306"/>
      <c r="L164" s="306"/>
      <c r="M164" s="306"/>
      <c r="N164" s="306"/>
    </row>
    <row r="165" spans="1:14" ht="14" x14ac:dyDescent="0.25">
      <c r="A165" s="305"/>
      <c r="B165" s="618" t="s">
        <v>1642</v>
      </c>
      <c r="C165" s="618"/>
      <c r="D165" s="306"/>
      <c r="E165" s="456"/>
      <c r="F165" s="456"/>
      <c r="G165" s="456"/>
      <c r="H165" s="306"/>
      <c r="I165" s="306"/>
      <c r="J165" s="306"/>
      <c r="K165" s="306"/>
      <c r="L165" s="306"/>
      <c r="M165" s="306"/>
      <c r="N165" s="306"/>
    </row>
    <row r="166" spans="1:14" ht="14" x14ac:dyDescent="0.25">
      <c r="A166" s="305"/>
      <c r="B166" s="401" t="s">
        <v>117</v>
      </c>
      <c r="C166" s="461" t="s">
        <v>1025</v>
      </c>
      <c r="D166" s="306"/>
      <c r="E166" s="456"/>
      <c r="F166" s="456"/>
      <c r="G166" s="456"/>
      <c r="H166" s="306"/>
      <c r="I166" s="306"/>
      <c r="J166" s="306"/>
      <c r="K166" s="306"/>
      <c r="L166" s="306"/>
      <c r="M166" s="306"/>
      <c r="N166" s="306"/>
    </row>
    <row r="167" spans="1:14" ht="14" x14ac:dyDescent="0.25">
      <c r="A167" s="305"/>
      <c r="B167" s="462" t="s">
        <v>1235</v>
      </c>
      <c r="C167" s="463">
        <f>COUNTIFS(E:E,"ADMINISTRATIVA",K:K,"VAGO")</f>
        <v>3</v>
      </c>
      <c r="D167" s="306"/>
      <c r="E167" s="456"/>
      <c r="F167" s="456"/>
      <c r="G167" s="456"/>
      <c r="H167" s="306"/>
      <c r="I167" s="306"/>
      <c r="J167" s="306"/>
      <c r="K167" s="306"/>
      <c r="L167" s="306"/>
      <c r="M167" s="306"/>
      <c r="N167" s="306"/>
    </row>
    <row r="168" spans="1:14" ht="14" x14ac:dyDescent="0.25">
      <c r="A168" s="305"/>
      <c r="B168" s="462" t="s">
        <v>1643</v>
      </c>
      <c r="C168" s="463">
        <f>COUNTIFS(E:E,"JUDICIÁRIA",K:K,"VAGO")</f>
        <v>2</v>
      </c>
      <c r="D168" s="306"/>
      <c r="E168" s="456"/>
      <c r="F168" s="456"/>
      <c r="G168" s="456"/>
      <c r="H168" s="306"/>
      <c r="I168" s="306"/>
      <c r="J168" s="306"/>
      <c r="K168" s="306"/>
      <c r="L168" s="306"/>
      <c r="M168" s="306"/>
      <c r="N168" s="306"/>
    </row>
    <row r="169" spans="1:14" ht="15.6" x14ac:dyDescent="0.25">
      <c r="A169" s="305"/>
      <c r="B169" s="401" t="s">
        <v>1640</v>
      </c>
      <c r="C169" s="464">
        <f>SUM(C167:C168)</f>
        <v>5</v>
      </c>
      <c r="D169" s="306"/>
      <c r="E169" s="456"/>
      <c r="F169" s="456"/>
      <c r="G169" s="456"/>
      <c r="H169" s="306"/>
      <c r="I169" s="306"/>
      <c r="J169" s="306"/>
      <c r="K169" s="306"/>
      <c r="L169" s="306"/>
      <c r="M169" s="306"/>
      <c r="N169" s="306"/>
    </row>
    <row r="170" spans="1:14" ht="14" x14ac:dyDescent="0.25">
      <c r="A170" s="305"/>
      <c r="B170" s="164"/>
      <c r="C170" s="460"/>
      <c r="D170" s="306"/>
      <c r="E170" s="456"/>
      <c r="F170" s="456"/>
      <c r="G170" s="456"/>
      <c r="H170" s="306"/>
      <c r="I170" s="306"/>
      <c r="J170" s="306"/>
      <c r="K170" s="306"/>
      <c r="L170" s="306"/>
      <c r="M170" s="306"/>
      <c r="N170" s="306"/>
    </row>
    <row r="171" spans="1:14" ht="14" x14ac:dyDescent="0.25">
      <c r="A171" s="305"/>
      <c r="B171" s="164"/>
      <c r="C171" s="460"/>
      <c r="D171" s="306"/>
      <c r="E171" s="456"/>
      <c r="F171" s="456"/>
      <c r="G171" s="456"/>
      <c r="H171" s="306"/>
      <c r="I171" s="306"/>
      <c r="J171" s="306"/>
      <c r="K171" s="306"/>
      <c r="L171" s="306"/>
      <c r="M171" s="306"/>
      <c r="N171" s="306"/>
    </row>
    <row r="172" spans="1:14" ht="14" x14ac:dyDescent="0.25">
      <c r="A172" s="305"/>
      <c r="B172" s="618" t="s">
        <v>1644</v>
      </c>
      <c r="C172" s="618"/>
      <c r="D172" s="306"/>
      <c r="E172" s="456"/>
      <c r="F172" s="456"/>
      <c r="G172" s="456"/>
      <c r="H172" s="306"/>
      <c r="I172" s="306"/>
      <c r="J172" s="306"/>
      <c r="K172" s="306"/>
      <c r="L172" s="306"/>
      <c r="M172" s="306"/>
      <c r="N172" s="306"/>
    </row>
    <row r="173" spans="1:14" ht="14" x14ac:dyDescent="0.25">
      <c r="A173" s="305"/>
      <c r="B173" s="401" t="s">
        <v>117</v>
      </c>
      <c r="C173" s="461" t="s">
        <v>1025</v>
      </c>
      <c r="D173" s="306"/>
      <c r="E173" s="456"/>
      <c r="F173" s="456"/>
      <c r="G173" s="456"/>
      <c r="H173" s="306"/>
      <c r="I173" s="306"/>
      <c r="J173" s="306"/>
      <c r="K173" s="306"/>
      <c r="L173" s="306"/>
      <c r="M173" s="306"/>
      <c r="N173" s="306"/>
    </row>
    <row r="174" spans="1:14" ht="14" x14ac:dyDescent="0.25">
      <c r="A174" s="305"/>
      <c r="B174" s="462" t="s">
        <v>1235</v>
      </c>
      <c r="C174" s="465">
        <f>(COUNTIFS(E:E,"ADMINISTRATIVA",K:K,"VAGO"))/'Equalização força de trabalho'!C4</f>
        <v>1.3157894736842105E-2</v>
      </c>
      <c r="D174" s="306"/>
      <c r="E174" s="456"/>
      <c r="F174" s="456"/>
      <c r="G174" s="456"/>
      <c r="H174" s="306"/>
      <c r="I174" s="306"/>
      <c r="J174" s="306"/>
      <c r="K174" s="306"/>
      <c r="L174" s="306"/>
      <c r="M174" s="306"/>
      <c r="N174" s="306"/>
    </row>
    <row r="175" spans="1:14" ht="14" x14ac:dyDescent="0.25">
      <c r="A175" s="305"/>
      <c r="B175" s="462" t="s">
        <v>1643</v>
      </c>
      <c r="C175" s="465">
        <f>(COUNTIFS(E:E,"JUDICIÁRIA",K:K,"VAGO"))/'Equalização força de trabalho'!C3</f>
        <v>3.0769230769230769E-3</v>
      </c>
      <c r="D175" s="306"/>
      <c r="E175" s="456"/>
      <c r="F175" s="456"/>
      <c r="G175" s="456"/>
      <c r="H175" s="306"/>
      <c r="I175" s="306"/>
      <c r="J175" s="306"/>
      <c r="K175" s="306"/>
      <c r="L175" s="306"/>
      <c r="M175" s="306"/>
      <c r="N175" s="306"/>
    </row>
    <row r="176" spans="1:14" ht="15.6" x14ac:dyDescent="0.25">
      <c r="A176" s="305"/>
      <c r="B176" s="401" t="s">
        <v>1640</v>
      </c>
      <c r="C176" s="466">
        <f>SUM(C174:C175)</f>
        <v>1.6234817813765182E-2</v>
      </c>
      <c r="D176" s="306"/>
      <c r="E176" s="456"/>
      <c r="F176" s="456"/>
      <c r="G176" s="456"/>
      <c r="H176" s="306"/>
      <c r="I176" s="306"/>
      <c r="J176" s="306"/>
      <c r="K176" s="306"/>
      <c r="L176" s="306"/>
      <c r="M176" s="306"/>
      <c r="N176" s="306"/>
    </row>
    <row r="177" spans="1:14" ht="14" x14ac:dyDescent="0.25">
      <c r="A177" s="305"/>
      <c r="B177" s="164"/>
      <c r="C177" s="460"/>
      <c r="D177" s="306"/>
      <c r="E177" s="456"/>
      <c r="F177" s="456"/>
      <c r="G177" s="456"/>
      <c r="H177" s="306"/>
      <c r="I177" s="306"/>
      <c r="J177" s="306"/>
      <c r="K177" s="306"/>
      <c r="L177" s="306"/>
      <c r="M177" s="306"/>
      <c r="N177" s="306"/>
    </row>
    <row r="178" spans="1:14" ht="14" x14ac:dyDescent="0.25">
      <c r="A178" s="305"/>
      <c r="B178" s="164"/>
      <c r="C178" s="460"/>
      <c r="D178" s="306"/>
      <c r="E178" s="456"/>
      <c r="F178" s="456"/>
      <c r="G178" s="456"/>
      <c r="H178" s="306"/>
      <c r="I178" s="306"/>
      <c r="J178" s="306"/>
      <c r="K178" s="306"/>
      <c r="L178" s="306"/>
      <c r="M178" s="306"/>
      <c r="N178" s="306"/>
    </row>
    <row r="179" spans="1:14" ht="14" x14ac:dyDescent="0.25">
      <c r="A179" s="305"/>
      <c r="B179" s="164"/>
      <c r="C179" s="460"/>
      <c r="D179" s="306"/>
      <c r="E179" s="456"/>
      <c r="F179" s="456"/>
      <c r="G179" s="456"/>
      <c r="H179" s="306"/>
      <c r="I179" s="306"/>
      <c r="J179" s="306"/>
      <c r="K179" s="306"/>
      <c r="L179" s="306"/>
      <c r="M179" s="306"/>
      <c r="N179" s="306"/>
    </row>
    <row r="180" spans="1:14" ht="14" x14ac:dyDescent="0.25">
      <c r="A180" s="305"/>
      <c r="B180" s="164"/>
      <c r="C180" s="460"/>
      <c r="D180" s="306"/>
      <c r="E180" s="456"/>
      <c r="F180" s="456"/>
      <c r="G180" s="456"/>
      <c r="H180" s="306"/>
      <c r="I180" s="306"/>
      <c r="J180" s="306"/>
      <c r="K180" s="306"/>
      <c r="L180" s="306"/>
      <c r="M180" s="306"/>
      <c r="N180" s="306"/>
    </row>
    <row r="181" spans="1:14" ht="14" x14ac:dyDescent="0.25">
      <c r="A181" s="305"/>
      <c r="B181" s="164"/>
      <c r="C181" s="460"/>
      <c r="D181" s="306"/>
      <c r="E181" s="456"/>
      <c r="F181" s="456"/>
      <c r="G181" s="456"/>
      <c r="H181" s="306"/>
      <c r="I181" s="306"/>
      <c r="J181" s="306"/>
      <c r="K181" s="306"/>
      <c r="L181" s="306"/>
      <c r="M181" s="306"/>
      <c r="N181" s="306"/>
    </row>
    <row r="182" spans="1:14" ht="14" x14ac:dyDescent="0.25">
      <c r="A182" s="305"/>
      <c r="B182" s="164"/>
      <c r="C182" s="460"/>
      <c r="D182" s="306"/>
      <c r="E182" s="456"/>
      <c r="F182" s="456"/>
      <c r="G182" s="456"/>
      <c r="H182" s="306"/>
      <c r="I182" s="306"/>
      <c r="J182" s="306"/>
      <c r="K182" s="306"/>
      <c r="L182" s="306"/>
      <c r="M182" s="306"/>
      <c r="N182" s="306"/>
    </row>
    <row r="183" spans="1:14" ht="14" x14ac:dyDescent="0.25">
      <c r="A183" s="305"/>
      <c r="B183" s="164"/>
      <c r="C183" s="460"/>
      <c r="D183" s="306"/>
      <c r="E183" s="456"/>
      <c r="F183" s="456"/>
      <c r="G183" s="456"/>
      <c r="H183" s="306"/>
      <c r="I183" s="306"/>
      <c r="J183" s="306"/>
      <c r="K183" s="306"/>
      <c r="L183" s="306"/>
      <c r="M183" s="306"/>
      <c r="N183" s="306"/>
    </row>
    <row r="184" spans="1:14" ht="14" x14ac:dyDescent="0.25">
      <c r="A184" s="305"/>
      <c r="B184" s="164"/>
      <c r="C184" s="460"/>
      <c r="D184" s="306"/>
      <c r="E184" s="456"/>
      <c r="F184" s="456"/>
      <c r="G184" s="456"/>
      <c r="H184" s="306"/>
      <c r="I184" s="306"/>
      <c r="J184" s="306"/>
      <c r="K184" s="306"/>
      <c r="L184" s="306"/>
      <c r="M184" s="306"/>
      <c r="N184" s="306"/>
    </row>
    <row r="185" spans="1:14" ht="17.2" x14ac:dyDescent="0.45">
      <c r="A185" s="305"/>
      <c r="B185" s="467" t="s">
        <v>1645</v>
      </c>
      <c r="C185" s="460"/>
      <c r="D185" s="306"/>
      <c r="E185" s="456"/>
      <c r="F185" s="456"/>
      <c r="G185" s="456"/>
      <c r="H185" s="306"/>
      <c r="I185" s="306"/>
      <c r="J185" s="306"/>
      <c r="K185" s="306"/>
      <c r="L185" s="306"/>
      <c r="M185" s="306"/>
      <c r="N185" s="306"/>
    </row>
    <row r="186" spans="1:14" ht="14" x14ac:dyDescent="0.25">
      <c r="A186" s="305"/>
      <c r="C186" s="460"/>
      <c r="D186" s="306"/>
      <c r="E186" s="456"/>
      <c r="F186" s="456"/>
      <c r="G186" s="456"/>
      <c r="H186" s="306"/>
      <c r="I186" s="306"/>
      <c r="J186" s="306"/>
      <c r="K186" s="306"/>
      <c r="L186" s="306"/>
      <c r="M186" s="306"/>
      <c r="N186" s="306"/>
    </row>
    <row r="187" spans="1:14" ht="17.2" x14ac:dyDescent="0.45">
      <c r="A187" s="305"/>
      <c r="B187" s="467" t="s">
        <v>1646</v>
      </c>
      <c r="C187" s="460"/>
      <c r="D187" s="306"/>
      <c r="E187" s="456"/>
      <c r="F187" s="456"/>
      <c r="G187" s="456"/>
      <c r="H187" s="306"/>
      <c r="I187" s="306"/>
      <c r="J187" s="306"/>
      <c r="K187" s="306"/>
      <c r="L187" s="306"/>
      <c r="M187" s="306"/>
      <c r="N187" s="306"/>
    </row>
    <row r="188" spans="1:14" ht="14" x14ac:dyDescent="0.25">
      <c r="A188" s="305"/>
      <c r="C188" s="460"/>
      <c r="D188" s="306"/>
      <c r="E188" s="456"/>
      <c r="F188" s="456"/>
      <c r="G188" s="456"/>
      <c r="H188" s="306"/>
      <c r="I188" s="306"/>
      <c r="J188" s="306"/>
      <c r="K188" s="306"/>
      <c r="L188" s="306"/>
      <c r="M188" s="306"/>
      <c r="N188" s="306"/>
    </row>
    <row r="189" spans="1:14" ht="17.2" x14ac:dyDescent="0.45">
      <c r="A189" s="305"/>
      <c r="B189" s="467" t="s">
        <v>1647</v>
      </c>
      <c r="C189" s="460"/>
      <c r="D189" s="306"/>
      <c r="E189" s="456"/>
      <c r="F189" s="456"/>
      <c r="G189" s="456"/>
      <c r="H189" s="306"/>
      <c r="I189" s="306"/>
      <c r="J189" s="306"/>
      <c r="K189" s="306"/>
      <c r="L189" s="306"/>
      <c r="M189" s="306"/>
      <c r="N189" s="306"/>
    </row>
    <row r="190" spans="1:14" ht="14" x14ac:dyDescent="0.25">
      <c r="A190" s="305"/>
      <c r="C190" s="460"/>
      <c r="D190" s="306"/>
      <c r="E190" s="456"/>
      <c r="F190" s="456"/>
      <c r="G190" s="456"/>
      <c r="H190" s="306"/>
      <c r="I190" s="306"/>
      <c r="J190" s="306"/>
      <c r="K190" s="306"/>
      <c r="L190" s="306"/>
      <c r="M190" s="306"/>
      <c r="N190" s="306"/>
    </row>
    <row r="191" spans="1:14" ht="17.2" x14ac:dyDescent="0.45">
      <c r="A191" s="305"/>
      <c r="B191" s="467" t="s">
        <v>1648</v>
      </c>
      <c r="C191" s="460"/>
      <c r="D191" s="306"/>
      <c r="E191" s="456"/>
      <c r="F191" s="456"/>
      <c r="G191" s="456"/>
      <c r="H191" s="306"/>
      <c r="I191" s="306"/>
      <c r="J191" s="306"/>
      <c r="K191" s="306"/>
      <c r="L191" s="306"/>
      <c r="M191" s="306"/>
      <c r="N191" s="306"/>
    </row>
    <row r="192" spans="1:14" ht="14" x14ac:dyDescent="0.25">
      <c r="A192" s="305"/>
      <c r="C192" s="460"/>
      <c r="D192" s="306"/>
      <c r="E192" s="456"/>
      <c r="F192" s="456"/>
      <c r="G192" s="456"/>
      <c r="H192" s="306"/>
      <c r="I192" s="306"/>
      <c r="J192" s="306"/>
      <c r="K192" s="306"/>
      <c r="L192" s="306"/>
      <c r="M192" s="306"/>
      <c r="N192" s="306"/>
    </row>
    <row r="193" spans="1:14" ht="17.2" x14ac:dyDescent="0.45">
      <c r="A193" s="305"/>
      <c r="B193" s="467" t="s">
        <v>1649</v>
      </c>
      <c r="C193" s="460"/>
      <c r="D193" s="306"/>
      <c r="E193" s="456"/>
      <c r="F193" s="456"/>
      <c r="G193" s="456"/>
      <c r="H193" s="306"/>
      <c r="I193" s="306"/>
      <c r="J193" s="306"/>
      <c r="K193" s="306"/>
      <c r="L193" s="306"/>
      <c r="M193" s="306"/>
      <c r="N193" s="306"/>
    </row>
    <row r="194" spans="1:14" ht="14" x14ac:dyDescent="0.25">
      <c r="A194" s="305"/>
      <c r="C194" s="460"/>
      <c r="D194" s="306"/>
      <c r="E194" s="456"/>
      <c r="F194" s="456"/>
      <c r="G194" s="456"/>
      <c r="H194" s="306"/>
      <c r="I194" s="306"/>
      <c r="J194" s="306"/>
      <c r="K194" s="306"/>
      <c r="L194" s="306"/>
      <c r="M194" s="306"/>
      <c r="N194" s="306"/>
    </row>
    <row r="195" spans="1:14" ht="17.2" x14ac:dyDescent="0.45">
      <c r="A195" s="305"/>
      <c r="B195" s="467" t="s">
        <v>1650</v>
      </c>
      <c r="C195" s="460"/>
      <c r="D195" s="306"/>
      <c r="E195" s="456"/>
      <c r="F195" s="456"/>
      <c r="G195" s="456"/>
      <c r="H195" s="306"/>
      <c r="I195" s="306"/>
      <c r="J195" s="306"/>
      <c r="K195" s="306"/>
      <c r="L195" s="306"/>
      <c r="M195" s="306"/>
      <c r="N195" s="306"/>
    </row>
    <row r="196" spans="1:14" ht="14" x14ac:dyDescent="0.25">
      <c r="A196" s="305"/>
      <c r="B196" s="164"/>
      <c r="C196" s="460"/>
      <c r="D196" s="306"/>
      <c r="E196" s="456"/>
      <c r="F196" s="456"/>
      <c r="G196" s="456"/>
      <c r="H196" s="306"/>
      <c r="I196" s="306"/>
      <c r="J196" s="306"/>
      <c r="K196" s="306"/>
      <c r="L196" s="306"/>
      <c r="M196" s="306"/>
      <c r="N196" s="306"/>
    </row>
    <row r="197" spans="1:14" ht="14" x14ac:dyDescent="0.25">
      <c r="A197" s="305"/>
      <c r="B197" s="164"/>
      <c r="C197" s="460"/>
      <c r="D197" s="306"/>
      <c r="E197" s="456"/>
      <c r="F197" s="456"/>
      <c r="G197" s="456"/>
      <c r="H197" s="306"/>
      <c r="I197" s="306"/>
      <c r="J197" s="306"/>
      <c r="K197" s="306"/>
      <c r="L197" s="306"/>
      <c r="M197" s="306"/>
      <c r="N197" s="306"/>
    </row>
    <row r="198" spans="1:14" ht="14" x14ac:dyDescent="0.25">
      <c r="A198" s="305"/>
      <c r="B198" s="164"/>
      <c r="C198" s="460"/>
      <c r="D198" s="306"/>
      <c r="E198" s="456"/>
      <c r="F198" s="456"/>
      <c r="G198" s="456"/>
      <c r="H198" s="306"/>
      <c r="I198" s="306"/>
      <c r="J198" s="306"/>
      <c r="K198" s="306"/>
      <c r="L198" s="306"/>
      <c r="M198" s="306"/>
      <c r="N198" s="306"/>
    </row>
    <row r="199" spans="1:14" ht="14" x14ac:dyDescent="0.25">
      <c r="A199" s="305"/>
      <c r="B199" s="164"/>
      <c r="C199" s="460"/>
      <c r="D199" s="306"/>
      <c r="E199" s="456"/>
      <c r="F199" s="456"/>
      <c r="G199" s="456"/>
      <c r="H199" s="306"/>
      <c r="I199" s="306"/>
      <c r="J199" s="306"/>
      <c r="K199" s="306"/>
      <c r="L199" s="306"/>
      <c r="M199" s="306"/>
      <c r="N199" s="306"/>
    </row>
    <row r="200" spans="1:14" ht="14" x14ac:dyDescent="0.25">
      <c r="A200" s="305"/>
      <c r="B200" s="164"/>
      <c r="C200" s="460"/>
      <c r="D200" s="306"/>
      <c r="E200" s="456"/>
      <c r="F200" s="456"/>
      <c r="G200" s="456"/>
      <c r="H200" s="306"/>
      <c r="I200" s="306"/>
      <c r="J200" s="306"/>
      <c r="K200" s="306"/>
      <c r="L200" s="306"/>
      <c r="M200" s="306"/>
      <c r="N200" s="306"/>
    </row>
    <row r="201" spans="1:14" ht="14" x14ac:dyDescent="0.25">
      <c r="A201" s="305"/>
      <c r="B201" s="164"/>
      <c r="C201" s="460"/>
      <c r="D201" s="306"/>
      <c r="E201" s="456"/>
      <c r="F201" s="456"/>
      <c r="G201" s="456"/>
      <c r="H201" s="306"/>
      <c r="I201" s="306"/>
      <c r="J201" s="306"/>
      <c r="K201" s="306"/>
      <c r="L201" s="306"/>
      <c r="M201" s="306"/>
      <c r="N201" s="306"/>
    </row>
    <row r="202" spans="1:14" ht="14" x14ac:dyDescent="0.25">
      <c r="A202" s="305"/>
      <c r="B202" s="164"/>
      <c r="C202" s="460"/>
      <c r="D202" s="306"/>
      <c r="E202" s="456"/>
      <c r="F202" s="456"/>
      <c r="G202" s="456"/>
      <c r="H202" s="306"/>
      <c r="I202" s="306"/>
      <c r="J202" s="306"/>
      <c r="K202" s="306"/>
      <c r="L202" s="306"/>
      <c r="M202" s="306"/>
      <c r="N202" s="306"/>
    </row>
    <row r="203" spans="1:14" ht="14" x14ac:dyDescent="0.25">
      <c r="A203" s="305"/>
      <c r="B203" s="164"/>
      <c r="C203" s="460"/>
      <c r="D203" s="306"/>
      <c r="E203" s="456"/>
      <c r="F203" s="456"/>
      <c r="G203" s="456"/>
      <c r="H203" s="306"/>
      <c r="I203" s="306"/>
      <c r="J203" s="306"/>
      <c r="K203" s="306"/>
      <c r="L203" s="306"/>
      <c r="M203" s="306"/>
      <c r="N203" s="306"/>
    </row>
    <row r="204" spans="1:14" ht="14" x14ac:dyDescent="0.25">
      <c r="A204" s="305"/>
      <c r="B204" s="164"/>
      <c r="C204" s="460"/>
      <c r="D204" s="306"/>
      <c r="E204" s="456"/>
      <c r="F204" s="456"/>
      <c r="G204" s="456"/>
      <c r="H204" s="306"/>
      <c r="I204" s="306"/>
      <c r="J204" s="306"/>
      <c r="K204" s="306"/>
      <c r="L204" s="306"/>
      <c r="M204" s="306"/>
      <c r="N204" s="306"/>
    </row>
    <row r="205" spans="1:14" ht="14" x14ac:dyDescent="0.25">
      <c r="A205" s="305"/>
      <c r="B205" s="164"/>
      <c r="C205" s="460"/>
      <c r="D205" s="306"/>
      <c r="E205" s="456"/>
      <c r="F205" s="456"/>
      <c r="G205" s="456"/>
      <c r="H205" s="306"/>
      <c r="I205" s="306"/>
      <c r="J205" s="306"/>
      <c r="K205" s="306"/>
      <c r="L205" s="306"/>
      <c r="M205" s="306"/>
      <c r="N205" s="306"/>
    </row>
    <row r="206" spans="1:14" ht="14" x14ac:dyDescent="0.25">
      <c r="A206" s="305"/>
      <c r="B206" s="164"/>
      <c r="C206" s="460"/>
      <c r="D206" s="306"/>
      <c r="E206" s="456"/>
      <c r="F206" s="456"/>
      <c r="G206" s="456"/>
      <c r="H206" s="306"/>
      <c r="I206" s="306"/>
      <c r="J206" s="306"/>
      <c r="K206" s="306"/>
      <c r="L206" s="306"/>
      <c r="M206" s="306"/>
      <c r="N206" s="306"/>
    </row>
    <row r="207" spans="1:14" ht="14" x14ac:dyDescent="0.25">
      <c r="A207" s="305"/>
      <c r="B207" s="164"/>
      <c r="C207" s="460"/>
      <c r="D207" s="306"/>
      <c r="E207" s="456"/>
      <c r="F207" s="456"/>
      <c r="G207" s="456"/>
      <c r="H207" s="306"/>
      <c r="I207" s="306"/>
      <c r="J207" s="306"/>
      <c r="K207" s="306"/>
      <c r="L207" s="306"/>
      <c r="M207" s="306"/>
      <c r="N207" s="306"/>
    </row>
    <row r="208" spans="1:14" ht="14" x14ac:dyDescent="0.25">
      <c r="A208" s="305"/>
      <c r="B208" s="164"/>
      <c r="C208" s="460"/>
      <c r="D208" s="306"/>
      <c r="E208" s="456"/>
      <c r="F208" s="456"/>
      <c r="G208" s="456"/>
      <c r="H208" s="306"/>
      <c r="I208" s="306"/>
      <c r="J208" s="306"/>
      <c r="K208" s="306"/>
      <c r="L208" s="306"/>
      <c r="M208" s="306"/>
      <c r="N208" s="306"/>
    </row>
    <row r="209" spans="1:14" ht="14" x14ac:dyDescent="0.25">
      <c r="A209" s="305"/>
      <c r="B209" s="164"/>
      <c r="C209" s="460"/>
      <c r="D209" s="306"/>
      <c r="E209" s="456"/>
      <c r="F209" s="456"/>
      <c r="G209" s="456"/>
      <c r="H209" s="306"/>
      <c r="I209" s="306"/>
      <c r="J209" s="306"/>
      <c r="K209" s="306"/>
      <c r="L209" s="306"/>
      <c r="M209" s="306"/>
      <c r="N209" s="306"/>
    </row>
    <row r="210" spans="1:14" ht="14" x14ac:dyDescent="0.25">
      <c r="A210" s="305"/>
      <c r="B210" s="164"/>
      <c r="C210" s="460"/>
      <c r="D210" s="306"/>
      <c r="E210" s="456"/>
      <c r="F210" s="456"/>
      <c r="G210" s="456"/>
      <c r="H210" s="306"/>
      <c r="I210" s="306"/>
      <c r="J210" s="306"/>
      <c r="K210" s="306"/>
      <c r="L210" s="306"/>
      <c r="M210" s="306"/>
      <c r="N210" s="306"/>
    </row>
    <row r="211" spans="1:14" ht="14" x14ac:dyDescent="0.25">
      <c r="A211" s="305"/>
      <c r="B211" s="164"/>
      <c r="C211" s="460"/>
      <c r="D211" s="306"/>
      <c r="E211" s="456"/>
      <c r="F211" s="456"/>
      <c r="G211" s="456"/>
      <c r="H211" s="306"/>
      <c r="I211" s="306"/>
      <c r="J211" s="306"/>
      <c r="K211" s="306"/>
      <c r="L211" s="306"/>
      <c r="M211" s="306"/>
      <c r="N211" s="306"/>
    </row>
    <row r="212" spans="1:14" ht="14" x14ac:dyDescent="0.25">
      <c r="A212" s="305"/>
      <c r="B212" s="164"/>
      <c r="C212" s="460"/>
      <c r="D212" s="306"/>
      <c r="E212" s="456"/>
      <c r="F212" s="456"/>
      <c r="G212" s="456"/>
      <c r="H212" s="306"/>
      <c r="I212" s="306"/>
      <c r="J212" s="306"/>
      <c r="K212" s="306"/>
      <c r="L212" s="306"/>
      <c r="M212" s="306"/>
      <c r="N212" s="306"/>
    </row>
    <row r="213" spans="1:14" ht="14" x14ac:dyDescent="0.25">
      <c r="A213" s="305"/>
      <c r="B213" s="164"/>
      <c r="C213" s="460"/>
      <c r="D213" s="306"/>
      <c r="E213" s="456"/>
      <c r="F213" s="456"/>
      <c r="G213" s="456"/>
      <c r="H213" s="306"/>
      <c r="I213" s="306"/>
      <c r="J213" s="306"/>
      <c r="K213" s="306"/>
      <c r="L213" s="306"/>
      <c r="M213" s="306"/>
      <c r="N213" s="306"/>
    </row>
    <row r="214" spans="1:14" ht="14" x14ac:dyDescent="0.25">
      <c r="A214" s="305"/>
      <c r="B214" s="164"/>
      <c r="C214" s="460"/>
      <c r="D214" s="306"/>
      <c r="E214" s="456"/>
      <c r="F214" s="456"/>
      <c r="G214" s="456"/>
      <c r="H214" s="306"/>
      <c r="I214" s="306"/>
      <c r="J214" s="306"/>
      <c r="K214" s="306"/>
      <c r="L214" s="306"/>
      <c r="M214" s="306"/>
      <c r="N214" s="306"/>
    </row>
    <row r="215" spans="1:14" ht="14" x14ac:dyDescent="0.25">
      <c r="A215" s="305"/>
      <c r="B215" s="164"/>
      <c r="C215" s="460"/>
      <c r="D215" s="306"/>
      <c r="E215" s="456"/>
      <c r="F215" s="456"/>
      <c r="G215" s="456"/>
      <c r="H215" s="306"/>
      <c r="I215" s="306"/>
      <c r="J215" s="306"/>
      <c r="K215" s="306"/>
      <c r="L215" s="306"/>
      <c r="M215" s="306"/>
      <c r="N215" s="306"/>
    </row>
    <row r="216" spans="1:14" ht="14" x14ac:dyDescent="0.25">
      <c r="A216" s="305"/>
      <c r="B216" s="164"/>
      <c r="C216" s="460"/>
      <c r="D216" s="306"/>
      <c r="E216" s="456"/>
      <c r="F216" s="456"/>
      <c r="G216" s="456"/>
      <c r="H216" s="306"/>
      <c r="I216" s="306"/>
      <c r="J216" s="306"/>
      <c r="K216" s="306"/>
      <c r="L216" s="306"/>
      <c r="M216" s="306"/>
      <c r="N216" s="306"/>
    </row>
    <row r="217" spans="1:14" ht="14" x14ac:dyDescent="0.25">
      <c r="A217" s="305"/>
      <c r="B217" s="164"/>
      <c r="C217" s="460"/>
      <c r="D217" s="306"/>
      <c r="E217" s="456"/>
      <c r="F217" s="456"/>
      <c r="G217" s="456"/>
      <c r="H217" s="306"/>
      <c r="I217" s="306"/>
      <c r="J217" s="306"/>
      <c r="K217" s="306"/>
      <c r="L217" s="306"/>
      <c r="M217" s="306"/>
      <c r="N217" s="306"/>
    </row>
    <row r="218" spans="1:14" ht="14" x14ac:dyDescent="0.25">
      <c r="A218" s="305"/>
      <c r="B218" s="164"/>
      <c r="C218" s="460"/>
      <c r="D218" s="306"/>
      <c r="E218" s="456"/>
      <c r="F218" s="456"/>
      <c r="G218" s="456"/>
      <c r="H218" s="306"/>
      <c r="I218" s="306"/>
      <c r="J218" s="306"/>
      <c r="K218" s="306"/>
      <c r="L218" s="306"/>
      <c r="M218" s="306"/>
      <c r="N218" s="306"/>
    </row>
    <row r="219" spans="1:14" ht="14" x14ac:dyDescent="0.25">
      <c r="A219" s="305"/>
      <c r="B219" s="164"/>
      <c r="C219" s="460"/>
      <c r="D219" s="306"/>
      <c r="E219" s="456"/>
      <c r="F219" s="456"/>
      <c r="G219" s="456"/>
      <c r="H219" s="306"/>
      <c r="I219" s="306"/>
      <c r="J219" s="306"/>
      <c r="K219" s="306"/>
      <c r="L219" s="306"/>
      <c r="M219" s="306"/>
      <c r="N219" s="306"/>
    </row>
    <row r="220" spans="1:14" ht="14" x14ac:dyDescent="0.25">
      <c r="A220" s="305"/>
      <c r="B220" s="164"/>
      <c r="C220" s="460"/>
      <c r="D220" s="306"/>
      <c r="E220" s="456"/>
      <c r="F220" s="456"/>
      <c r="G220" s="456"/>
      <c r="H220" s="306"/>
      <c r="I220" s="306"/>
      <c r="J220" s="306"/>
      <c r="K220" s="306"/>
      <c r="L220" s="306"/>
      <c r="M220" s="306"/>
      <c r="N220" s="306"/>
    </row>
    <row r="221" spans="1:14" ht="14" x14ac:dyDescent="0.25">
      <c r="A221" s="305"/>
      <c r="B221" s="164"/>
      <c r="C221" s="460"/>
      <c r="D221" s="306"/>
      <c r="E221" s="456"/>
      <c r="F221" s="456"/>
      <c r="G221" s="456"/>
      <c r="H221" s="306"/>
      <c r="I221" s="306"/>
      <c r="J221" s="306"/>
      <c r="K221" s="306"/>
      <c r="L221" s="306"/>
      <c r="M221" s="306"/>
      <c r="N221" s="306"/>
    </row>
    <row r="222" spans="1:14" ht="14" x14ac:dyDescent="0.25">
      <c r="A222" s="305"/>
      <c r="B222" s="164"/>
      <c r="C222" s="460"/>
      <c r="D222" s="306"/>
      <c r="E222" s="456"/>
      <c r="F222" s="456"/>
      <c r="G222" s="456"/>
      <c r="H222" s="306"/>
      <c r="I222" s="306"/>
      <c r="J222" s="306"/>
      <c r="K222" s="306"/>
      <c r="L222" s="306"/>
      <c r="M222" s="306"/>
      <c r="N222" s="306"/>
    </row>
    <row r="223" spans="1:14" ht="14" x14ac:dyDescent="0.25">
      <c r="A223" s="305"/>
      <c r="B223" s="164"/>
      <c r="C223" s="460"/>
      <c r="D223" s="306"/>
      <c r="E223" s="456"/>
      <c r="F223" s="456"/>
      <c r="G223" s="456"/>
      <c r="H223" s="306"/>
      <c r="I223" s="306"/>
      <c r="J223" s="306"/>
      <c r="K223" s="306"/>
      <c r="L223" s="306"/>
      <c r="M223" s="306"/>
      <c r="N223" s="306"/>
    </row>
    <row r="224" spans="1:14" ht="14" x14ac:dyDescent="0.25">
      <c r="A224" s="305"/>
      <c r="B224" s="164"/>
      <c r="C224" s="460"/>
      <c r="D224" s="306"/>
      <c r="E224" s="456"/>
      <c r="F224" s="456"/>
      <c r="G224" s="456"/>
      <c r="H224" s="306"/>
      <c r="I224" s="306"/>
      <c r="J224" s="306"/>
      <c r="K224" s="306"/>
      <c r="L224" s="306"/>
      <c r="M224" s="306"/>
      <c r="N224" s="306"/>
    </row>
    <row r="225" spans="1:14" ht="14" x14ac:dyDescent="0.25">
      <c r="A225" s="305"/>
      <c r="B225" s="164"/>
      <c r="C225" s="460"/>
      <c r="D225" s="306"/>
      <c r="E225" s="456"/>
      <c r="F225" s="456"/>
      <c r="G225" s="456"/>
      <c r="H225" s="306"/>
      <c r="I225" s="306"/>
      <c r="J225" s="306"/>
      <c r="K225" s="306"/>
      <c r="L225" s="306"/>
      <c r="M225" s="306"/>
      <c r="N225" s="306"/>
    </row>
    <row r="226" spans="1:14" ht="14" x14ac:dyDescent="0.25">
      <c r="A226" s="305"/>
      <c r="B226" s="164"/>
      <c r="C226" s="460"/>
      <c r="D226" s="306"/>
      <c r="E226" s="456"/>
      <c r="F226" s="456"/>
      <c r="G226" s="456"/>
      <c r="H226" s="306"/>
      <c r="I226" s="306"/>
      <c r="J226" s="306"/>
      <c r="K226" s="306"/>
      <c r="L226" s="306"/>
      <c r="M226" s="306"/>
      <c r="N226" s="306"/>
    </row>
    <row r="227" spans="1:14" ht="14" x14ac:dyDescent="0.25">
      <c r="A227" s="305"/>
      <c r="B227" s="164"/>
      <c r="C227" s="460"/>
      <c r="D227" s="306"/>
      <c r="E227" s="456"/>
      <c r="F227" s="456"/>
      <c r="G227" s="456"/>
      <c r="H227" s="306"/>
      <c r="I227" s="306"/>
      <c r="J227" s="306"/>
      <c r="K227" s="306"/>
      <c r="L227" s="306"/>
      <c r="M227" s="306"/>
      <c r="N227" s="306"/>
    </row>
    <row r="228" spans="1:14" ht="14" x14ac:dyDescent="0.25">
      <c r="A228" s="305"/>
      <c r="B228" s="164"/>
      <c r="C228" s="460"/>
      <c r="D228" s="306"/>
      <c r="E228" s="456"/>
      <c r="F228" s="456"/>
      <c r="G228" s="456"/>
      <c r="H228" s="306"/>
      <c r="I228" s="306"/>
      <c r="J228" s="306"/>
      <c r="K228" s="306"/>
      <c r="L228" s="306"/>
      <c r="M228" s="306"/>
      <c r="N228" s="306"/>
    </row>
    <row r="229" spans="1:14" ht="14" x14ac:dyDescent="0.25">
      <c r="A229" s="305"/>
      <c r="B229" s="164"/>
      <c r="C229" s="460"/>
      <c r="D229" s="306"/>
      <c r="E229" s="456"/>
      <c r="F229" s="456"/>
      <c r="G229" s="456"/>
      <c r="H229" s="306"/>
      <c r="I229" s="306"/>
      <c r="J229" s="306"/>
      <c r="K229" s="306"/>
      <c r="L229" s="306"/>
      <c r="M229" s="306"/>
      <c r="N229" s="306"/>
    </row>
    <row r="230" spans="1:14" ht="14" x14ac:dyDescent="0.25">
      <c r="A230" s="305"/>
      <c r="B230" s="164"/>
      <c r="C230" s="460"/>
      <c r="D230" s="306"/>
      <c r="E230" s="456"/>
      <c r="F230" s="456"/>
      <c r="G230" s="456"/>
      <c r="H230" s="306"/>
      <c r="I230" s="306"/>
      <c r="J230" s="306"/>
      <c r="K230" s="306"/>
      <c r="L230" s="306"/>
      <c r="M230" s="306"/>
      <c r="N230" s="306"/>
    </row>
    <row r="231" spans="1:14" ht="14" x14ac:dyDescent="0.25">
      <c r="A231" s="305"/>
      <c r="B231" s="164"/>
      <c r="C231" s="460"/>
      <c r="D231" s="306"/>
      <c r="E231" s="456"/>
      <c r="F231" s="456"/>
      <c r="G231" s="456"/>
      <c r="H231" s="306"/>
      <c r="I231" s="306"/>
      <c r="J231" s="306"/>
      <c r="K231" s="306"/>
      <c r="L231" s="306"/>
      <c r="M231" s="306"/>
      <c r="N231" s="306"/>
    </row>
    <row r="232" spans="1:14" ht="14" x14ac:dyDescent="0.25">
      <c r="A232" s="305"/>
      <c r="B232" s="164"/>
      <c r="C232" s="460"/>
      <c r="D232" s="306"/>
      <c r="E232" s="456"/>
      <c r="F232" s="456"/>
      <c r="G232" s="456"/>
      <c r="H232" s="306"/>
      <c r="I232" s="306"/>
      <c r="J232" s="306"/>
      <c r="K232" s="306"/>
      <c r="L232" s="306"/>
      <c r="M232" s="306"/>
      <c r="N232" s="306"/>
    </row>
    <row r="233" spans="1:14" ht="14" x14ac:dyDescent="0.25">
      <c r="A233" s="305"/>
      <c r="B233" s="164"/>
      <c r="C233" s="460"/>
      <c r="D233" s="306"/>
      <c r="E233" s="456"/>
      <c r="F233" s="456"/>
      <c r="G233" s="456"/>
      <c r="H233" s="306"/>
      <c r="I233" s="306"/>
      <c r="J233" s="306"/>
      <c r="K233" s="306"/>
      <c r="L233" s="306"/>
      <c r="M233" s="306"/>
      <c r="N233" s="306"/>
    </row>
    <row r="234" spans="1:14" ht="14" x14ac:dyDescent="0.25">
      <c r="A234" s="305"/>
      <c r="B234" s="164"/>
      <c r="C234" s="460"/>
      <c r="D234" s="306"/>
      <c r="E234" s="456"/>
      <c r="F234" s="456"/>
      <c r="G234" s="456"/>
      <c r="H234" s="306"/>
      <c r="I234" s="306"/>
      <c r="J234" s="306"/>
      <c r="K234" s="306"/>
      <c r="L234" s="306"/>
      <c r="M234" s="306"/>
      <c r="N234" s="306"/>
    </row>
    <row r="235" spans="1:14" ht="14" x14ac:dyDescent="0.25">
      <c r="A235" s="305"/>
      <c r="B235" s="164"/>
      <c r="C235" s="460"/>
      <c r="D235" s="306"/>
      <c r="E235" s="456"/>
      <c r="F235" s="456"/>
      <c r="G235" s="456"/>
      <c r="H235" s="306"/>
      <c r="I235" s="306"/>
      <c r="J235" s="306"/>
      <c r="K235" s="306"/>
      <c r="L235" s="306"/>
      <c r="M235" s="306"/>
      <c r="N235" s="306"/>
    </row>
    <row r="236" spans="1:14" ht="14" x14ac:dyDescent="0.25">
      <c r="A236" s="305"/>
      <c r="B236" s="164"/>
      <c r="C236" s="460"/>
      <c r="D236" s="306"/>
      <c r="E236" s="456"/>
      <c r="F236" s="456"/>
      <c r="G236" s="456"/>
      <c r="H236" s="306"/>
      <c r="I236" s="306"/>
      <c r="J236" s="306"/>
      <c r="K236" s="306"/>
      <c r="L236" s="306"/>
      <c r="M236" s="306"/>
      <c r="N236" s="306"/>
    </row>
    <row r="237" spans="1:14" ht="14" x14ac:dyDescent="0.25">
      <c r="A237" s="305"/>
      <c r="B237" s="164"/>
      <c r="C237" s="460"/>
      <c r="D237" s="306"/>
      <c r="E237" s="456"/>
      <c r="F237" s="456"/>
      <c r="G237" s="456"/>
      <c r="H237" s="306"/>
      <c r="I237" s="306"/>
      <c r="J237" s="306"/>
      <c r="K237" s="306"/>
      <c r="L237" s="306"/>
      <c r="M237" s="306"/>
      <c r="N237" s="306"/>
    </row>
    <row r="238" spans="1:14" ht="14" x14ac:dyDescent="0.25">
      <c r="A238" s="305"/>
      <c r="B238" s="164"/>
      <c r="C238" s="460"/>
      <c r="D238" s="306"/>
      <c r="E238" s="456"/>
      <c r="F238" s="456"/>
      <c r="G238" s="456"/>
      <c r="H238" s="306"/>
      <c r="I238" s="306"/>
      <c r="J238" s="306"/>
      <c r="K238" s="306"/>
      <c r="L238" s="306"/>
      <c r="M238" s="306"/>
      <c r="N238" s="306"/>
    </row>
    <row r="239" spans="1:14" ht="14" x14ac:dyDescent="0.25">
      <c r="A239" s="305"/>
      <c r="B239" s="164"/>
      <c r="C239" s="460"/>
      <c r="D239" s="306"/>
      <c r="E239" s="456"/>
      <c r="F239" s="456"/>
      <c r="G239" s="456"/>
      <c r="H239" s="306"/>
      <c r="I239" s="306"/>
      <c r="J239" s="306"/>
      <c r="K239" s="306"/>
      <c r="L239" s="306"/>
      <c r="M239" s="306"/>
      <c r="N239" s="306"/>
    </row>
    <row r="240" spans="1:14" ht="14" x14ac:dyDescent="0.25">
      <c r="A240" s="305"/>
      <c r="B240" s="164"/>
      <c r="C240" s="460"/>
      <c r="D240" s="306"/>
      <c r="E240" s="456"/>
      <c r="F240" s="456"/>
      <c r="G240" s="456"/>
      <c r="H240" s="306"/>
      <c r="I240" s="306"/>
      <c r="J240" s="306"/>
      <c r="K240" s="306"/>
      <c r="L240" s="306"/>
      <c r="M240" s="306"/>
      <c r="N240" s="306"/>
    </row>
    <row r="241" spans="1:14" ht="14" x14ac:dyDescent="0.25">
      <c r="A241" s="305"/>
      <c r="B241" s="164"/>
      <c r="C241" s="460"/>
      <c r="D241" s="306"/>
      <c r="E241" s="456"/>
      <c r="F241" s="456"/>
      <c r="G241" s="456"/>
      <c r="H241" s="306"/>
      <c r="I241" s="306"/>
      <c r="J241" s="306"/>
      <c r="K241" s="306"/>
      <c r="L241" s="306"/>
      <c r="M241" s="306"/>
      <c r="N241" s="306"/>
    </row>
    <row r="242" spans="1:14" ht="14" x14ac:dyDescent="0.25">
      <c r="A242" s="305"/>
      <c r="B242" s="164"/>
      <c r="C242" s="460"/>
      <c r="D242" s="306"/>
      <c r="E242" s="456"/>
      <c r="F242" s="456"/>
      <c r="G242" s="456"/>
      <c r="H242" s="306"/>
      <c r="I242" s="306"/>
      <c r="J242" s="306"/>
      <c r="K242" s="306"/>
      <c r="L242" s="306"/>
      <c r="M242" s="306"/>
      <c r="N242" s="306"/>
    </row>
    <row r="243" spans="1:14" ht="14" x14ac:dyDescent="0.25">
      <c r="A243" s="305"/>
      <c r="B243" s="164"/>
      <c r="C243" s="460"/>
      <c r="D243" s="306"/>
      <c r="E243" s="456"/>
      <c r="F243" s="456"/>
      <c r="G243" s="456"/>
      <c r="H243" s="306"/>
      <c r="I243" s="306"/>
      <c r="J243" s="306"/>
      <c r="K243" s="306"/>
      <c r="L243" s="306"/>
      <c r="M243" s="306"/>
      <c r="N243" s="306"/>
    </row>
    <row r="244" spans="1:14" ht="14" x14ac:dyDescent="0.25">
      <c r="A244" s="299"/>
      <c r="B244" s="18"/>
      <c r="C244" s="398"/>
      <c r="D244" s="301"/>
      <c r="E244" s="399"/>
      <c r="F244" s="399"/>
      <c r="G244" s="399"/>
      <c r="H244" s="301"/>
      <c r="I244" s="301"/>
      <c r="J244" s="301"/>
      <c r="K244" s="301"/>
      <c r="L244" s="301"/>
      <c r="M244" s="301"/>
      <c r="N244" s="301"/>
    </row>
    <row r="245" spans="1:14" ht="14" x14ac:dyDescent="0.25">
      <c r="A245" s="299"/>
      <c r="B245" s="18"/>
      <c r="C245" s="398"/>
      <c r="D245" s="301"/>
      <c r="E245" s="399"/>
      <c r="F245" s="399"/>
      <c r="G245" s="399"/>
      <c r="H245" s="301"/>
      <c r="I245" s="301"/>
      <c r="J245" s="301"/>
      <c r="K245" s="301"/>
      <c r="L245" s="301"/>
      <c r="M245" s="301"/>
      <c r="N245" s="301"/>
    </row>
    <row r="246" spans="1:14" ht="14" x14ac:dyDescent="0.25">
      <c r="A246" s="299"/>
      <c r="B246" s="18"/>
      <c r="C246" s="398"/>
      <c r="D246" s="301"/>
      <c r="E246" s="399"/>
      <c r="F246" s="399"/>
      <c r="G246" s="399"/>
      <c r="H246" s="301"/>
      <c r="I246" s="301"/>
      <c r="J246" s="301"/>
      <c r="K246" s="301"/>
      <c r="L246" s="301"/>
      <c r="M246" s="301"/>
      <c r="N246" s="301"/>
    </row>
    <row r="247" spans="1:14" ht="14" x14ac:dyDescent="0.25">
      <c r="A247" s="299"/>
      <c r="B247" s="18"/>
      <c r="C247" s="398"/>
      <c r="D247" s="301"/>
      <c r="E247" s="399"/>
      <c r="F247" s="399"/>
      <c r="G247" s="399"/>
      <c r="H247" s="301"/>
      <c r="I247" s="301"/>
      <c r="J247" s="301"/>
      <c r="K247" s="301"/>
      <c r="L247" s="301"/>
      <c r="M247" s="301"/>
      <c r="N247" s="301"/>
    </row>
    <row r="248" spans="1:14" ht="14" x14ac:dyDescent="0.25">
      <c r="A248" s="299"/>
      <c r="B248" s="18"/>
      <c r="C248" s="398"/>
      <c r="D248" s="301"/>
      <c r="E248" s="399"/>
      <c r="F248" s="399"/>
      <c r="G248" s="399"/>
      <c r="H248" s="301"/>
      <c r="I248" s="301"/>
      <c r="J248" s="301"/>
      <c r="K248" s="301"/>
      <c r="L248" s="301"/>
      <c r="M248" s="301"/>
      <c r="N248" s="301"/>
    </row>
    <row r="249" spans="1:14" ht="14" x14ac:dyDescent="0.25">
      <c r="A249" s="299"/>
      <c r="B249" s="18"/>
      <c r="C249" s="398"/>
      <c r="D249" s="301"/>
      <c r="E249" s="399"/>
      <c r="F249" s="399"/>
      <c r="G249" s="399"/>
      <c r="H249" s="301"/>
      <c r="I249" s="301"/>
      <c r="J249" s="301"/>
      <c r="K249" s="301"/>
      <c r="L249" s="301"/>
      <c r="M249" s="301"/>
      <c r="N249" s="301"/>
    </row>
    <row r="250" spans="1:14" ht="14" x14ac:dyDescent="0.25">
      <c r="A250" s="299"/>
      <c r="B250" s="18"/>
      <c r="C250" s="398"/>
      <c r="D250" s="301"/>
      <c r="E250" s="399"/>
      <c r="F250" s="399"/>
      <c r="G250" s="399"/>
      <c r="H250" s="301"/>
      <c r="I250" s="301"/>
      <c r="J250" s="301"/>
      <c r="K250" s="301"/>
      <c r="L250" s="301"/>
      <c r="M250" s="301"/>
      <c r="N250" s="301"/>
    </row>
    <row r="251" spans="1:14" ht="14" x14ac:dyDescent="0.25">
      <c r="A251" s="299"/>
      <c r="B251" s="18"/>
      <c r="C251" s="398"/>
      <c r="D251" s="301"/>
      <c r="E251" s="399"/>
      <c r="F251" s="399"/>
      <c r="G251" s="399"/>
      <c r="H251" s="301"/>
      <c r="I251" s="301"/>
      <c r="J251" s="301"/>
      <c r="K251" s="301"/>
      <c r="L251" s="301"/>
      <c r="M251" s="301"/>
      <c r="N251" s="301"/>
    </row>
    <row r="252" spans="1:14" ht="14" x14ac:dyDescent="0.25">
      <c r="A252" s="299"/>
      <c r="B252" s="18"/>
      <c r="C252" s="398"/>
      <c r="D252" s="301"/>
      <c r="E252" s="399"/>
      <c r="F252" s="399"/>
      <c r="G252" s="399"/>
      <c r="H252" s="301"/>
      <c r="I252" s="301"/>
      <c r="J252" s="301"/>
      <c r="K252" s="301"/>
      <c r="L252" s="301"/>
      <c r="M252" s="301"/>
      <c r="N252" s="301"/>
    </row>
    <row r="253" spans="1:14" ht="14" x14ac:dyDescent="0.25">
      <c r="A253" s="299"/>
      <c r="B253" s="18"/>
      <c r="C253" s="398"/>
      <c r="D253" s="301"/>
      <c r="E253" s="399"/>
      <c r="F253" s="399"/>
      <c r="G253" s="399"/>
      <c r="H253" s="301"/>
      <c r="I253" s="301"/>
      <c r="J253" s="301"/>
      <c r="K253" s="301"/>
      <c r="L253" s="301"/>
      <c r="M253" s="301"/>
      <c r="N253" s="301"/>
    </row>
    <row r="254" spans="1:14" ht="14" x14ac:dyDescent="0.25">
      <c r="A254" s="299"/>
      <c r="B254" s="18"/>
      <c r="C254" s="398"/>
      <c r="D254" s="301"/>
      <c r="E254" s="399"/>
      <c r="F254" s="399"/>
      <c r="G254" s="399"/>
      <c r="H254" s="301"/>
      <c r="I254" s="301"/>
      <c r="J254" s="301"/>
      <c r="K254" s="301"/>
      <c r="L254" s="301"/>
      <c r="M254" s="301"/>
      <c r="N254" s="301"/>
    </row>
    <row r="255" spans="1:14" ht="14" x14ac:dyDescent="0.25">
      <c r="A255" s="299"/>
      <c r="B255" s="18"/>
      <c r="C255" s="398"/>
      <c r="D255" s="301"/>
      <c r="E255" s="399"/>
      <c r="F255" s="399"/>
      <c r="G255" s="399"/>
      <c r="H255" s="301"/>
      <c r="I255" s="301"/>
      <c r="J255" s="301"/>
      <c r="K255" s="301"/>
      <c r="L255" s="301"/>
      <c r="M255" s="301"/>
      <c r="N255" s="301"/>
    </row>
    <row r="256" spans="1:14" ht="14" x14ac:dyDescent="0.25">
      <c r="A256" s="299"/>
      <c r="B256" s="18"/>
      <c r="C256" s="398"/>
      <c r="D256" s="301"/>
      <c r="E256" s="399"/>
      <c r="F256" s="399"/>
      <c r="G256" s="399"/>
      <c r="H256" s="301"/>
      <c r="I256" s="301"/>
      <c r="J256" s="301"/>
      <c r="K256" s="301"/>
      <c r="L256" s="301"/>
      <c r="M256" s="301"/>
      <c r="N256" s="301"/>
    </row>
    <row r="257" spans="1:14" ht="14" x14ac:dyDescent="0.25">
      <c r="A257" s="299"/>
      <c r="B257" s="18"/>
      <c r="C257" s="398"/>
      <c r="D257" s="301"/>
      <c r="E257" s="399"/>
      <c r="F257" s="399"/>
      <c r="G257" s="399"/>
      <c r="H257" s="301"/>
      <c r="I257" s="301"/>
      <c r="J257" s="301"/>
      <c r="K257" s="301"/>
      <c r="L257" s="301"/>
      <c r="M257" s="301"/>
      <c r="N257" s="301"/>
    </row>
    <row r="258" spans="1:14" ht="14" x14ac:dyDescent="0.25">
      <c r="A258" s="299"/>
      <c r="B258" s="18"/>
      <c r="C258" s="398"/>
      <c r="D258" s="301"/>
      <c r="E258" s="399"/>
      <c r="F258" s="399"/>
      <c r="G258" s="399"/>
      <c r="H258" s="301"/>
      <c r="I258" s="301"/>
      <c r="J258" s="301"/>
      <c r="K258" s="301"/>
      <c r="L258" s="301"/>
      <c r="M258" s="301"/>
      <c r="N258" s="301"/>
    </row>
    <row r="259" spans="1:14" ht="14" x14ac:dyDescent="0.25">
      <c r="A259" s="299"/>
      <c r="B259" s="18"/>
      <c r="C259" s="398"/>
      <c r="D259" s="301"/>
      <c r="E259" s="399"/>
      <c r="F259" s="399"/>
      <c r="G259" s="399"/>
      <c r="H259" s="301"/>
      <c r="I259" s="301"/>
      <c r="J259" s="301"/>
      <c r="K259" s="301"/>
      <c r="L259" s="301"/>
      <c r="M259" s="301"/>
      <c r="N259" s="301"/>
    </row>
    <row r="260" spans="1:14" ht="14" x14ac:dyDescent="0.25">
      <c r="A260" s="299"/>
      <c r="B260" s="18"/>
      <c r="C260" s="398"/>
      <c r="D260" s="301"/>
      <c r="E260" s="399"/>
      <c r="F260" s="399"/>
      <c r="G260" s="399"/>
      <c r="H260" s="301"/>
      <c r="I260" s="301"/>
      <c r="J260" s="301"/>
      <c r="K260" s="301"/>
      <c r="L260" s="301"/>
      <c r="M260" s="301"/>
      <c r="N260" s="301"/>
    </row>
    <row r="261" spans="1:14" ht="14" x14ac:dyDescent="0.25">
      <c r="A261" s="299"/>
      <c r="B261" s="18"/>
      <c r="C261" s="398"/>
      <c r="D261" s="301"/>
      <c r="E261" s="399"/>
      <c r="F261" s="399"/>
      <c r="G261" s="399"/>
      <c r="H261" s="301"/>
      <c r="I261" s="301"/>
      <c r="J261" s="301"/>
      <c r="K261" s="301"/>
      <c r="L261" s="301"/>
      <c r="M261" s="301"/>
      <c r="N261" s="301"/>
    </row>
    <row r="262" spans="1:14" ht="14" x14ac:dyDescent="0.25">
      <c r="A262" s="299"/>
      <c r="B262" s="18"/>
      <c r="C262" s="398"/>
      <c r="D262" s="301"/>
      <c r="E262" s="399"/>
      <c r="F262" s="399"/>
      <c r="G262" s="399"/>
      <c r="H262" s="301"/>
      <c r="I262" s="301"/>
      <c r="J262" s="301"/>
      <c r="K262" s="301"/>
      <c r="L262" s="301"/>
      <c r="M262" s="301"/>
      <c r="N262" s="301"/>
    </row>
    <row r="263" spans="1:14" ht="14" x14ac:dyDescent="0.25">
      <c r="A263" s="299"/>
      <c r="B263" s="18"/>
      <c r="C263" s="398"/>
      <c r="D263" s="301"/>
      <c r="E263" s="399"/>
      <c r="F263" s="399"/>
      <c r="G263" s="399"/>
      <c r="H263" s="301"/>
      <c r="I263" s="301"/>
      <c r="J263" s="301"/>
      <c r="K263" s="301"/>
      <c r="L263" s="301"/>
      <c r="M263" s="301"/>
      <c r="N263" s="301"/>
    </row>
    <row r="264" spans="1:14" ht="14" x14ac:dyDescent="0.25">
      <c r="A264" s="299"/>
      <c r="B264" s="18"/>
      <c r="C264" s="398"/>
      <c r="D264" s="301"/>
      <c r="E264" s="399"/>
      <c r="F264" s="399"/>
      <c r="G264" s="399"/>
      <c r="H264" s="301"/>
      <c r="I264" s="301"/>
      <c r="J264" s="301"/>
      <c r="K264" s="301"/>
      <c r="L264" s="301"/>
      <c r="M264" s="301"/>
      <c r="N264" s="301"/>
    </row>
    <row r="265" spans="1:14" ht="14" x14ac:dyDescent="0.25">
      <c r="A265" s="299"/>
      <c r="B265" s="18"/>
      <c r="C265" s="398"/>
      <c r="D265" s="301"/>
      <c r="E265" s="399"/>
      <c r="F265" s="399"/>
      <c r="G265" s="399"/>
      <c r="H265" s="301"/>
      <c r="I265" s="301"/>
      <c r="J265" s="301"/>
      <c r="K265" s="301"/>
      <c r="L265" s="301"/>
      <c r="M265" s="301"/>
      <c r="N265" s="301"/>
    </row>
    <row r="266" spans="1:14" ht="14" x14ac:dyDescent="0.25">
      <c r="A266" s="299"/>
      <c r="B266" s="18"/>
      <c r="C266" s="398"/>
      <c r="D266" s="301"/>
      <c r="E266" s="399"/>
      <c r="F266" s="399"/>
      <c r="G266" s="399"/>
      <c r="H266" s="301"/>
      <c r="I266" s="301"/>
      <c r="J266" s="301"/>
      <c r="K266" s="301"/>
      <c r="L266" s="301"/>
      <c r="M266" s="301"/>
      <c r="N266" s="301"/>
    </row>
    <row r="267" spans="1:14" ht="14" x14ac:dyDescent="0.25">
      <c r="A267" s="299"/>
      <c r="B267" s="18"/>
      <c r="C267" s="398"/>
      <c r="D267" s="301"/>
      <c r="E267" s="399"/>
      <c r="F267" s="399"/>
      <c r="G267" s="399"/>
      <c r="H267" s="301"/>
      <c r="I267" s="301"/>
      <c r="J267" s="301"/>
      <c r="K267" s="301"/>
      <c r="L267" s="301"/>
      <c r="M267" s="301"/>
      <c r="N267" s="301"/>
    </row>
    <row r="268" spans="1:14" ht="14" x14ac:dyDescent="0.25">
      <c r="A268" s="299"/>
      <c r="B268" s="18"/>
      <c r="C268" s="398"/>
      <c r="D268" s="301"/>
      <c r="E268" s="399"/>
      <c r="F268" s="399"/>
      <c r="G268" s="399"/>
      <c r="H268" s="301"/>
      <c r="I268" s="301"/>
      <c r="J268" s="301"/>
      <c r="K268" s="301"/>
      <c r="L268" s="301"/>
      <c r="M268" s="301"/>
      <c r="N268" s="301"/>
    </row>
    <row r="269" spans="1:14" ht="14" x14ac:dyDescent="0.25">
      <c r="A269" s="299"/>
      <c r="B269" s="18"/>
      <c r="C269" s="398"/>
      <c r="D269" s="301"/>
      <c r="E269" s="399"/>
      <c r="F269" s="399"/>
      <c r="G269" s="399"/>
      <c r="H269" s="301"/>
      <c r="I269" s="301"/>
      <c r="J269" s="301"/>
      <c r="K269" s="301"/>
      <c r="L269" s="301"/>
      <c r="M269" s="301"/>
      <c r="N269" s="301"/>
    </row>
    <row r="270" spans="1:14" ht="14" x14ac:dyDescent="0.25">
      <c r="A270" s="299"/>
      <c r="B270" s="18"/>
      <c r="C270" s="398"/>
      <c r="D270" s="301"/>
      <c r="E270" s="399"/>
      <c r="F270" s="399"/>
      <c r="G270" s="399"/>
      <c r="H270" s="301"/>
      <c r="I270" s="301"/>
      <c r="J270" s="301"/>
      <c r="K270" s="301"/>
      <c r="L270" s="301"/>
      <c r="M270" s="301"/>
      <c r="N270" s="301"/>
    </row>
    <row r="271" spans="1:14" ht="14" x14ac:dyDescent="0.25">
      <c r="A271" s="299"/>
      <c r="B271" s="18"/>
      <c r="C271" s="398"/>
      <c r="D271" s="301"/>
      <c r="E271" s="399"/>
      <c r="F271" s="399"/>
      <c r="G271" s="399"/>
      <c r="H271" s="301"/>
      <c r="I271" s="301"/>
      <c r="J271" s="301"/>
      <c r="K271" s="301"/>
      <c r="L271" s="301"/>
      <c r="M271" s="301"/>
      <c r="N271" s="301"/>
    </row>
    <row r="272" spans="1:14" ht="14" x14ac:dyDescent="0.25">
      <c r="A272" s="299"/>
      <c r="B272" s="18"/>
      <c r="C272" s="398"/>
      <c r="D272" s="301"/>
      <c r="E272" s="399"/>
      <c r="F272" s="399"/>
      <c r="G272" s="399"/>
      <c r="H272" s="301"/>
      <c r="I272" s="301"/>
      <c r="J272" s="301"/>
      <c r="K272" s="301"/>
      <c r="L272" s="301"/>
      <c r="M272" s="301"/>
      <c r="N272" s="301"/>
    </row>
    <row r="273" spans="1:14" ht="14" x14ac:dyDescent="0.25">
      <c r="A273" s="299"/>
      <c r="B273" s="18"/>
      <c r="C273" s="398"/>
      <c r="D273" s="301"/>
      <c r="E273" s="399"/>
      <c r="F273" s="399"/>
      <c r="G273" s="399"/>
      <c r="H273" s="301"/>
      <c r="I273" s="301"/>
      <c r="J273" s="301"/>
      <c r="K273" s="301"/>
      <c r="L273" s="301"/>
      <c r="M273" s="301"/>
      <c r="N273" s="301"/>
    </row>
    <row r="274" spans="1:14" ht="14" x14ac:dyDescent="0.25">
      <c r="A274" s="299"/>
      <c r="B274" s="18"/>
      <c r="C274" s="398"/>
      <c r="D274" s="301"/>
      <c r="E274" s="399"/>
      <c r="F274" s="399"/>
      <c r="G274" s="399"/>
      <c r="H274" s="301"/>
      <c r="I274" s="301"/>
      <c r="J274" s="301"/>
      <c r="K274" s="301"/>
      <c r="L274" s="301"/>
      <c r="M274" s="301"/>
      <c r="N274" s="301"/>
    </row>
    <row r="275" spans="1:14" ht="14" x14ac:dyDescent="0.25">
      <c r="A275" s="299"/>
      <c r="B275" s="18"/>
      <c r="C275" s="398"/>
      <c r="D275" s="301"/>
      <c r="E275" s="399"/>
      <c r="F275" s="399"/>
      <c r="G275" s="399"/>
      <c r="H275" s="301"/>
      <c r="I275" s="301"/>
      <c r="J275" s="301"/>
      <c r="K275" s="301"/>
      <c r="L275" s="301"/>
      <c r="M275" s="301"/>
      <c r="N275" s="301"/>
    </row>
    <row r="276" spans="1:14" ht="14" x14ac:dyDescent="0.25">
      <c r="A276" s="299"/>
      <c r="B276" s="18"/>
      <c r="C276" s="398"/>
      <c r="D276" s="301"/>
      <c r="E276" s="399"/>
      <c r="F276" s="399"/>
      <c r="G276" s="399"/>
      <c r="H276" s="301"/>
      <c r="I276" s="301"/>
      <c r="J276" s="301"/>
      <c r="K276" s="301"/>
      <c r="L276" s="301"/>
      <c r="M276" s="301"/>
      <c r="N276" s="301"/>
    </row>
    <row r="277" spans="1:14" ht="14" x14ac:dyDescent="0.25">
      <c r="A277" s="299"/>
      <c r="B277" s="18"/>
      <c r="C277" s="398"/>
      <c r="D277" s="301"/>
      <c r="E277" s="399"/>
      <c r="F277" s="399"/>
      <c r="G277" s="399"/>
      <c r="H277" s="301"/>
      <c r="I277" s="301"/>
      <c r="J277" s="301"/>
      <c r="K277" s="301"/>
      <c r="L277" s="301"/>
      <c r="M277" s="301"/>
      <c r="N277" s="301"/>
    </row>
    <row r="278" spans="1:14" ht="14" x14ac:dyDescent="0.25">
      <c r="A278" s="299"/>
      <c r="B278" s="18"/>
      <c r="C278" s="398"/>
      <c r="D278" s="301"/>
      <c r="E278" s="399"/>
      <c r="F278" s="399"/>
      <c r="G278" s="399"/>
      <c r="H278" s="301"/>
      <c r="I278" s="301"/>
      <c r="J278" s="301"/>
      <c r="K278" s="301"/>
      <c r="L278" s="301"/>
      <c r="M278" s="301"/>
      <c r="N278" s="301"/>
    </row>
    <row r="279" spans="1:14" ht="14" x14ac:dyDescent="0.25">
      <c r="A279" s="299"/>
      <c r="B279" s="18"/>
      <c r="C279" s="398"/>
      <c r="D279" s="301"/>
      <c r="E279" s="399"/>
      <c r="F279" s="399"/>
      <c r="G279" s="399"/>
      <c r="H279" s="301"/>
      <c r="I279" s="301"/>
      <c r="J279" s="301"/>
      <c r="K279" s="301"/>
      <c r="L279" s="301"/>
      <c r="M279" s="301"/>
      <c r="N279" s="301"/>
    </row>
    <row r="280" spans="1:14" ht="14" x14ac:dyDescent="0.25">
      <c r="A280" s="299"/>
      <c r="B280" s="18"/>
      <c r="C280" s="398"/>
      <c r="D280" s="301"/>
      <c r="E280" s="399"/>
      <c r="F280" s="399"/>
      <c r="G280" s="399"/>
      <c r="H280" s="301"/>
      <c r="I280" s="301"/>
      <c r="J280" s="301"/>
      <c r="K280" s="301"/>
      <c r="L280" s="301"/>
      <c r="M280" s="301"/>
      <c r="N280" s="301"/>
    </row>
    <row r="281" spans="1:14" ht="14" x14ac:dyDescent="0.25">
      <c r="A281" s="299"/>
      <c r="B281" s="18"/>
      <c r="C281" s="398"/>
      <c r="D281" s="301"/>
      <c r="E281" s="399"/>
      <c r="F281" s="399"/>
      <c r="G281" s="399"/>
      <c r="H281" s="301"/>
      <c r="I281" s="301"/>
      <c r="J281" s="301"/>
      <c r="K281" s="301"/>
      <c r="L281" s="301"/>
      <c r="M281" s="301"/>
      <c r="N281" s="301"/>
    </row>
    <row r="282" spans="1:14" ht="14" x14ac:dyDescent="0.25">
      <c r="A282" s="299"/>
      <c r="B282" s="18"/>
      <c r="C282" s="398"/>
      <c r="D282" s="301"/>
      <c r="E282" s="399"/>
      <c r="F282" s="399"/>
      <c r="G282" s="399"/>
      <c r="H282" s="301"/>
      <c r="I282" s="301"/>
      <c r="J282" s="301"/>
      <c r="K282" s="301"/>
      <c r="L282" s="301"/>
      <c r="M282" s="301"/>
      <c r="N282" s="301"/>
    </row>
    <row r="283" spans="1:14" ht="14" x14ac:dyDescent="0.25">
      <c r="A283" s="299"/>
      <c r="B283" s="18"/>
      <c r="C283" s="398"/>
      <c r="D283" s="301"/>
      <c r="E283" s="399"/>
      <c r="F283" s="399"/>
      <c r="G283" s="399"/>
      <c r="H283" s="301"/>
      <c r="I283" s="301"/>
      <c r="J283" s="301"/>
      <c r="K283" s="301"/>
      <c r="L283" s="301"/>
      <c r="M283" s="301"/>
      <c r="N283" s="301"/>
    </row>
    <row r="284" spans="1:14" ht="14" x14ac:dyDescent="0.25">
      <c r="A284" s="299"/>
      <c r="B284" s="18"/>
      <c r="C284" s="398"/>
      <c r="D284" s="301"/>
      <c r="E284" s="399"/>
      <c r="F284" s="399"/>
      <c r="G284" s="399"/>
      <c r="H284" s="301"/>
      <c r="I284" s="301"/>
      <c r="J284" s="301"/>
      <c r="K284" s="301"/>
      <c r="L284" s="301"/>
      <c r="M284" s="301"/>
      <c r="N284" s="301"/>
    </row>
    <row r="285" spans="1:14" ht="14" x14ac:dyDescent="0.25">
      <c r="A285" s="299"/>
      <c r="B285" s="18"/>
      <c r="C285" s="398"/>
      <c r="D285" s="301"/>
      <c r="E285" s="399"/>
      <c r="F285" s="399"/>
      <c r="G285" s="399"/>
      <c r="H285" s="301"/>
      <c r="I285" s="301"/>
      <c r="J285" s="301"/>
      <c r="K285" s="301"/>
      <c r="L285" s="301"/>
      <c r="M285" s="301"/>
      <c r="N285" s="301"/>
    </row>
    <row r="286" spans="1:14" ht="14" x14ac:dyDescent="0.25">
      <c r="A286" s="299"/>
      <c r="B286" s="18"/>
      <c r="C286" s="398"/>
      <c r="D286" s="301"/>
      <c r="E286" s="399"/>
      <c r="F286" s="399"/>
      <c r="G286" s="399"/>
      <c r="H286" s="301"/>
      <c r="I286" s="301"/>
      <c r="J286" s="301"/>
      <c r="K286" s="301"/>
      <c r="L286" s="301"/>
      <c r="M286" s="301"/>
      <c r="N286" s="301"/>
    </row>
    <row r="287" spans="1:14" ht="14" x14ac:dyDescent="0.25">
      <c r="A287" s="299"/>
      <c r="B287" s="18"/>
      <c r="C287" s="398"/>
      <c r="D287" s="301"/>
      <c r="E287" s="399"/>
      <c r="F287" s="399"/>
      <c r="G287" s="399"/>
      <c r="H287" s="301"/>
      <c r="I287" s="301"/>
      <c r="J287" s="301"/>
      <c r="K287" s="301"/>
      <c r="L287" s="301"/>
      <c r="M287" s="301"/>
      <c r="N287" s="301"/>
    </row>
    <row r="288" spans="1:14" ht="14" x14ac:dyDescent="0.25">
      <c r="A288" s="299"/>
      <c r="B288" s="18"/>
      <c r="C288" s="398"/>
      <c r="D288" s="301"/>
      <c r="E288" s="399"/>
      <c r="F288" s="399"/>
      <c r="G288" s="399"/>
      <c r="H288" s="301"/>
      <c r="I288" s="301"/>
      <c r="J288" s="301"/>
      <c r="K288" s="301"/>
      <c r="L288" s="301"/>
      <c r="M288" s="301"/>
      <c r="N288" s="301"/>
    </row>
    <row r="289" spans="1:14" ht="14" x14ac:dyDescent="0.25">
      <c r="A289" s="299"/>
      <c r="B289" s="18"/>
      <c r="C289" s="398"/>
      <c r="D289" s="301"/>
      <c r="E289" s="399"/>
      <c r="F289" s="399"/>
      <c r="G289" s="399"/>
      <c r="H289" s="301"/>
      <c r="I289" s="301"/>
      <c r="J289" s="301"/>
      <c r="K289" s="301"/>
      <c r="L289" s="301"/>
      <c r="M289" s="301"/>
      <c r="N289" s="301"/>
    </row>
    <row r="290" spans="1:14" ht="14" x14ac:dyDescent="0.25">
      <c r="A290" s="299"/>
      <c r="B290" s="18"/>
      <c r="C290" s="398"/>
      <c r="D290" s="301"/>
      <c r="E290" s="399"/>
      <c r="F290" s="399"/>
      <c r="G290" s="399"/>
      <c r="H290" s="301"/>
      <c r="I290" s="301"/>
      <c r="J290" s="301"/>
      <c r="K290" s="301"/>
      <c r="L290" s="301"/>
      <c r="M290" s="301"/>
      <c r="N290" s="301"/>
    </row>
    <row r="291" spans="1:14" ht="14" x14ac:dyDescent="0.25">
      <c r="A291" s="299"/>
      <c r="B291" s="18"/>
      <c r="C291" s="398"/>
      <c r="D291" s="301"/>
      <c r="E291" s="399"/>
      <c r="F291" s="399"/>
      <c r="G291" s="399"/>
      <c r="H291" s="301"/>
      <c r="I291" s="301"/>
      <c r="J291" s="301"/>
      <c r="K291" s="301"/>
      <c r="L291" s="301"/>
      <c r="M291" s="301"/>
      <c r="N291" s="301"/>
    </row>
    <row r="292" spans="1:14" ht="14" x14ac:dyDescent="0.25">
      <c r="A292" s="299"/>
      <c r="B292" s="18"/>
      <c r="C292" s="398"/>
      <c r="D292" s="301"/>
      <c r="E292" s="399"/>
      <c r="F292" s="399"/>
      <c r="G292" s="399"/>
      <c r="H292" s="301"/>
      <c r="I292" s="301"/>
      <c r="J292" s="301"/>
      <c r="K292" s="301"/>
      <c r="L292" s="301"/>
      <c r="M292" s="301"/>
      <c r="N292" s="301"/>
    </row>
    <row r="293" spans="1:14" ht="14" x14ac:dyDescent="0.25">
      <c r="A293" s="299"/>
      <c r="B293" s="18"/>
      <c r="C293" s="398"/>
      <c r="D293" s="301"/>
      <c r="E293" s="399"/>
      <c r="F293" s="399"/>
      <c r="G293" s="399"/>
      <c r="H293" s="301"/>
      <c r="I293" s="301"/>
      <c r="J293" s="301"/>
      <c r="K293" s="301"/>
      <c r="L293" s="301"/>
      <c r="M293" s="301"/>
      <c r="N293" s="301"/>
    </row>
    <row r="294" spans="1:14" ht="14" x14ac:dyDescent="0.25">
      <c r="A294" s="299"/>
      <c r="B294" s="18"/>
      <c r="C294" s="398"/>
      <c r="D294" s="301"/>
      <c r="E294" s="399"/>
      <c r="F294" s="399"/>
      <c r="G294" s="399"/>
      <c r="H294" s="301"/>
      <c r="I294" s="301"/>
      <c r="J294" s="301"/>
      <c r="K294" s="301"/>
      <c r="L294" s="301"/>
      <c r="M294" s="301"/>
      <c r="N294" s="301"/>
    </row>
    <row r="295" spans="1:14" ht="14" x14ac:dyDescent="0.25">
      <c r="A295" s="299"/>
      <c r="B295" s="18"/>
      <c r="C295" s="398"/>
      <c r="D295" s="301"/>
      <c r="E295" s="399"/>
      <c r="F295" s="399"/>
      <c r="G295" s="399"/>
      <c r="H295" s="301"/>
      <c r="I295" s="301"/>
      <c r="J295" s="301"/>
      <c r="K295" s="301"/>
      <c r="L295" s="301"/>
      <c r="M295" s="301"/>
      <c r="N295" s="301"/>
    </row>
    <row r="296" spans="1:14" ht="14" x14ac:dyDescent="0.25">
      <c r="A296" s="299"/>
      <c r="B296" s="18"/>
      <c r="C296" s="398"/>
      <c r="D296" s="301"/>
      <c r="E296" s="399"/>
      <c r="F296" s="399"/>
      <c r="G296" s="399"/>
      <c r="H296" s="301"/>
      <c r="I296" s="301"/>
      <c r="J296" s="301"/>
      <c r="K296" s="301"/>
      <c r="L296" s="301"/>
      <c r="M296" s="301"/>
      <c r="N296" s="301"/>
    </row>
    <row r="297" spans="1:14" ht="14" x14ac:dyDescent="0.25">
      <c r="A297" s="299"/>
      <c r="B297" s="18"/>
      <c r="C297" s="398"/>
      <c r="D297" s="301"/>
      <c r="E297" s="399"/>
      <c r="F297" s="399"/>
      <c r="G297" s="399"/>
      <c r="H297" s="301"/>
      <c r="I297" s="301"/>
      <c r="J297" s="301"/>
      <c r="K297" s="301"/>
      <c r="L297" s="301"/>
      <c r="M297" s="301"/>
      <c r="N297" s="301"/>
    </row>
    <row r="298" spans="1:14" ht="14" x14ac:dyDescent="0.25">
      <c r="A298" s="299"/>
      <c r="B298" s="18"/>
      <c r="C298" s="398"/>
      <c r="D298" s="301"/>
      <c r="E298" s="399"/>
      <c r="F298" s="399"/>
      <c r="G298" s="399"/>
      <c r="H298" s="301"/>
      <c r="I298" s="301"/>
      <c r="J298" s="301"/>
      <c r="K298" s="301"/>
      <c r="L298" s="301"/>
      <c r="M298" s="301"/>
      <c r="N298" s="301"/>
    </row>
    <row r="299" spans="1:14" ht="14" x14ac:dyDescent="0.25">
      <c r="A299" s="299"/>
      <c r="B299" s="18"/>
      <c r="C299" s="398"/>
      <c r="D299" s="301"/>
      <c r="E299" s="399"/>
      <c r="F299" s="399"/>
      <c r="G299" s="399"/>
      <c r="H299" s="301"/>
      <c r="I299" s="301"/>
      <c r="J299" s="301"/>
      <c r="K299" s="301"/>
      <c r="L299" s="301"/>
      <c r="M299" s="301"/>
      <c r="N299" s="301"/>
    </row>
    <row r="300" spans="1:14" ht="14" x14ac:dyDescent="0.25">
      <c r="A300" s="299"/>
      <c r="B300" s="18"/>
      <c r="C300" s="398"/>
      <c r="D300" s="301"/>
      <c r="E300" s="399"/>
      <c r="F300" s="399"/>
      <c r="G300" s="399"/>
      <c r="H300" s="301"/>
      <c r="I300" s="301"/>
      <c r="J300" s="301"/>
      <c r="K300" s="301"/>
      <c r="L300" s="301"/>
      <c r="M300" s="301"/>
      <c r="N300" s="301"/>
    </row>
    <row r="301" spans="1:14" ht="14" x14ac:dyDescent="0.25">
      <c r="A301" s="299"/>
      <c r="B301" s="18"/>
      <c r="C301" s="398"/>
      <c r="D301" s="301"/>
      <c r="E301" s="399"/>
      <c r="F301" s="399"/>
      <c r="G301" s="399"/>
      <c r="H301" s="301"/>
      <c r="I301" s="301"/>
      <c r="J301" s="301"/>
      <c r="K301" s="301"/>
      <c r="L301" s="301"/>
      <c r="M301" s="301"/>
      <c r="N301" s="301"/>
    </row>
    <row r="302" spans="1:14" ht="14" x14ac:dyDescent="0.25">
      <c r="A302" s="299"/>
      <c r="B302" s="18"/>
      <c r="C302" s="398"/>
      <c r="D302" s="301"/>
      <c r="E302" s="399"/>
      <c r="F302" s="399"/>
      <c r="G302" s="399"/>
      <c r="H302" s="301"/>
      <c r="I302" s="301"/>
      <c r="J302" s="301"/>
      <c r="K302" s="301"/>
      <c r="L302" s="301"/>
      <c r="M302" s="301"/>
      <c r="N302" s="301"/>
    </row>
    <row r="303" spans="1:14" ht="14" x14ac:dyDescent="0.25">
      <c r="A303" s="299"/>
      <c r="B303" s="18"/>
      <c r="C303" s="398"/>
      <c r="D303" s="301"/>
      <c r="E303" s="399"/>
      <c r="F303" s="399"/>
      <c r="G303" s="399"/>
      <c r="H303" s="301"/>
      <c r="I303" s="301"/>
      <c r="J303" s="301"/>
      <c r="K303" s="301"/>
      <c r="L303" s="301"/>
      <c r="M303" s="301"/>
      <c r="N303" s="301"/>
    </row>
    <row r="304" spans="1:14" ht="14" x14ac:dyDescent="0.25">
      <c r="A304" s="299"/>
      <c r="B304" s="18"/>
      <c r="C304" s="398"/>
      <c r="D304" s="301"/>
      <c r="E304" s="399"/>
      <c r="F304" s="399"/>
      <c r="G304" s="399"/>
      <c r="H304" s="301"/>
      <c r="I304" s="301"/>
      <c r="J304" s="301"/>
      <c r="K304" s="301"/>
      <c r="L304" s="301"/>
      <c r="M304" s="301"/>
      <c r="N304" s="301"/>
    </row>
    <row r="305" spans="1:14" ht="14" x14ac:dyDescent="0.25">
      <c r="A305" s="299"/>
      <c r="B305" s="18"/>
      <c r="C305" s="398"/>
      <c r="D305" s="301"/>
      <c r="E305" s="399"/>
      <c r="F305" s="399"/>
      <c r="G305" s="399"/>
      <c r="H305" s="301"/>
      <c r="I305" s="301"/>
      <c r="J305" s="301"/>
      <c r="K305" s="301"/>
      <c r="L305" s="301"/>
      <c r="M305" s="301"/>
      <c r="N305" s="301"/>
    </row>
    <row r="306" spans="1:14" ht="14" x14ac:dyDescent="0.25">
      <c r="A306" s="299"/>
      <c r="B306" s="18"/>
      <c r="C306" s="398"/>
      <c r="D306" s="301"/>
      <c r="E306" s="399"/>
      <c r="F306" s="399"/>
      <c r="G306" s="399"/>
      <c r="H306" s="301"/>
      <c r="I306" s="301"/>
      <c r="J306" s="301"/>
      <c r="K306" s="301"/>
      <c r="L306" s="301"/>
      <c r="M306" s="301"/>
      <c r="N306" s="301"/>
    </row>
    <row r="307" spans="1:14" ht="14" x14ac:dyDescent="0.25">
      <c r="A307" s="299"/>
      <c r="B307" s="18"/>
      <c r="C307" s="398"/>
      <c r="D307" s="301"/>
      <c r="E307" s="399"/>
      <c r="F307" s="399"/>
      <c r="G307" s="399"/>
      <c r="H307" s="301"/>
      <c r="I307" s="301"/>
      <c r="J307" s="301"/>
      <c r="K307" s="301"/>
      <c r="L307" s="301"/>
      <c r="M307" s="301"/>
      <c r="N307" s="301"/>
    </row>
    <row r="308" spans="1:14" ht="14" x14ac:dyDescent="0.25">
      <c r="A308" s="299"/>
      <c r="B308" s="18"/>
      <c r="C308" s="398"/>
      <c r="D308" s="301"/>
      <c r="E308" s="399"/>
      <c r="F308" s="399"/>
      <c r="G308" s="399"/>
      <c r="H308" s="301"/>
      <c r="I308" s="301"/>
      <c r="J308" s="301"/>
      <c r="K308" s="301"/>
      <c r="L308" s="301"/>
      <c r="M308" s="301"/>
      <c r="N308" s="301"/>
    </row>
    <row r="309" spans="1:14" ht="14" x14ac:dyDescent="0.25">
      <c r="A309" s="299"/>
      <c r="B309" s="18"/>
      <c r="C309" s="398"/>
      <c r="D309" s="301"/>
      <c r="E309" s="399"/>
      <c r="F309" s="399"/>
      <c r="G309" s="399"/>
      <c r="H309" s="301"/>
      <c r="I309" s="301"/>
      <c r="J309" s="301"/>
      <c r="K309" s="301"/>
      <c r="L309" s="301"/>
      <c r="M309" s="301"/>
      <c r="N309" s="301"/>
    </row>
    <row r="310" spans="1:14" ht="14" x14ac:dyDescent="0.25">
      <c r="A310" s="299"/>
      <c r="B310" s="18"/>
      <c r="C310" s="398"/>
      <c r="D310" s="301"/>
      <c r="E310" s="399"/>
      <c r="F310" s="399"/>
      <c r="G310" s="399"/>
      <c r="H310" s="301"/>
      <c r="I310" s="301"/>
      <c r="J310" s="301"/>
      <c r="K310" s="301"/>
      <c r="L310" s="301"/>
      <c r="M310" s="301"/>
      <c r="N310" s="301"/>
    </row>
    <row r="311" spans="1:14" ht="14" x14ac:dyDescent="0.25">
      <c r="A311" s="299"/>
      <c r="B311" s="18"/>
      <c r="C311" s="398"/>
      <c r="D311" s="301"/>
      <c r="E311" s="399"/>
      <c r="F311" s="399"/>
      <c r="G311" s="399"/>
      <c r="H311" s="301"/>
      <c r="I311" s="301"/>
      <c r="J311" s="301"/>
      <c r="K311" s="301"/>
      <c r="L311" s="301"/>
      <c r="M311" s="301"/>
      <c r="N311" s="301"/>
    </row>
    <row r="312" spans="1:14" ht="14" x14ac:dyDescent="0.25">
      <c r="A312" s="299"/>
      <c r="B312" s="18"/>
      <c r="C312" s="398"/>
      <c r="D312" s="301"/>
      <c r="E312" s="399"/>
      <c r="F312" s="399"/>
      <c r="G312" s="399"/>
      <c r="H312" s="301"/>
      <c r="I312" s="301"/>
      <c r="J312" s="301"/>
      <c r="K312" s="301"/>
      <c r="L312" s="301"/>
      <c r="M312" s="301"/>
      <c r="N312" s="301"/>
    </row>
    <row r="313" spans="1:14" ht="14" x14ac:dyDescent="0.25">
      <c r="A313" s="299"/>
      <c r="B313" s="18"/>
      <c r="C313" s="398"/>
      <c r="D313" s="301"/>
      <c r="E313" s="399"/>
      <c r="F313" s="399"/>
      <c r="G313" s="399"/>
      <c r="H313" s="301"/>
      <c r="I313" s="301"/>
      <c r="J313" s="301"/>
      <c r="K313" s="301"/>
      <c r="L313" s="301"/>
      <c r="M313" s="301"/>
      <c r="N313" s="301"/>
    </row>
    <row r="314" spans="1:14" ht="14" x14ac:dyDescent="0.25">
      <c r="A314" s="299"/>
      <c r="B314" s="18"/>
      <c r="C314" s="398"/>
      <c r="D314" s="301"/>
      <c r="E314" s="399"/>
      <c r="F314" s="399"/>
      <c r="G314" s="399"/>
      <c r="H314" s="301"/>
      <c r="I314" s="301"/>
      <c r="J314" s="301"/>
      <c r="K314" s="301"/>
      <c r="L314" s="301"/>
      <c r="M314" s="301"/>
      <c r="N314" s="301"/>
    </row>
    <row r="315" spans="1:14" ht="14" x14ac:dyDescent="0.25">
      <c r="A315" s="299"/>
      <c r="B315" s="18"/>
      <c r="C315" s="398"/>
      <c r="D315" s="301"/>
      <c r="E315" s="399"/>
      <c r="F315" s="399"/>
      <c r="G315" s="399"/>
      <c r="H315" s="301"/>
      <c r="I315" s="301"/>
      <c r="J315" s="301"/>
      <c r="K315" s="301"/>
      <c r="L315" s="301"/>
      <c r="M315" s="301"/>
      <c r="N315" s="301"/>
    </row>
    <row r="316" spans="1:14" ht="14" x14ac:dyDescent="0.25">
      <c r="A316" s="299"/>
      <c r="B316" s="18"/>
      <c r="C316" s="398"/>
      <c r="D316" s="301"/>
      <c r="E316" s="399"/>
      <c r="F316" s="399"/>
      <c r="G316" s="399"/>
      <c r="H316" s="301"/>
      <c r="I316" s="301"/>
      <c r="J316" s="301"/>
      <c r="K316" s="301"/>
      <c r="L316" s="301"/>
      <c r="M316" s="301"/>
      <c r="N316" s="301"/>
    </row>
    <row r="317" spans="1:14" ht="14" x14ac:dyDescent="0.25">
      <c r="A317" s="299"/>
      <c r="B317" s="18"/>
      <c r="C317" s="398"/>
      <c r="D317" s="301"/>
      <c r="E317" s="399"/>
      <c r="F317" s="399"/>
      <c r="G317" s="399"/>
      <c r="H317" s="301"/>
      <c r="I317" s="301"/>
      <c r="J317" s="301"/>
      <c r="K317" s="301"/>
      <c r="L317" s="301"/>
      <c r="M317" s="301"/>
      <c r="N317" s="301"/>
    </row>
    <row r="318" spans="1:14" ht="14" x14ac:dyDescent="0.25">
      <c r="A318" s="299"/>
      <c r="B318" s="18"/>
      <c r="C318" s="398"/>
      <c r="D318" s="301"/>
      <c r="E318" s="399"/>
      <c r="F318" s="399"/>
      <c r="G318" s="399"/>
      <c r="H318" s="301"/>
      <c r="I318" s="301"/>
      <c r="J318" s="301"/>
      <c r="K318" s="301"/>
      <c r="L318" s="301"/>
      <c r="M318" s="301"/>
      <c r="N318" s="301"/>
    </row>
    <row r="319" spans="1:14" ht="14" x14ac:dyDescent="0.25">
      <c r="A319" s="299"/>
      <c r="B319" s="18"/>
      <c r="C319" s="398"/>
      <c r="D319" s="301"/>
      <c r="E319" s="399"/>
      <c r="F319" s="399"/>
      <c r="G319" s="399"/>
      <c r="H319" s="301"/>
      <c r="I319" s="301"/>
      <c r="J319" s="301"/>
      <c r="K319" s="301"/>
      <c r="L319" s="301"/>
      <c r="M319" s="301"/>
      <c r="N319" s="301"/>
    </row>
    <row r="320" spans="1:14" ht="14" x14ac:dyDescent="0.25">
      <c r="A320" s="299"/>
      <c r="B320" s="18"/>
      <c r="C320" s="398"/>
      <c r="D320" s="301"/>
      <c r="E320" s="399"/>
      <c r="F320" s="399"/>
      <c r="G320" s="399"/>
      <c r="H320" s="301"/>
      <c r="I320" s="301"/>
      <c r="J320" s="301"/>
      <c r="K320" s="301"/>
      <c r="L320" s="301"/>
      <c r="M320" s="301"/>
      <c r="N320" s="301"/>
    </row>
    <row r="321" spans="1:14" ht="14" x14ac:dyDescent="0.25">
      <c r="A321" s="299"/>
      <c r="B321" s="18"/>
      <c r="C321" s="398"/>
      <c r="D321" s="301"/>
      <c r="E321" s="399"/>
      <c r="F321" s="399"/>
      <c r="G321" s="399"/>
      <c r="H321" s="301"/>
      <c r="I321" s="301"/>
      <c r="J321" s="301"/>
      <c r="K321" s="301"/>
      <c r="L321" s="301"/>
      <c r="M321" s="301"/>
      <c r="N321" s="301"/>
    </row>
    <row r="322" spans="1:14" ht="14" x14ac:dyDescent="0.25">
      <c r="A322" s="299"/>
      <c r="B322" s="18"/>
      <c r="C322" s="398"/>
      <c r="D322" s="301"/>
      <c r="E322" s="399"/>
      <c r="F322" s="399"/>
      <c r="G322" s="399"/>
      <c r="H322" s="301"/>
      <c r="I322" s="301"/>
      <c r="J322" s="301"/>
      <c r="K322" s="301"/>
      <c r="L322" s="301"/>
      <c r="M322" s="301"/>
      <c r="N322" s="301"/>
    </row>
    <row r="323" spans="1:14" ht="14" x14ac:dyDescent="0.25">
      <c r="A323" s="299"/>
      <c r="B323" s="18"/>
      <c r="C323" s="398"/>
      <c r="D323" s="301"/>
      <c r="E323" s="399"/>
      <c r="F323" s="399"/>
      <c r="G323" s="399"/>
      <c r="H323" s="301"/>
      <c r="I323" s="301"/>
      <c r="J323" s="301"/>
      <c r="K323" s="301"/>
      <c r="L323" s="301"/>
      <c r="M323" s="301"/>
      <c r="N323" s="301"/>
    </row>
    <row r="324" spans="1:14" ht="14" x14ac:dyDescent="0.25">
      <c r="A324" s="299"/>
      <c r="B324" s="18"/>
      <c r="C324" s="398"/>
      <c r="D324" s="301"/>
      <c r="E324" s="399"/>
      <c r="F324" s="399"/>
      <c r="G324" s="399"/>
      <c r="H324" s="301"/>
      <c r="I324" s="301"/>
      <c r="J324" s="301"/>
      <c r="K324" s="301"/>
      <c r="L324" s="301"/>
      <c r="M324" s="301"/>
      <c r="N324" s="301"/>
    </row>
    <row r="325" spans="1:14" ht="14" x14ac:dyDescent="0.25">
      <c r="A325" s="299"/>
      <c r="B325" s="18"/>
      <c r="C325" s="398"/>
      <c r="D325" s="301"/>
      <c r="E325" s="399"/>
      <c r="F325" s="399"/>
      <c r="G325" s="399"/>
      <c r="H325" s="301"/>
      <c r="I325" s="301"/>
      <c r="J325" s="301"/>
      <c r="K325" s="301"/>
      <c r="L325" s="301"/>
      <c r="M325" s="301"/>
      <c r="N325" s="301"/>
    </row>
    <row r="326" spans="1:14" ht="14" x14ac:dyDescent="0.25">
      <c r="A326" s="299"/>
      <c r="B326" s="18"/>
      <c r="C326" s="398"/>
      <c r="D326" s="301"/>
      <c r="E326" s="399"/>
      <c r="F326" s="399"/>
      <c r="G326" s="399"/>
      <c r="H326" s="301"/>
      <c r="I326" s="301"/>
      <c r="J326" s="301"/>
      <c r="K326" s="301"/>
      <c r="L326" s="301"/>
      <c r="M326" s="301"/>
      <c r="N326" s="301"/>
    </row>
    <row r="327" spans="1:14" ht="14" x14ac:dyDescent="0.25">
      <c r="A327" s="299"/>
      <c r="B327" s="18"/>
      <c r="C327" s="398"/>
      <c r="D327" s="301"/>
      <c r="E327" s="399"/>
      <c r="F327" s="399"/>
      <c r="G327" s="399"/>
      <c r="H327" s="301"/>
      <c r="I327" s="301"/>
      <c r="J327" s="301"/>
      <c r="K327" s="301"/>
      <c r="L327" s="301"/>
      <c r="M327" s="301"/>
      <c r="N327" s="301"/>
    </row>
    <row r="328" spans="1:14" ht="14" x14ac:dyDescent="0.25">
      <c r="A328" s="299"/>
      <c r="B328" s="18"/>
      <c r="C328" s="398"/>
      <c r="D328" s="301"/>
      <c r="E328" s="399"/>
      <c r="F328" s="399"/>
      <c r="G328" s="399"/>
      <c r="H328" s="301"/>
      <c r="I328" s="301"/>
      <c r="J328" s="301"/>
      <c r="K328" s="301"/>
      <c r="L328" s="301"/>
      <c r="M328" s="301"/>
      <c r="N328" s="301"/>
    </row>
    <row r="329" spans="1:14" ht="14" x14ac:dyDescent="0.25">
      <c r="A329" s="299"/>
      <c r="B329" s="18"/>
      <c r="C329" s="398"/>
      <c r="D329" s="301"/>
      <c r="E329" s="399"/>
      <c r="F329" s="399"/>
      <c r="G329" s="399"/>
      <c r="H329" s="301"/>
      <c r="I329" s="301"/>
      <c r="J329" s="301"/>
      <c r="K329" s="301"/>
      <c r="L329" s="301"/>
      <c r="M329" s="301"/>
      <c r="N329" s="301"/>
    </row>
    <row r="330" spans="1:14" ht="14" x14ac:dyDescent="0.25">
      <c r="A330" s="299"/>
      <c r="B330" s="18"/>
      <c r="C330" s="398"/>
      <c r="D330" s="301"/>
      <c r="E330" s="399"/>
      <c r="F330" s="399"/>
      <c r="G330" s="399"/>
      <c r="H330" s="301"/>
      <c r="I330" s="301"/>
      <c r="J330" s="301"/>
      <c r="K330" s="301"/>
      <c r="L330" s="301"/>
      <c r="M330" s="301"/>
      <c r="N330" s="301"/>
    </row>
    <row r="331" spans="1:14" ht="14" x14ac:dyDescent="0.25">
      <c r="A331" s="299"/>
      <c r="B331" s="18"/>
      <c r="C331" s="398"/>
      <c r="D331" s="301"/>
      <c r="E331" s="399"/>
      <c r="F331" s="399"/>
      <c r="G331" s="399"/>
      <c r="H331" s="301"/>
      <c r="I331" s="301"/>
      <c r="J331" s="301"/>
      <c r="K331" s="301"/>
      <c r="L331" s="301"/>
      <c r="M331" s="301"/>
      <c r="N331" s="301"/>
    </row>
    <row r="332" spans="1:14" ht="14" x14ac:dyDescent="0.25">
      <c r="A332" s="299"/>
      <c r="B332" s="18"/>
      <c r="C332" s="398"/>
      <c r="D332" s="301"/>
      <c r="E332" s="399"/>
      <c r="F332" s="399"/>
      <c r="G332" s="399"/>
      <c r="H332" s="301"/>
      <c r="I332" s="301"/>
      <c r="J332" s="301"/>
      <c r="K332" s="301"/>
      <c r="L332" s="301"/>
      <c r="M332" s="301"/>
      <c r="N332" s="301"/>
    </row>
    <row r="333" spans="1:14" ht="14" x14ac:dyDescent="0.25">
      <c r="A333" s="299"/>
      <c r="B333" s="18"/>
      <c r="C333" s="398"/>
      <c r="D333" s="301"/>
      <c r="E333" s="399"/>
      <c r="F333" s="399"/>
      <c r="G333" s="399"/>
      <c r="H333" s="301"/>
      <c r="I333" s="301"/>
      <c r="J333" s="301"/>
      <c r="K333" s="301"/>
      <c r="L333" s="301"/>
      <c r="M333" s="301"/>
      <c r="N333" s="301"/>
    </row>
    <row r="334" spans="1:14" ht="14" x14ac:dyDescent="0.25">
      <c r="A334" s="299"/>
      <c r="B334" s="18"/>
      <c r="C334" s="398"/>
      <c r="D334" s="301"/>
      <c r="E334" s="399"/>
      <c r="F334" s="399"/>
      <c r="G334" s="399"/>
      <c r="H334" s="301"/>
      <c r="I334" s="301"/>
      <c r="J334" s="301"/>
      <c r="K334" s="301"/>
      <c r="L334" s="301"/>
      <c r="M334" s="301"/>
      <c r="N334" s="301"/>
    </row>
    <row r="335" spans="1:14" ht="14" x14ac:dyDescent="0.25">
      <c r="A335" s="299"/>
      <c r="B335" s="18"/>
      <c r="C335" s="398"/>
      <c r="D335" s="301"/>
      <c r="E335" s="399"/>
      <c r="F335" s="399"/>
      <c r="G335" s="399"/>
      <c r="H335" s="301"/>
      <c r="I335" s="301"/>
      <c r="J335" s="301"/>
      <c r="K335" s="301"/>
      <c r="L335" s="301"/>
      <c r="M335" s="301"/>
      <c r="N335" s="301"/>
    </row>
    <row r="336" spans="1:14" ht="14" x14ac:dyDescent="0.25">
      <c r="A336" s="299"/>
      <c r="B336" s="18"/>
      <c r="C336" s="398"/>
      <c r="D336" s="301"/>
      <c r="E336" s="399"/>
      <c r="F336" s="399"/>
      <c r="G336" s="399"/>
      <c r="H336" s="301"/>
      <c r="I336" s="301"/>
      <c r="J336" s="301"/>
      <c r="K336" s="301"/>
      <c r="L336" s="301"/>
      <c r="M336" s="301"/>
      <c r="N336" s="301"/>
    </row>
    <row r="337" spans="1:14" ht="14" x14ac:dyDescent="0.25">
      <c r="A337" s="299"/>
      <c r="B337" s="18"/>
      <c r="C337" s="398"/>
      <c r="D337" s="301"/>
      <c r="E337" s="399"/>
      <c r="F337" s="399"/>
      <c r="G337" s="399"/>
      <c r="H337" s="301"/>
      <c r="I337" s="301"/>
      <c r="J337" s="301"/>
      <c r="K337" s="301"/>
      <c r="L337" s="301"/>
      <c r="M337" s="301"/>
      <c r="N337" s="301"/>
    </row>
    <row r="338" spans="1:14" ht="14" x14ac:dyDescent="0.25">
      <c r="A338" s="299"/>
      <c r="B338" s="18"/>
      <c r="C338" s="398"/>
      <c r="D338" s="301"/>
      <c r="E338" s="399"/>
      <c r="F338" s="399"/>
      <c r="G338" s="399"/>
      <c r="H338" s="301"/>
      <c r="I338" s="301"/>
      <c r="J338" s="301"/>
      <c r="K338" s="301"/>
      <c r="L338" s="301"/>
      <c r="M338" s="301"/>
      <c r="N338" s="301"/>
    </row>
    <row r="339" spans="1:14" ht="14" x14ac:dyDescent="0.25">
      <c r="A339" s="299"/>
      <c r="B339" s="18"/>
      <c r="C339" s="398"/>
      <c r="D339" s="301"/>
      <c r="E339" s="399"/>
      <c r="F339" s="399"/>
      <c r="G339" s="399"/>
      <c r="H339" s="301"/>
      <c r="I339" s="301"/>
      <c r="J339" s="301"/>
      <c r="K339" s="301"/>
      <c r="L339" s="301"/>
      <c r="M339" s="301"/>
      <c r="N339" s="301"/>
    </row>
    <row r="340" spans="1:14" ht="14" x14ac:dyDescent="0.25">
      <c r="A340" s="299"/>
      <c r="B340" s="18"/>
      <c r="C340" s="398"/>
      <c r="D340" s="301"/>
      <c r="E340" s="399"/>
      <c r="F340" s="399"/>
      <c r="G340" s="399"/>
      <c r="H340" s="301"/>
      <c r="I340" s="301"/>
      <c r="J340" s="301"/>
      <c r="K340" s="301"/>
      <c r="L340" s="301"/>
      <c r="M340" s="301"/>
      <c r="N340" s="301"/>
    </row>
    <row r="341" spans="1:14" ht="14" x14ac:dyDescent="0.25">
      <c r="A341" s="299"/>
      <c r="B341" s="18"/>
      <c r="C341" s="398"/>
      <c r="D341" s="301"/>
      <c r="E341" s="399"/>
      <c r="F341" s="399"/>
      <c r="G341" s="399"/>
      <c r="H341" s="301"/>
      <c r="I341" s="301"/>
      <c r="J341" s="301"/>
      <c r="K341" s="301"/>
      <c r="L341" s="301"/>
      <c r="M341" s="301"/>
      <c r="N341" s="301"/>
    </row>
    <row r="342" spans="1:14" ht="14" x14ac:dyDescent="0.25">
      <c r="A342" s="299"/>
      <c r="B342" s="18"/>
      <c r="C342" s="398"/>
      <c r="D342" s="301"/>
      <c r="E342" s="399"/>
      <c r="F342" s="399"/>
      <c r="G342" s="399"/>
      <c r="H342" s="301"/>
      <c r="I342" s="301"/>
      <c r="J342" s="301"/>
      <c r="K342" s="301"/>
      <c r="L342" s="301"/>
      <c r="M342" s="301"/>
      <c r="N342" s="301"/>
    </row>
    <row r="343" spans="1:14" ht="14" x14ac:dyDescent="0.25">
      <c r="A343" s="299"/>
      <c r="B343" s="18"/>
      <c r="C343" s="398"/>
      <c r="D343" s="301"/>
      <c r="E343" s="399"/>
      <c r="F343" s="399"/>
      <c r="G343" s="399"/>
      <c r="H343" s="301"/>
      <c r="I343" s="301"/>
      <c r="J343" s="301"/>
      <c r="K343" s="301"/>
      <c r="L343" s="301"/>
      <c r="M343" s="301"/>
      <c r="N343" s="301"/>
    </row>
    <row r="344" spans="1:14" ht="14" x14ac:dyDescent="0.25">
      <c r="A344" s="299"/>
      <c r="B344" s="18"/>
      <c r="C344" s="398"/>
      <c r="D344" s="301"/>
      <c r="E344" s="399"/>
      <c r="F344" s="399"/>
      <c r="G344" s="399"/>
      <c r="H344" s="301"/>
      <c r="I344" s="301"/>
      <c r="J344" s="301"/>
      <c r="K344" s="301"/>
      <c r="L344" s="301"/>
      <c r="M344" s="301"/>
      <c r="N344" s="301"/>
    </row>
    <row r="345" spans="1:14" ht="14" x14ac:dyDescent="0.25">
      <c r="A345" s="299"/>
      <c r="B345" s="18"/>
      <c r="C345" s="398"/>
      <c r="D345" s="301"/>
      <c r="E345" s="399"/>
      <c r="F345" s="399"/>
      <c r="G345" s="399"/>
      <c r="H345" s="301"/>
      <c r="I345" s="301"/>
      <c r="J345" s="301"/>
      <c r="K345" s="301"/>
      <c r="L345" s="301"/>
      <c r="M345" s="301"/>
      <c r="N345" s="301"/>
    </row>
    <row r="346" spans="1:14" ht="14" x14ac:dyDescent="0.25">
      <c r="A346" s="299"/>
      <c r="B346" s="18"/>
      <c r="C346" s="398"/>
      <c r="D346" s="301"/>
      <c r="E346" s="399"/>
      <c r="F346" s="399"/>
      <c r="G346" s="399"/>
      <c r="H346" s="301"/>
      <c r="I346" s="301"/>
      <c r="J346" s="301"/>
      <c r="K346" s="301"/>
      <c r="L346" s="301"/>
      <c r="M346" s="301"/>
      <c r="N346" s="301"/>
    </row>
    <row r="347" spans="1:14" ht="14" x14ac:dyDescent="0.25">
      <c r="A347" s="299"/>
      <c r="B347" s="18"/>
      <c r="C347" s="398"/>
      <c r="D347" s="301"/>
      <c r="E347" s="399"/>
      <c r="F347" s="399"/>
      <c r="G347" s="399"/>
      <c r="H347" s="301"/>
      <c r="I347" s="301"/>
      <c r="J347" s="301"/>
      <c r="K347" s="301"/>
      <c r="L347" s="301"/>
      <c r="M347" s="301"/>
      <c r="N347" s="301"/>
    </row>
    <row r="348" spans="1:14" ht="14" x14ac:dyDescent="0.25">
      <c r="A348" s="299"/>
      <c r="B348" s="18"/>
      <c r="C348" s="398"/>
      <c r="D348" s="301"/>
      <c r="E348" s="399"/>
      <c r="F348" s="399"/>
      <c r="G348" s="399"/>
      <c r="H348" s="301"/>
      <c r="I348" s="301"/>
      <c r="J348" s="301"/>
      <c r="K348" s="301"/>
      <c r="L348" s="301"/>
      <c r="M348" s="301"/>
      <c r="N348" s="301"/>
    </row>
    <row r="349" spans="1:14" ht="14" x14ac:dyDescent="0.25">
      <c r="A349" s="299"/>
      <c r="B349" s="18"/>
      <c r="C349" s="398"/>
      <c r="D349" s="301"/>
      <c r="E349" s="399"/>
      <c r="F349" s="399"/>
      <c r="G349" s="399"/>
      <c r="H349" s="301"/>
      <c r="I349" s="301"/>
      <c r="J349" s="301"/>
      <c r="K349" s="301"/>
      <c r="L349" s="301"/>
      <c r="M349" s="301"/>
      <c r="N349" s="301"/>
    </row>
    <row r="350" spans="1:14" ht="14" x14ac:dyDescent="0.25">
      <c r="A350" s="299"/>
      <c r="B350" s="18"/>
      <c r="C350" s="398"/>
      <c r="D350" s="301"/>
      <c r="E350" s="399"/>
      <c r="F350" s="399"/>
      <c r="G350" s="399"/>
      <c r="H350" s="301"/>
      <c r="I350" s="301"/>
      <c r="J350" s="301"/>
      <c r="K350" s="301"/>
      <c r="L350" s="301"/>
      <c r="M350" s="301"/>
      <c r="N350" s="301"/>
    </row>
    <row r="351" spans="1:14" ht="14" x14ac:dyDescent="0.25">
      <c r="A351" s="299"/>
      <c r="B351" s="18"/>
      <c r="C351" s="398"/>
      <c r="D351" s="301"/>
      <c r="E351" s="399"/>
      <c r="F351" s="399"/>
      <c r="G351" s="399"/>
      <c r="H351" s="301"/>
      <c r="I351" s="301"/>
      <c r="J351" s="301"/>
      <c r="K351" s="301"/>
      <c r="L351" s="301"/>
      <c r="M351" s="301"/>
      <c r="N351" s="301"/>
    </row>
    <row r="352" spans="1:14" ht="14" x14ac:dyDescent="0.25">
      <c r="A352" s="299"/>
      <c r="B352" s="18"/>
      <c r="C352" s="398"/>
      <c r="D352" s="301"/>
      <c r="E352" s="399"/>
      <c r="F352" s="399"/>
      <c r="G352" s="399"/>
      <c r="H352" s="301"/>
      <c r="I352" s="301"/>
      <c r="J352" s="301"/>
      <c r="K352" s="301"/>
      <c r="L352" s="301"/>
      <c r="M352" s="301"/>
      <c r="N352" s="301"/>
    </row>
    <row r="353" spans="1:14" ht="14" x14ac:dyDescent="0.25">
      <c r="A353" s="299"/>
      <c r="B353" s="18"/>
      <c r="C353" s="398"/>
      <c r="D353" s="301"/>
      <c r="E353" s="399"/>
      <c r="F353" s="399"/>
      <c r="G353" s="399"/>
      <c r="H353" s="301"/>
      <c r="I353" s="301"/>
      <c r="J353" s="301"/>
      <c r="K353" s="301"/>
      <c r="L353" s="301"/>
      <c r="M353" s="301"/>
      <c r="N353" s="301"/>
    </row>
    <row r="354" spans="1:14" ht="14" x14ac:dyDescent="0.25">
      <c r="A354" s="299"/>
      <c r="B354" s="18"/>
      <c r="C354" s="398"/>
      <c r="D354" s="301"/>
      <c r="E354" s="399"/>
      <c r="F354" s="399"/>
      <c r="G354" s="399"/>
      <c r="H354" s="301"/>
      <c r="I354" s="301"/>
      <c r="J354" s="301"/>
      <c r="K354" s="301"/>
      <c r="L354" s="301"/>
      <c r="M354" s="301"/>
      <c r="N354" s="301"/>
    </row>
    <row r="355" spans="1:14" ht="14" x14ac:dyDescent="0.25">
      <c r="A355" s="299"/>
      <c r="B355" s="18"/>
      <c r="C355" s="398"/>
      <c r="D355" s="301"/>
      <c r="E355" s="399"/>
      <c r="F355" s="399"/>
      <c r="G355" s="399"/>
      <c r="H355" s="301"/>
      <c r="I355" s="301"/>
      <c r="J355" s="301"/>
      <c r="K355" s="301"/>
      <c r="L355" s="301"/>
      <c r="M355" s="301"/>
      <c r="N355" s="301"/>
    </row>
    <row r="356" spans="1:14" ht="14" x14ac:dyDescent="0.25">
      <c r="A356" s="299"/>
      <c r="B356" s="18"/>
      <c r="C356" s="398"/>
      <c r="D356" s="301"/>
      <c r="E356" s="399"/>
      <c r="F356" s="399"/>
      <c r="G356" s="399"/>
      <c r="H356" s="301"/>
      <c r="I356" s="301"/>
      <c r="J356" s="301"/>
      <c r="K356" s="301"/>
      <c r="L356" s="301"/>
      <c r="M356" s="301"/>
      <c r="N356" s="301"/>
    </row>
    <row r="357" spans="1:14" ht="14" x14ac:dyDescent="0.25">
      <c r="A357" s="299"/>
      <c r="B357" s="18"/>
      <c r="C357" s="398"/>
      <c r="D357" s="301"/>
      <c r="E357" s="399"/>
      <c r="F357" s="399"/>
      <c r="G357" s="399"/>
      <c r="H357" s="301"/>
      <c r="I357" s="301"/>
      <c r="J357" s="301"/>
      <c r="K357" s="301"/>
      <c r="L357" s="301"/>
      <c r="M357" s="301"/>
      <c r="N357" s="301"/>
    </row>
    <row r="358" spans="1:14" ht="14" x14ac:dyDescent="0.25">
      <c r="A358" s="299"/>
      <c r="B358" s="18"/>
      <c r="C358" s="398"/>
      <c r="D358" s="301"/>
      <c r="E358" s="399"/>
      <c r="F358" s="399"/>
      <c r="G358" s="399"/>
      <c r="H358" s="301"/>
      <c r="I358" s="301"/>
      <c r="J358" s="301"/>
      <c r="K358" s="301"/>
      <c r="L358" s="301"/>
      <c r="M358" s="301"/>
      <c r="N358" s="301"/>
    </row>
    <row r="359" spans="1:14" ht="14" x14ac:dyDescent="0.25">
      <c r="A359" s="299"/>
      <c r="B359" s="18"/>
      <c r="C359" s="398"/>
      <c r="D359" s="301"/>
      <c r="E359" s="399"/>
      <c r="F359" s="399"/>
      <c r="G359" s="399"/>
      <c r="H359" s="301"/>
      <c r="I359" s="301"/>
      <c r="J359" s="301"/>
      <c r="K359" s="301"/>
      <c r="L359" s="301"/>
      <c r="M359" s="301"/>
      <c r="N359" s="301"/>
    </row>
    <row r="360" spans="1:14" ht="14" x14ac:dyDescent="0.25">
      <c r="A360" s="299"/>
      <c r="B360" s="18"/>
      <c r="C360" s="398"/>
      <c r="D360" s="301"/>
      <c r="E360" s="399"/>
      <c r="F360" s="399"/>
      <c r="G360" s="399"/>
      <c r="H360" s="301"/>
      <c r="I360" s="301"/>
      <c r="J360" s="301"/>
      <c r="K360" s="301"/>
      <c r="L360" s="301"/>
      <c r="M360" s="301"/>
      <c r="N360" s="301"/>
    </row>
    <row r="361" spans="1:14" ht="14" x14ac:dyDescent="0.25">
      <c r="A361" s="299"/>
      <c r="B361" s="18"/>
      <c r="C361" s="398"/>
      <c r="D361" s="301"/>
      <c r="E361" s="399"/>
      <c r="F361" s="399"/>
      <c r="G361" s="399"/>
      <c r="H361" s="301"/>
      <c r="I361" s="301"/>
      <c r="J361" s="301"/>
      <c r="K361" s="301"/>
      <c r="L361" s="301"/>
      <c r="M361" s="301"/>
      <c r="N361" s="301"/>
    </row>
    <row r="362" spans="1:14" ht="14" x14ac:dyDescent="0.25">
      <c r="A362" s="299"/>
      <c r="B362" s="18"/>
      <c r="C362" s="398"/>
      <c r="D362" s="301"/>
      <c r="E362" s="399"/>
      <c r="F362" s="399"/>
      <c r="G362" s="399"/>
      <c r="H362" s="301"/>
      <c r="I362" s="301"/>
      <c r="J362" s="301"/>
      <c r="K362" s="301"/>
      <c r="L362" s="301"/>
      <c r="M362" s="301"/>
      <c r="N362" s="301"/>
    </row>
    <row r="363" spans="1:14" ht="14" x14ac:dyDescent="0.25">
      <c r="A363" s="299"/>
      <c r="B363" s="18"/>
      <c r="C363" s="398"/>
      <c r="D363" s="301"/>
      <c r="E363" s="399"/>
      <c r="F363" s="399"/>
      <c r="G363" s="399"/>
      <c r="H363" s="301"/>
      <c r="I363" s="301"/>
      <c r="J363" s="301"/>
      <c r="K363" s="301"/>
      <c r="L363" s="301"/>
      <c r="M363" s="301"/>
      <c r="N363" s="301"/>
    </row>
    <row r="364" spans="1:14" ht="14" x14ac:dyDescent="0.25">
      <c r="A364" s="299"/>
      <c r="B364" s="18"/>
      <c r="C364" s="398"/>
      <c r="D364" s="301"/>
      <c r="E364" s="399"/>
      <c r="F364" s="399"/>
      <c r="G364" s="399"/>
      <c r="H364" s="301"/>
      <c r="I364" s="301"/>
      <c r="J364" s="301"/>
      <c r="K364" s="301"/>
      <c r="L364" s="301"/>
      <c r="M364" s="301"/>
      <c r="N364" s="301"/>
    </row>
    <row r="365" spans="1:14" ht="14" x14ac:dyDescent="0.25">
      <c r="A365" s="299"/>
      <c r="B365" s="18"/>
      <c r="C365" s="398"/>
      <c r="D365" s="301"/>
      <c r="E365" s="399"/>
      <c r="F365" s="399"/>
      <c r="G365" s="399"/>
      <c r="H365" s="301"/>
      <c r="I365" s="301"/>
      <c r="J365" s="301"/>
      <c r="K365" s="301"/>
      <c r="L365" s="301"/>
      <c r="M365" s="301"/>
      <c r="N365" s="301"/>
    </row>
    <row r="366" spans="1:14" ht="14" x14ac:dyDescent="0.25">
      <c r="A366" s="299"/>
      <c r="B366" s="18"/>
      <c r="C366" s="398"/>
      <c r="D366" s="301"/>
      <c r="E366" s="399"/>
      <c r="F366" s="399"/>
      <c r="G366" s="399"/>
      <c r="H366" s="301"/>
      <c r="I366" s="301"/>
      <c r="J366" s="301"/>
      <c r="K366" s="301"/>
      <c r="L366" s="301"/>
      <c r="M366" s="301"/>
      <c r="N366" s="301"/>
    </row>
    <row r="367" spans="1:14" ht="14" x14ac:dyDescent="0.25">
      <c r="A367" s="299"/>
      <c r="B367" s="18"/>
      <c r="C367" s="398"/>
      <c r="D367" s="301"/>
      <c r="E367" s="399"/>
      <c r="F367" s="399"/>
      <c r="G367" s="399"/>
      <c r="H367" s="301"/>
      <c r="I367" s="301"/>
      <c r="J367" s="301"/>
      <c r="K367" s="301"/>
      <c r="L367" s="301"/>
      <c r="M367" s="301"/>
      <c r="N367" s="301"/>
    </row>
    <row r="368" spans="1:14" ht="14" x14ac:dyDescent="0.25">
      <c r="A368" s="299"/>
      <c r="B368" s="18"/>
      <c r="C368" s="398"/>
      <c r="D368" s="301"/>
      <c r="E368" s="399"/>
      <c r="F368" s="399"/>
      <c r="G368" s="399"/>
      <c r="H368" s="301"/>
      <c r="I368" s="301"/>
      <c r="J368" s="301"/>
      <c r="K368" s="301"/>
      <c r="L368" s="301"/>
      <c r="M368" s="301"/>
      <c r="N368" s="301"/>
    </row>
    <row r="369" spans="1:14" ht="14" x14ac:dyDescent="0.25">
      <c r="A369" s="299"/>
      <c r="B369" s="18"/>
      <c r="C369" s="398"/>
      <c r="D369" s="301"/>
      <c r="E369" s="399"/>
      <c r="F369" s="399"/>
      <c r="G369" s="399"/>
      <c r="H369" s="301"/>
      <c r="I369" s="301"/>
      <c r="J369" s="301"/>
      <c r="K369" s="301"/>
      <c r="L369" s="301"/>
      <c r="M369" s="301"/>
      <c r="N369" s="301"/>
    </row>
    <row r="370" spans="1:14" ht="14" x14ac:dyDescent="0.25">
      <c r="A370" s="299"/>
      <c r="B370" s="18"/>
      <c r="C370" s="398"/>
      <c r="D370" s="301"/>
      <c r="E370" s="399"/>
      <c r="F370" s="399"/>
      <c r="G370" s="399"/>
      <c r="H370" s="301"/>
      <c r="I370" s="301"/>
      <c r="J370" s="301"/>
      <c r="K370" s="301"/>
      <c r="L370" s="301"/>
      <c r="M370" s="301"/>
      <c r="N370" s="301"/>
    </row>
    <row r="371" spans="1:14" ht="14" x14ac:dyDescent="0.25">
      <c r="A371" s="299"/>
      <c r="B371" s="18"/>
      <c r="C371" s="398"/>
      <c r="D371" s="301"/>
      <c r="E371" s="399"/>
      <c r="F371" s="399"/>
      <c r="G371" s="399"/>
      <c r="H371" s="301"/>
      <c r="I371" s="301"/>
      <c r="J371" s="301"/>
      <c r="K371" s="301"/>
      <c r="L371" s="301"/>
      <c r="M371" s="301"/>
      <c r="N371" s="301"/>
    </row>
    <row r="372" spans="1:14" ht="14" x14ac:dyDescent="0.25">
      <c r="A372" s="299"/>
      <c r="B372" s="18"/>
      <c r="C372" s="398"/>
      <c r="D372" s="301"/>
      <c r="E372" s="399"/>
      <c r="F372" s="399"/>
      <c r="G372" s="399"/>
      <c r="H372" s="301"/>
      <c r="I372" s="301"/>
      <c r="J372" s="301"/>
      <c r="K372" s="301"/>
      <c r="L372" s="301"/>
      <c r="M372" s="301"/>
      <c r="N372" s="301"/>
    </row>
    <row r="373" spans="1:14" ht="14" x14ac:dyDescent="0.25">
      <c r="A373" s="299"/>
      <c r="B373" s="18"/>
      <c r="C373" s="398"/>
      <c r="D373" s="301"/>
      <c r="E373" s="399"/>
      <c r="F373" s="399"/>
      <c r="G373" s="399"/>
      <c r="H373" s="301"/>
      <c r="I373" s="301"/>
      <c r="J373" s="301"/>
      <c r="K373" s="301"/>
      <c r="L373" s="301"/>
      <c r="M373" s="301"/>
      <c r="N373" s="301"/>
    </row>
    <row r="374" spans="1:14" ht="14" x14ac:dyDescent="0.25">
      <c r="A374" s="299"/>
      <c r="B374" s="18"/>
      <c r="C374" s="398"/>
      <c r="D374" s="301"/>
      <c r="E374" s="399"/>
      <c r="F374" s="399"/>
      <c r="G374" s="399"/>
      <c r="H374" s="301"/>
      <c r="I374" s="301"/>
      <c r="J374" s="301"/>
      <c r="K374" s="301"/>
      <c r="L374" s="301"/>
      <c r="M374" s="301"/>
      <c r="N374" s="301"/>
    </row>
    <row r="375" spans="1:14" ht="14" x14ac:dyDescent="0.25">
      <c r="A375" s="299"/>
      <c r="B375" s="18"/>
      <c r="C375" s="398"/>
      <c r="D375" s="301"/>
      <c r="E375" s="399"/>
      <c r="F375" s="399"/>
      <c r="G375" s="399"/>
      <c r="H375" s="301"/>
      <c r="I375" s="301"/>
      <c r="J375" s="301"/>
      <c r="K375" s="301"/>
      <c r="L375" s="301"/>
      <c r="M375" s="301"/>
      <c r="N375" s="301"/>
    </row>
    <row r="376" spans="1:14" ht="14" x14ac:dyDescent="0.25">
      <c r="A376" s="299"/>
      <c r="B376" s="18"/>
      <c r="C376" s="398"/>
      <c r="D376" s="301"/>
      <c r="E376" s="399"/>
      <c r="F376" s="399"/>
      <c r="G376" s="399"/>
      <c r="H376" s="301"/>
      <c r="I376" s="301"/>
      <c r="J376" s="301"/>
      <c r="K376" s="301"/>
      <c r="L376" s="301"/>
      <c r="M376" s="301"/>
      <c r="N376" s="301"/>
    </row>
    <row r="377" spans="1:14" ht="14" x14ac:dyDescent="0.25">
      <c r="A377" s="299"/>
      <c r="B377" s="18"/>
      <c r="C377" s="398"/>
      <c r="D377" s="301"/>
      <c r="E377" s="399"/>
      <c r="F377" s="399"/>
      <c r="G377" s="399"/>
      <c r="H377" s="301"/>
      <c r="I377" s="301"/>
      <c r="J377" s="301"/>
      <c r="K377" s="301"/>
      <c r="L377" s="301"/>
      <c r="M377" s="301"/>
      <c r="N377" s="301"/>
    </row>
    <row r="378" spans="1:14" ht="14" x14ac:dyDescent="0.25">
      <c r="A378" s="299"/>
      <c r="B378" s="18"/>
      <c r="C378" s="398"/>
      <c r="D378" s="301"/>
      <c r="E378" s="399"/>
      <c r="F378" s="399"/>
      <c r="G378" s="399"/>
      <c r="H378" s="301"/>
      <c r="I378" s="301"/>
      <c r="J378" s="301"/>
      <c r="K378" s="301"/>
      <c r="L378" s="301"/>
      <c r="M378" s="301"/>
      <c r="N378" s="301"/>
    </row>
    <row r="379" spans="1:14" ht="14" x14ac:dyDescent="0.25">
      <c r="A379" s="299"/>
      <c r="B379" s="18"/>
      <c r="C379" s="398"/>
      <c r="D379" s="301"/>
      <c r="E379" s="399"/>
      <c r="F379" s="399"/>
      <c r="G379" s="399"/>
      <c r="H379" s="301"/>
      <c r="I379" s="301"/>
      <c r="J379" s="301"/>
      <c r="K379" s="301"/>
      <c r="L379" s="301"/>
      <c r="M379" s="301"/>
      <c r="N379" s="301"/>
    </row>
    <row r="380" spans="1:14" ht="14" x14ac:dyDescent="0.25">
      <c r="A380" s="299"/>
      <c r="B380" s="18"/>
      <c r="C380" s="398"/>
      <c r="D380" s="301"/>
      <c r="E380" s="399"/>
      <c r="F380" s="399"/>
      <c r="G380" s="399"/>
      <c r="H380" s="301"/>
      <c r="I380" s="301"/>
      <c r="J380" s="301"/>
      <c r="K380" s="301"/>
      <c r="L380" s="301"/>
      <c r="M380" s="301"/>
      <c r="N380" s="301"/>
    </row>
    <row r="381" spans="1:14" ht="14" x14ac:dyDescent="0.25">
      <c r="A381" s="299"/>
      <c r="B381" s="18"/>
      <c r="C381" s="398"/>
      <c r="D381" s="301"/>
      <c r="E381" s="399"/>
      <c r="F381" s="399"/>
      <c r="G381" s="399"/>
      <c r="H381" s="301"/>
      <c r="I381" s="301"/>
      <c r="J381" s="301"/>
      <c r="K381" s="301"/>
      <c r="L381" s="301"/>
      <c r="M381" s="301"/>
      <c r="N381" s="301"/>
    </row>
    <row r="382" spans="1:14" ht="14" x14ac:dyDescent="0.25">
      <c r="A382" s="299"/>
      <c r="B382" s="18"/>
      <c r="C382" s="398"/>
      <c r="D382" s="301"/>
      <c r="E382" s="399"/>
      <c r="F382" s="399"/>
      <c r="G382" s="399"/>
      <c r="H382" s="301"/>
      <c r="I382" s="301"/>
      <c r="J382" s="301"/>
      <c r="K382" s="301"/>
      <c r="L382" s="301"/>
      <c r="M382" s="301"/>
      <c r="N382" s="301"/>
    </row>
    <row r="383" spans="1:14" ht="14" x14ac:dyDescent="0.25">
      <c r="A383" s="299"/>
      <c r="B383" s="18"/>
      <c r="C383" s="398"/>
      <c r="D383" s="301"/>
      <c r="E383" s="399"/>
      <c r="F383" s="399"/>
      <c r="G383" s="399"/>
      <c r="H383" s="301"/>
      <c r="I383" s="301"/>
      <c r="J383" s="301"/>
      <c r="K383" s="301"/>
      <c r="L383" s="301"/>
      <c r="M383" s="301"/>
      <c r="N383" s="301"/>
    </row>
    <row r="384" spans="1:14" ht="14" x14ac:dyDescent="0.25">
      <c r="A384" s="299"/>
      <c r="B384" s="18"/>
      <c r="C384" s="398"/>
      <c r="D384" s="301"/>
      <c r="E384" s="399"/>
      <c r="F384" s="399"/>
      <c r="G384" s="399"/>
      <c r="H384" s="301"/>
      <c r="I384" s="301"/>
      <c r="J384" s="301"/>
      <c r="K384" s="301"/>
      <c r="L384" s="301"/>
      <c r="M384" s="301"/>
      <c r="N384" s="301"/>
    </row>
    <row r="385" spans="1:14" ht="14" x14ac:dyDescent="0.25">
      <c r="A385" s="299"/>
      <c r="B385" s="18"/>
      <c r="C385" s="398"/>
      <c r="D385" s="301"/>
      <c r="E385" s="399"/>
      <c r="F385" s="399"/>
      <c r="G385" s="399"/>
      <c r="H385" s="301"/>
      <c r="I385" s="301"/>
      <c r="J385" s="301"/>
      <c r="K385" s="301"/>
      <c r="L385" s="301"/>
      <c r="M385" s="301"/>
      <c r="N385" s="301"/>
    </row>
    <row r="386" spans="1:14" ht="14" x14ac:dyDescent="0.25">
      <c r="A386" s="299"/>
      <c r="B386" s="18"/>
      <c r="C386" s="398"/>
      <c r="D386" s="301"/>
      <c r="E386" s="399"/>
      <c r="F386" s="399"/>
      <c r="G386" s="399"/>
      <c r="H386" s="301"/>
      <c r="I386" s="301"/>
      <c r="J386" s="301"/>
      <c r="K386" s="301"/>
      <c r="L386" s="301"/>
      <c r="M386" s="301"/>
      <c r="N386" s="301"/>
    </row>
    <row r="387" spans="1:14" ht="14" x14ac:dyDescent="0.25">
      <c r="A387" s="299"/>
      <c r="B387" s="18"/>
      <c r="C387" s="398"/>
      <c r="D387" s="301"/>
      <c r="E387" s="399"/>
      <c r="F387" s="399"/>
      <c r="G387" s="399"/>
      <c r="H387" s="301"/>
      <c r="I387" s="301"/>
      <c r="J387" s="301"/>
      <c r="K387" s="301"/>
      <c r="L387" s="301"/>
      <c r="M387" s="301"/>
      <c r="N387" s="301"/>
    </row>
    <row r="388" spans="1:14" ht="14" x14ac:dyDescent="0.25">
      <c r="A388" s="299"/>
      <c r="B388" s="18"/>
      <c r="C388" s="398"/>
      <c r="D388" s="301"/>
      <c r="E388" s="399"/>
      <c r="F388" s="399"/>
      <c r="G388" s="399"/>
      <c r="H388" s="301"/>
      <c r="I388" s="301"/>
      <c r="J388" s="301"/>
      <c r="K388" s="301"/>
      <c r="L388" s="301"/>
      <c r="M388" s="301"/>
      <c r="N388" s="301"/>
    </row>
    <row r="389" spans="1:14" ht="14" x14ac:dyDescent="0.25">
      <c r="A389" s="299"/>
      <c r="B389" s="18"/>
      <c r="C389" s="398"/>
      <c r="D389" s="301"/>
      <c r="E389" s="399"/>
      <c r="F389" s="399"/>
      <c r="G389" s="399"/>
      <c r="H389" s="301"/>
      <c r="I389" s="301"/>
      <c r="J389" s="301"/>
      <c r="K389" s="301"/>
      <c r="L389" s="301"/>
      <c r="M389" s="301"/>
      <c r="N389" s="301"/>
    </row>
    <row r="390" spans="1:14" ht="14" x14ac:dyDescent="0.25">
      <c r="A390" s="299"/>
      <c r="B390" s="18"/>
      <c r="C390" s="398"/>
      <c r="D390" s="301"/>
      <c r="E390" s="399"/>
      <c r="F390" s="399"/>
      <c r="G390" s="399"/>
      <c r="H390" s="301"/>
      <c r="I390" s="301"/>
      <c r="J390" s="301"/>
      <c r="K390" s="301"/>
      <c r="L390" s="301"/>
      <c r="M390" s="301"/>
      <c r="N390" s="301"/>
    </row>
    <row r="391" spans="1:14" ht="14" x14ac:dyDescent="0.25">
      <c r="A391" s="299"/>
      <c r="B391" s="18"/>
      <c r="C391" s="398"/>
      <c r="D391" s="301"/>
      <c r="E391" s="399"/>
      <c r="F391" s="399"/>
      <c r="G391" s="399"/>
      <c r="H391" s="301"/>
      <c r="I391" s="301"/>
      <c r="J391" s="301"/>
      <c r="K391" s="301"/>
      <c r="L391" s="301"/>
      <c r="M391" s="301"/>
      <c r="N391" s="301"/>
    </row>
    <row r="392" spans="1:14" ht="14" x14ac:dyDescent="0.25">
      <c r="A392" s="299"/>
      <c r="B392" s="18"/>
      <c r="C392" s="398"/>
      <c r="D392" s="301"/>
      <c r="E392" s="399"/>
      <c r="F392" s="399"/>
      <c r="G392" s="399"/>
      <c r="H392" s="301"/>
      <c r="I392" s="301"/>
      <c r="J392" s="301"/>
      <c r="K392" s="301"/>
      <c r="L392" s="301"/>
      <c r="M392" s="301"/>
      <c r="N392" s="301"/>
    </row>
    <row r="393" spans="1:14" ht="14" x14ac:dyDescent="0.25">
      <c r="A393" s="299"/>
      <c r="B393" s="18"/>
      <c r="C393" s="398"/>
      <c r="D393" s="301"/>
      <c r="E393" s="399"/>
      <c r="F393" s="399"/>
      <c r="G393" s="399"/>
      <c r="H393" s="301"/>
      <c r="I393" s="301"/>
      <c r="J393" s="301"/>
      <c r="K393" s="301"/>
      <c r="L393" s="301"/>
      <c r="M393" s="301"/>
      <c r="N393" s="301"/>
    </row>
    <row r="394" spans="1:14" ht="14" x14ac:dyDescent="0.25">
      <c r="A394" s="299"/>
      <c r="B394" s="18"/>
      <c r="C394" s="398"/>
      <c r="D394" s="301"/>
      <c r="E394" s="399"/>
      <c r="F394" s="399"/>
      <c r="G394" s="399"/>
      <c r="H394" s="301"/>
      <c r="I394" s="301"/>
      <c r="J394" s="301"/>
      <c r="K394" s="301"/>
      <c r="L394" s="301"/>
      <c r="M394" s="301"/>
      <c r="N394" s="301"/>
    </row>
    <row r="395" spans="1:14" ht="14" x14ac:dyDescent="0.25">
      <c r="A395" s="299"/>
      <c r="B395" s="18"/>
      <c r="C395" s="398"/>
      <c r="D395" s="301"/>
      <c r="E395" s="399"/>
      <c r="F395" s="399"/>
      <c r="G395" s="399"/>
      <c r="H395" s="301"/>
      <c r="I395" s="301"/>
      <c r="J395" s="301"/>
      <c r="K395" s="301"/>
      <c r="L395" s="301"/>
      <c r="M395" s="301"/>
      <c r="N395" s="301"/>
    </row>
    <row r="396" spans="1:14" ht="14" x14ac:dyDescent="0.25">
      <c r="A396" s="299"/>
      <c r="B396" s="18"/>
      <c r="C396" s="398"/>
      <c r="D396" s="301"/>
      <c r="E396" s="399"/>
      <c r="F396" s="399"/>
      <c r="G396" s="399"/>
      <c r="H396" s="301"/>
      <c r="I396" s="301"/>
      <c r="J396" s="301"/>
      <c r="K396" s="301"/>
      <c r="L396" s="301"/>
      <c r="M396" s="301"/>
      <c r="N396" s="301"/>
    </row>
    <row r="397" spans="1:14" ht="14" x14ac:dyDescent="0.25">
      <c r="A397" s="299"/>
      <c r="B397" s="18"/>
      <c r="C397" s="398"/>
      <c r="D397" s="301"/>
      <c r="E397" s="399"/>
      <c r="F397" s="399"/>
      <c r="G397" s="399"/>
      <c r="H397" s="301"/>
      <c r="I397" s="301"/>
      <c r="J397" s="301"/>
      <c r="K397" s="301"/>
      <c r="L397" s="301"/>
      <c r="M397" s="301"/>
      <c r="N397" s="301"/>
    </row>
    <row r="398" spans="1:14" ht="14" x14ac:dyDescent="0.25">
      <c r="A398" s="299"/>
      <c r="B398" s="18"/>
      <c r="C398" s="398"/>
      <c r="D398" s="301"/>
      <c r="E398" s="399"/>
      <c r="F398" s="399"/>
      <c r="G398" s="399"/>
      <c r="H398" s="301"/>
      <c r="I398" s="301"/>
      <c r="J398" s="301"/>
      <c r="K398" s="301"/>
      <c r="L398" s="301"/>
      <c r="M398" s="301"/>
      <c r="N398" s="301"/>
    </row>
    <row r="399" spans="1:14" ht="14" x14ac:dyDescent="0.25">
      <c r="A399" s="299"/>
      <c r="B399" s="18"/>
      <c r="C399" s="398"/>
      <c r="D399" s="301"/>
      <c r="E399" s="399"/>
      <c r="F399" s="399"/>
      <c r="G399" s="399"/>
      <c r="H399" s="301"/>
      <c r="I399" s="301"/>
      <c r="J399" s="301"/>
      <c r="K399" s="301"/>
      <c r="L399" s="301"/>
      <c r="M399" s="301"/>
      <c r="N399" s="301"/>
    </row>
    <row r="400" spans="1:14" ht="14" x14ac:dyDescent="0.25">
      <c r="A400" s="299"/>
      <c r="B400" s="18"/>
      <c r="C400" s="398"/>
      <c r="D400" s="301"/>
      <c r="E400" s="399"/>
      <c r="F400" s="399"/>
      <c r="G400" s="399"/>
      <c r="H400" s="301"/>
      <c r="I400" s="301"/>
      <c r="J400" s="301"/>
      <c r="K400" s="301"/>
      <c r="L400" s="301"/>
      <c r="M400" s="301"/>
      <c r="N400" s="301"/>
    </row>
    <row r="401" spans="1:14" ht="14" x14ac:dyDescent="0.25">
      <c r="A401" s="299"/>
      <c r="B401" s="18"/>
      <c r="C401" s="398"/>
      <c r="D401" s="301"/>
      <c r="E401" s="399"/>
      <c r="F401" s="399"/>
      <c r="G401" s="399"/>
      <c r="H401" s="301"/>
      <c r="I401" s="301"/>
      <c r="J401" s="301"/>
      <c r="K401" s="301"/>
      <c r="L401" s="301"/>
      <c r="M401" s="301"/>
      <c r="N401" s="301"/>
    </row>
    <row r="402" spans="1:14" ht="14" x14ac:dyDescent="0.25">
      <c r="A402" s="299"/>
      <c r="B402" s="18"/>
      <c r="C402" s="398"/>
      <c r="D402" s="301"/>
      <c r="E402" s="399"/>
      <c r="F402" s="399"/>
      <c r="G402" s="399"/>
      <c r="H402" s="301"/>
      <c r="I402" s="301"/>
      <c r="J402" s="301"/>
      <c r="K402" s="301"/>
      <c r="L402" s="301"/>
      <c r="M402" s="301"/>
      <c r="N402" s="301"/>
    </row>
    <row r="403" spans="1:14" ht="14" x14ac:dyDescent="0.25">
      <c r="A403" s="299"/>
      <c r="B403" s="18"/>
      <c r="C403" s="398"/>
      <c r="D403" s="301"/>
      <c r="E403" s="399"/>
      <c r="F403" s="399"/>
      <c r="G403" s="399"/>
      <c r="H403" s="301"/>
      <c r="I403" s="301"/>
      <c r="J403" s="301"/>
      <c r="K403" s="301"/>
      <c r="L403" s="301"/>
      <c r="M403" s="301"/>
      <c r="N403" s="301"/>
    </row>
    <row r="404" spans="1:14" ht="14" x14ac:dyDescent="0.25">
      <c r="A404" s="299"/>
      <c r="B404" s="18"/>
      <c r="C404" s="398"/>
      <c r="D404" s="301"/>
      <c r="E404" s="399"/>
      <c r="F404" s="399"/>
      <c r="G404" s="399"/>
      <c r="H404" s="301"/>
      <c r="I404" s="301"/>
      <c r="J404" s="301"/>
      <c r="K404" s="301"/>
      <c r="L404" s="301"/>
      <c r="M404" s="301"/>
      <c r="N404" s="301"/>
    </row>
    <row r="405" spans="1:14" ht="14" x14ac:dyDescent="0.25">
      <c r="A405" s="299"/>
      <c r="B405" s="18"/>
      <c r="C405" s="398"/>
      <c r="D405" s="301"/>
      <c r="E405" s="399"/>
      <c r="F405" s="399"/>
      <c r="G405" s="399"/>
      <c r="H405" s="301"/>
      <c r="I405" s="301"/>
      <c r="J405" s="301"/>
      <c r="K405" s="301"/>
      <c r="L405" s="301"/>
      <c r="M405" s="301"/>
      <c r="N405" s="301"/>
    </row>
    <row r="406" spans="1:14" ht="14" x14ac:dyDescent="0.25">
      <c r="A406" s="299"/>
      <c r="B406" s="18"/>
      <c r="C406" s="398"/>
      <c r="D406" s="301"/>
      <c r="E406" s="399"/>
      <c r="F406" s="399"/>
      <c r="G406" s="399"/>
      <c r="H406" s="301"/>
      <c r="I406" s="301"/>
      <c r="J406" s="301"/>
      <c r="K406" s="301"/>
      <c r="L406" s="301"/>
      <c r="M406" s="301"/>
      <c r="N406" s="301"/>
    </row>
    <row r="407" spans="1:14" ht="14" x14ac:dyDescent="0.25">
      <c r="A407" s="299"/>
      <c r="B407" s="18"/>
      <c r="C407" s="398"/>
      <c r="D407" s="301"/>
      <c r="E407" s="399"/>
      <c r="F407" s="399"/>
      <c r="G407" s="399"/>
      <c r="H407" s="301"/>
      <c r="I407" s="301"/>
      <c r="J407" s="301"/>
      <c r="K407" s="301"/>
      <c r="L407" s="301"/>
      <c r="M407" s="301"/>
      <c r="N407" s="301"/>
    </row>
    <row r="408" spans="1:14" ht="14" x14ac:dyDescent="0.25">
      <c r="A408" s="299"/>
      <c r="B408" s="18"/>
      <c r="C408" s="398"/>
      <c r="D408" s="301"/>
      <c r="E408" s="399"/>
      <c r="F408" s="399"/>
      <c r="G408" s="399"/>
      <c r="H408" s="301"/>
      <c r="I408" s="301"/>
      <c r="J408" s="301"/>
      <c r="K408" s="301"/>
      <c r="L408" s="301"/>
      <c r="M408" s="301"/>
      <c r="N408" s="301"/>
    </row>
    <row r="409" spans="1:14" ht="14" x14ac:dyDescent="0.25">
      <c r="A409" s="299"/>
      <c r="B409" s="18"/>
      <c r="C409" s="398"/>
      <c r="D409" s="301"/>
      <c r="E409" s="399"/>
      <c r="F409" s="399"/>
      <c r="G409" s="399"/>
      <c r="H409" s="301"/>
      <c r="I409" s="301"/>
      <c r="J409" s="301"/>
      <c r="K409" s="301"/>
      <c r="L409" s="301"/>
      <c r="M409" s="301"/>
      <c r="N409" s="301"/>
    </row>
    <row r="410" spans="1:14" ht="14" x14ac:dyDescent="0.25">
      <c r="A410" s="299"/>
      <c r="B410" s="18"/>
      <c r="C410" s="398"/>
      <c r="D410" s="301"/>
      <c r="E410" s="399"/>
      <c r="F410" s="399"/>
      <c r="G410" s="399"/>
      <c r="H410" s="301"/>
      <c r="I410" s="301"/>
      <c r="J410" s="301"/>
      <c r="K410" s="301"/>
      <c r="L410" s="301"/>
      <c r="M410" s="301"/>
      <c r="N410" s="301"/>
    </row>
    <row r="411" spans="1:14" ht="14" x14ac:dyDescent="0.25">
      <c r="A411" s="299"/>
      <c r="B411" s="18"/>
      <c r="C411" s="398"/>
      <c r="D411" s="301"/>
      <c r="E411" s="399"/>
      <c r="F411" s="399"/>
      <c r="G411" s="399"/>
      <c r="H411" s="301"/>
      <c r="I411" s="301"/>
      <c r="J411" s="301"/>
      <c r="K411" s="301"/>
      <c r="L411" s="301"/>
      <c r="M411" s="301"/>
      <c r="N411" s="301"/>
    </row>
    <row r="412" spans="1:14" ht="14" x14ac:dyDescent="0.25">
      <c r="A412" s="299"/>
      <c r="B412" s="18"/>
      <c r="C412" s="398"/>
      <c r="D412" s="301"/>
      <c r="E412" s="399"/>
      <c r="F412" s="399"/>
      <c r="G412" s="399"/>
      <c r="H412" s="301"/>
      <c r="I412" s="301"/>
      <c r="J412" s="301"/>
      <c r="K412" s="301"/>
      <c r="L412" s="301"/>
      <c r="M412" s="301"/>
      <c r="N412" s="301"/>
    </row>
    <row r="413" spans="1:14" ht="14" x14ac:dyDescent="0.25">
      <c r="A413" s="299"/>
      <c r="B413" s="18"/>
      <c r="C413" s="398"/>
      <c r="D413" s="301"/>
      <c r="E413" s="399"/>
      <c r="F413" s="399"/>
      <c r="G413" s="399"/>
      <c r="H413" s="301"/>
      <c r="I413" s="301"/>
      <c r="J413" s="301"/>
      <c r="K413" s="301"/>
      <c r="L413" s="301"/>
      <c r="M413" s="301"/>
      <c r="N413" s="301"/>
    </row>
    <row r="414" spans="1:14" ht="14" x14ac:dyDescent="0.25">
      <c r="A414" s="299"/>
      <c r="B414" s="18"/>
      <c r="C414" s="398"/>
      <c r="D414" s="301"/>
      <c r="E414" s="399"/>
      <c r="F414" s="399"/>
      <c r="G414" s="399"/>
      <c r="H414" s="301"/>
      <c r="I414" s="301"/>
      <c r="J414" s="301"/>
      <c r="K414" s="301"/>
      <c r="L414" s="301"/>
      <c r="M414" s="301"/>
      <c r="N414" s="301"/>
    </row>
    <row r="415" spans="1:14" ht="14" x14ac:dyDescent="0.25">
      <c r="A415" s="299"/>
      <c r="B415" s="18"/>
      <c r="C415" s="398"/>
      <c r="D415" s="301"/>
      <c r="E415" s="399"/>
      <c r="F415" s="399"/>
      <c r="G415" s="399"/>
      <c r="H415" s="301"/>
      <c r="I415" s="301"/>
      <c r="J415" s="301"/>
      <c r="K415" s="301"/>
      <c r="L415" s="301"/>
      <c r="M415" s="301"/>
      <c r="N415" s="301"/>
    </row>
    <row r="416" spans="1:14" ht="14" x14ac:dyDescent="0.25">
      <c r="A416" s="299"/>
      <c r="B416" s="18"/>
      <c r="C416" s="398"/>
      <c r="D416" s="301"/>
      <c r="E416" s="399"/>
      <c r="F416" s="399"/>
      <c r="G416" s="399"/>
      <c r="H416" s="301"/>
      <c r="I416" s="301"/>
      <c r="J416" s="301"/>
      <c r="K416" s="301"/>
      <c r="L416" s="301"/>
      <c r="M416" s="301"/>
      <c r="N416" s="301"/>
    </row>
    <row r="417" spans="1:14" ht="14" x14ac:dyDescent="0.25">
      <c r="A417" s="299"/>
      <c r="B417" s="18"/>
      <c r="C417" s="398"/>
      <c r="D417" s="301"/>
      <c r="E417" s="399"/>
      <c r="F417" s="399"/>
      <c r="G417" s="399"/>
      <c r="H417" s="301"/>
      <c r="I417" s="301"/>
      <c r="J417" s="301"/>
      <c r="K417" s="301"/>
      <c r="L417" s="301"/>
      <c r="M417" s="301"/>
      <c r="N417" s="301"/>
    </row>
    <row r="418" spans="1:14" ht="14" x14ac:dyDescent="0.25">
      <c r="A418" s="299"/>
      <c r="B418" s="18"/>
      <c r="C418" s="398"/>
      <c r="D418" s="301"/>
      <c r="E418" s="399"/>
      <c r="F418" s="399"/>
      <c r="G418" s="399"/>
      <c r="H418" s="301"/>
      <c r="I418" s="301"/>
      <c r="J418" s="301"/>
      <c r="K418" s="301"/>
      <c r="L418" s="301"/>
      <c r="M418" s="301"/>
      <c r="N418" s="301"/>
    </row>
    <row r="419" spans="1:14" ht="14" x14ac:dyDescent="0.25">
      <c r="A419" s="299"/>
      <c r="B419" s="18"/>
      <c r="C419" s="398"/>
      <c r="D419" s="301"/>
      <c r="E419" s="399"/>
      <c r="F419" s="399"/>
      <c r="G419" s="399"/>
      <c r="H419" s="301"/>
      <c r="I419" s="301"/>
      <c r="J419" s="301"/>
      <c r="K419" s="301"/>
      <c r="L419" s="301"/>
      <c r="M419" s="301"/>
      <c r="N419" s="301"/>
    </row>
    <row r="420" spans="1:14" ht="14" x14ac:dyDescent="0.25">
      <c r="A420" s="299"/>
      <c r="B420" s="18"/>
      <c r="C420" s="398"/>
      <c r="D420" s="301"/>
      <c r="E420" s="399"/>
      <c r="F420" s="399"/>
      <c r="G420" s="399"/>
      <c r="H420" s="301"/>
      <c r="I420" s="301"/>
      <c r="J420" s="301"/>
      <c r="K420" s="301"/>
      <c r="L420" s="301"/>
      <c r="M420" s="301"/>
      <c r="N420" s="301"/>
    </row>
    <row r="421" spans="1:14" ht="14" x14ac:dyDescent="0.25">
      <c r="A421" s="299"/>
      <c r="B421" s="18"/>
      <c r="C421" s="398"/>
      <c r="D421" s="301"/>
      <c r="E421" s="399"/>
      <c r="F421" s="399"/>
      <c r="G421" s="399"/>
      <c r="H421" s="301"/>
      <c r="I421" s="301"/>
      <c r="J421" s="301"/>
      <c r="K421" s="301"/>
      <c r="L421" s="301"/>
      <c r="M421" s="301"/>
      <c r="N421" s="301"/>
    </row>
    <row r="422" spans="1:14" ht="14" x14ac:dyDescent="0.25">
      <c r="A422" s="299"/>
      <c r="B422" s="18"/>
      <c r="C422" s="398"/>
      <c r="D422" s="301"/>
      <c r="E422" s="399"/>
      <c r="F422" s="399"/>
      <c r="G422" s="399"/>
      <c r="H422" s="301"/>
      <c r="I422" s="301"/>
      <c r="J422" s="301"/>
      <c r="K422" s="301"/>
      <c r="L422" s="301"/>
      <c r="M422" s="301"/>
      <c r="N422" s="301"/>
    </row>
    <row r="423" spans="1:14" ht="14" x14ac:dyDescent="0.25">
      <c r="A423" s="299"/>
      <c r="B423" s="18"/>
      <c r="C423" s="398"/>
      <c r="D423" s="301"/>
      <c r="E423" s="399"/>
      <c r="F423" s="399"/>
      <c r="G423" s="399"/>
      <c r="H423" s="301"/>
      <c r="I423" s="301"/>
      <c r="J423" s="301"/>
      <c r="K423" s="301"/>
      <c r="L423" s="301"/>
      <c r="M423" s="301"/>
      <c r="N423" s="301"/>
    </row>
    <row r="424" spans="1:14" ht="14" x14ac:dyDescent="0.25">
      <c r="A424" s="299"/>
      <c r="B424" s="18"/>
      <c r="C424" s="398"/>
      <c r="D424" s="301"/>
      <c r="E424" s="399"/>
      <c r="F424" s="399"/>
      <c r="G424" s="399"/>
      <c r="H424" s="301"/>
      <c r="I424" s="301"/>
      <c r="J424" s="301"/>
      <c r="K424" s="301"/>
      <c r="L424" s="301"/>
      <c r="M424" s="301"/>
      <c r="N424" s="301"/>
    </row>
    <row r="425" spans="1:14" ht="14" x14ac:dyDescent="0.25">
      <c r="A425" s="299"/>
      <c r="B425" s="18"/>
      <c r="C425" s="398"/>
      <c r="D425" s="301"/>
      <c r="E425" s="399"/>
      <c r="F425" s="399"/>
      <c r="G425" s="399"/>
      <c r="H425" s="301"/>
      <c r="I425" s="301"/>
      <c r="J425" s="301"/>
      <c r="K425" s="301"/>
      <c r="L425" s="301"/>
      <c r="M425" s="301"/>
      <c r="N425" s="301"/>
    </row>
    <row r="426" spans="1:14" ht="14" x14ac:dyDescent="0.25">
      <c r="A426" s="299"/>
      <c r="B426" s="18"/>
      <c r="C426" s="398"/>
      <c r="D426" s="301"/>
      <c r="E426" s="399"/>
      <c r="F426" s="399"/>
      <c r="G426" s="399"/>
      <c r="H426" s="301"/>
      <c r="I426" s="301"/>
      <c r="J426" s="301"/>
      <c r="K426" s="301"/>
      <c r="L426" s="301"/>
      <c r="M426" s="301"/>
      <c r="N426" s="301"/>
    </row>
    <row r="427" spans="1:14" ht="14" x14ac:dyDescent="0.25">
      <c r="A427" s="299"/>
      <c r="B427" s="18"/>
      <c r="C427" s="398"/>
      <c r="D427" s="301"/>
      <c r="E427" s="399"/>
      <c r="F427" s="399"/>
      <c r="G427" s="399"/>
      <c r="H427" s="301"/>
      <c r="I427" s="301"/>
      <c r="J427" s="301"/>
      <c r="K427" s="301"/>
      <c r="L427" s="301"/>
      <c r="M427" s="301"/>
      <c r="N427" s="301"/>
    </row>
    <row r="428" spans="1:14" ht="14" x14ac:dyDescent="0.25">
      <c r="A428" s="299"/>
      <c r="B428" s="18"/>
      <c r="C428" s="398"/>
      <c r="D428" s="301"/>
      <c r="E428" s="399"/>
      <c r="F428" s="399"/>
      <c r="G428" s="399"/>
      <c r="H428" s="301"/>
      <c r="I428" s="301"/>
      <c r="J428" s="301"/>
      <c r="K428" s="301"/>
      <c r="L428" s="301"/>
      <c r="M428" s="301"/>
      <c r="N428" s="301"/>
    </row>
    <row r="429" spans="1:14" ht="14" x14ac:dyDescent="0.25">
      <c r="A429" s="299"/>
      <c r="B429" s="18"/>
      <c r="C429" s="398"/>
      <c r="D429" s="301"/>
      <c r="E429" s="399"/>
      <c r="F429" s="399"/>
      <c r="G429" s="399"/>
      <c r="H429" s="301"/>
      <c r="I429" s="301"/>
      <c r="J429" s="301"/>
      <c r="K429" s="301"/>
      <c r="L429" s="301"/>
      <c r="M429" s="301"/>
      <c r="N429" s="301"/>
    </row>
    <row r="430" spans="1:14" ht="14" x14ac:dyDescent="0.25">
      <c r="A430" s="299"/>
      <c r="B430" s="18"/>
      <c r="C430" s="398"/>
      <c r="D430" s="301"/>
      <c r="E430" s="399"/>
      <c r="F430" s="399"/>
      <c r="G430" s="399"/>
      <c r="H430" s="301"/>
      <c r="I430" s="301"/>
      <c r="J430" s="301"/>
      <c r="K430" s="301"/>
      <c r="L430" s="301"/>
      <c r="M430" s="301"/>
      <c r="N430" s="301"/>
    </row>
    <row r="431" spans="1:14" ht="14" x14ac:dyDescent="0.25">
      <c r="A431" s="299"/>
      <c r="B431" s="18"/>
      <c r="C431" s="398"/>
      <c r="D431" s="301"/>
      <c r="E431" s="399"/>
      <c r="F431" s="399"/>
      <c r="G431" s="399"/>
      <c r="H431" s="301"/>
      <c r="I431" s="301"/>
      <c r="J431" s="301"/>
      <c r="K431" s="301"/>
      <c r="L431" s="301"/>
      <c r="M431" s="301"/>
      <c r="N431" s="301"/>
    </row>
    <row r="432" spans="1:14" ht="14" x14ac:dyDescent="0.25">
      <c r="A432" s="299"/>
      <c r="B432" s="18"/>
      <c r="C432" s="398"/>
      <c r="D432" s="301"/>
      <c r="E432" s="399"/>
      <c r="F432" s="399"/>
      <c r="G432" s="399"/>
      <c r="H432" s="301"/>
      <c r="I432" s="301"/>
      <c r="J432" s="301"/>
      <c r="K432" s="301"/>
      <c r="L432" s="301"/>
      <c r="M432" s="301"/>
      <c r="N432" s="301"/>
    </row>
    <row r="433" spans="1:14" ht="14" x14ac:dyDescent="0.25">
      <c r="A433" s="299"/>
      <c r="B433" s="18"/>
      <c r="C433" s="398"/>
      <c r="D433" s="301"/>
      <c r="E433" s="399"/>
      <c r="F433" s="399"/>
      <c r="G433" s="399"/>
      <c r="H433" s="301"/>
      <c r="I433" s="301"/>
      <c r="J433" s="301"/>
      <c r="K433" s="301"/>
      <c r="L433" s="301"/>
      <c r="M433" s="301"/>
      <c r="N433" s="301"/>
    </row>
    <row r="434" spans="1:14" ht="14" x14ac:dyDescent="0.25">
      <c r="A434" s="299"/>
      <c r="B434" s="18"/>
      <c r="C434" s="398"/>
      <c r="D434" s="301"/>
      <c r="E434" s="399"/>
      <c r="F434" s="399"/>
      <c r="G434" s="399"/>
      <c r="H434" s="301"/>
      <c r="I434" s="301"/>
      <c r="J434" s="301"/>
      <c r="K434" s="301"/>
      <c r="L434" s="301"/>
      <c r="M434" s="301"/>
      <c r="N434" s="301"/>
    </row>
    <row r="435" spans="1:14" ht="14" x14ac:dyDescent="0.25">
      <c r="A435" s="299"/>
      <c r="B435" s="18"/>
      <c r="C435" s="398"/>
      <c r="D435" s="301"/>
      <c r="E435" s="399"/>
      <c r="F435" s="399"/>
      <c r="G435" s="399"/>
      <c r="H435" s="301"/>
      <c r="I435" s="301"/>
      <c r="J435" s="301"/>
      <c r="K435" s="301"/>
      <c r="L435" s="301"/>
      <c r="M435" s="301"/>
      <c r="N435" s="301"/>
    </row>
    <row r="436" spans="1:14" ht="14" x14ac:dyDescent="0.25">
      <c r="A436" s="299"/>
      <c r="B436" s="18"/>
      <c r="C436" s="398"/>
      <c r="D436" s="301"/>
      <c r="E436" s="399"/>
      <c r="F436" s="399"/>
      <c r="G436" s="399"/>
      <c r="H436" s="301"/>
      <c r="I436" s="301"/>
      <c r="J436" s="301"/>
      <c r="K436" s="301"/>
      <c r="L436" s="301"/>
      <c r="M436" s="301"/>
      <c r="N436" s="301"/>
    </row>
    <row r="437" spans="1:14" ht="14" x14ac:dyDescent="0.25">
      <c r="A437" s="299"/>
      <c r="B437" s="18"/>
      <c r="C437" s="398"/>
      <c r="D437" s="301"/>
      <c r="E437" s="399"/>
      <c r="F437" s="399"/>
      <c r="G437" s="399"/>
      <c r="H437" s="301"/>
      <c r="I437" s="301"/>
      <c r="J437" s="301"/>
      <c r="K437" s="301"/>
      <c r="L437" s="301"/>
      <c r="M437" s="301"/>
      <c r="N437" s="301"/>
    </row>
    <row r="438" spans="1:14" ht="14" x14ac:dyDescent="0.25">
      <c r="A438" s="299"/>
      <c r="B438" s="18"/>
      <c r="C438" s="398"/>
      <c r="D438" s="301"/>
      <c r="E438" s="399"/>
      <c r="F438" s="399"/>
      <c r="G438" s="399"/>
      <c r="H438" s="301"/>
      <c r="I438" s="301"/>
      <c r="J438" s="301"/>
      <c r="K438" s="301"/>
      <c r="L438" s="301"/>
      <c r="M438" s="301"/>
      <c r="N438" s="301"/>
    </row>
    <row r="439" spans="1:14" ht="14" x14ac:dyDescent="0.25">
      <c r="A439" s="299"/>
      <c r="B439" s="18"/>
      <c r="C439" s="398"/>
      <c r="D439" s="301"/>
      <c r="E439" s="399"/>
      <c r="F439" s="399"/>
      <c r="G439" s="399"/>
      <c r="H439" s="301"/>
      <c r="I439" s="301"/>
      <c r="J439" s="301"/>
      <c r="K439" s="301"/>
      <c r="L439" s="301"/>
      <c r="M439" s="301"/>
      <c r="N439" s="301"/>
    </row>
    <row r="440" spans="1:14" ht="14" x14ac:dyDescent="0.25">
      <c r="A440" s="299"/>
      <c r="B440" s="18"/>
      <c r="C440" s="398"/>
      <c r="D440" s="301"/>
      <c r="E440" s="399"/>
      <c r="F440" s="399"/>
      <c r="G440" s="399"/>
      <c r="H440" s="301"/>
      <c r="I440" s="301"/>
      <c r="J440" s="301"/>
      <c r="K440" s="301"/>
      <c r="L440" s="301"/>
      <c r="M440" s="301"/>
      <c r="N440" s="301"/>
    </row>
    <row r="441" spans="1:14" ht="14" x14ac:dyDescent="0.25">
      <c r="A441" s="299"/>
      <c r="B441" s="18"/>
      <c r="C441" s="398"/>
      <c r="D441" s="301"/>
      <c r="E441" s="399"/>
      <c r="F441" s="399"/>
      <c r="G441" s="399"/>
      <c r="H441" s="301"/>
      <c r="I441" s="301"/>
      <c r="J441" s="301"/>
      <c r="K441" s="301"/>
      <c r="L441" s="301"/>
      <c r="M441" s="301"/>
      <c r="N441" s="301"/>
    </row>
    <row r="442" spans="1:14" ht="14" x14ac:dyDescent="0.25">
      <c r="A442" s="299"/>
      <c r="B442" s="18"/>
      <c r="C442" s="398"/>
      <c r="D442" s="301"/>
      <c r="E442" s="399"/>
      <c r="F442" s="399"/>
      <c r="G442" s="399"/>
      <c r="H442" s="301"/>
      <c r="I442" s="301"/>
      <c r="J442" s="301"/>
      <c r="K442" s="301"/>
      <c r="L442" s="301"/>
      <c r="M442" s="301"/>
      <c r="N442" s="301"/>
    </row>
    <row r="443" spans="1:14" ht="14" x14ac:dyDescent="0.25">
      <c r="A443" s="299"/>
      <c r="B443" s="18"/>
      <c r="C443" s="398"/>
      <c r="D443" s="301"/>
      <c r="E443" s="399"/>
      <c r="F443" s="399"/>
      <c r="G443" s="399"/>
      <c r="H443" s="301"/>
      <c r="I443" s="301"/>
      <c r="J443" s="301"/>
      <c r="K443" s="301"/>
      <c r="L443" s="301"/>
      <c r="M443" s="301"/>
      <c r="N443" s="301"/>
    </row>
    <row r="444" spans="1:14" ht="14" x14ac:dyDescent="0.25">
      <c r="A444" s="299"/>
      <c r="B444" s="18"/>
      <c r="C444" s="398"/>
      <c r="D444" s="301"/>
      <c r="E444" s="399"/>
      <c r="F444" s="399"/>
      <c r="G444" s="399"/>
      <c r="H444" s="301"/>
      <c r="I444" s="301"/>
      <c r="J444" s="301"/>
      <c r="K444" s="301"/>
      <c r="L444" s="301"/>
      <c r="M444" s="301"/>
      <c r="N444" s="301"/>
    </row>
    <row r="445" spans="1:14" ht="14" x14ac:dyDescent="0.25">
      <c r="A445" s="299"/>
      <c r="B445" s="18"/>
      <c r="C445" s="398"/>
      <c r="D445" s="301"/>
      <c r="E445" s="399"/>
      <c r="F445" s="399"/>
      <c r="G445" s="399"/>
      <c r="H445" s="301"/>
      <c r="I445" s="301"/>
      <c r="J445" s="301"/>
      <c r="K445" s="301"/>
      <c r="L445" s="301"/>
      <c r="M445" s="301"/>
      <c r="N445" s="301"/>
    </row>
    <row r="446" spans="1:14" ht="14" x14ac:dyDescent="0.25">
      <c r="A446" s="299"/>
      <c r="B446" s="18"/>
      <c r="C446" s="398"/>
      <c r="D446" s="301"/>
      <c r="E446" s="399"/>
      <c r="F446" s="399"/>
      <c r="G446" s="399"/>
      <c r="H446" s="301"/>
      <c r="I446" s="301"/>
      <c r="J446" s="301"/>
      <c r="K446" s="301"/>
      <c r="L446" s="301"/>
      <c r="M446" s="301"/>
      <c r="N446" s="301"/>
    </row>
    <row r="447" spans="1:14" ht="14" x14ac:dyDescent="0.25">
      <c r="A447" s="299"/>
      <c r="B447" s="18"/>
      <c r="C447" s="398"/>
      <c r="D447" s="301"/>
      <c r="E447" s="399"/>
      <c r="F447" s="399"/>
      <c r="G447" s="399"/>
      <c r="H447" s="301"/>
      <c r="I447" s="301"/>
      <c r="J447" s="301"/>
      <c r="K447" s="301"/>
      <c r="L447" s="301"/>
      <c r="M447" s="301"/>
      <c r="N447" s="301"/>
    </row>
    <row r="448" spans="1:14" ht="14" x14ac:dyDescent="0.25">
      <c r="A448" s="299"/>
      <c r="B448" s="18"/>
      <c r="C448" s="398"/>
      <c r="D448" s="301"/>
      <c r="E448" s="399"/>
      <c r="F448" s="399"/>
      <c r="G448" s="399"/>
      <c r="H448" s="301"/>
      <c r="I448" s="301"/>
      <c r="J448" s="301"/>
      <c r="K448" s="301"/>
      <c r="L448" s="301"/>
      <c r="M448" s="301"/>
      <c r="N448" s="301"/>
    </row>
    <row r="449" spans="1:14" ht="14" x14ac:dyDescent="0.25">
      <c r="A449" s="299"/>
      <c r="B449" s="18"/>
      <c r="C449" s="398"/>
      <c r="D449" s="301"/>
      <c r="E449" s="399"/>
      <c r="F449" s="399"/>
      <c r="G449" s="399"/>
      <c r="H449" s="301"/>
      <c r="I449" s="301"/>
      <c r="J449" s="301"/>
      <c r="K449" s="301"/>
      <c r="L449" s="301"/>
      <c r="M449" s="301"/>
      <c r="N449" s="301"/>
    </row>
    <row r="450" spans="1:14" ht="14" x14ac:dyDescent="0.25">
      <c r="A450" s="299"/>
      <c r="B450" s="18"/>
      <c r="C450" s="398"/>
      <c r="D450" s="301"/>
      <c r="E450" s="399"/>
      <c r="F450" s="399"/>
      <c r="G450" s="399"/>
      <c r="H450" s="301"/>
      <c r="I450" s="301"/>
      <c r="J450" s="301"/>
      <c r="K450" s="301"/>
      <c r="L450" s="301"/>
      <c r="M450" s="301"/>
      <c r="N450" s="301"/>
    </row>
    <row r="451" spans="1:14" ht="14" x14ac:dyDescent="0.25">
      <c r="A451" s="299"/>
      <c r="B451" s="18"/>
      <c r="C451" s="398"/>
      <c r="D451" s="301"/>
      <c r="E451" s="399"/>
      <c r="F451" s="399"/>
      <c r="G451" s="399"/>
      <c r="H451" s="301"/>
      <c r="I451" s="301"/>
      <c r="J451" s="301"/>
      <c r="K451" s="301"/>
      <c r="L451" s="301"/>
      <c r="M451" s="301"/>
      <c r="N451" s="301"/>
    </row>
    <row r="452" spans="1:14" ht="14" x14ac:dyDescent="0.25">
      <c r="A452" s="299"/>
      <c r="B452" s="18"/>
      <c r="C452" s="398"/>
      <c r="D452" s="301"/>
      <c r="E452" s="399"/>
      <c r="F452" s="399"/>
      <c r="G452" s="399"/>
      <c r="H452" s="301"/>
      <c r="I452" s="301"/>
      <c r="J452" s="301"/>
      <c r="K452" s="301"/>
      <c r="L452" s="301"/>
      <c r="M452" s="301"/>
      <c r="N452" s="301"/>
    </row>
    <row r="453" spans="1:14" ht="14" x14ac:dyDescent="0.25">
      <c r="A453" s="299"/>
      <c r="B453" s="18"/>
      <c r="C453" s="398"/>
      <c r="D453" s="301"/>
      <c r="E453" s="399"/>
      <c r="F453" s="399"/>
      <c r="G453" s="399"/>
      <c r="H453" s="301"/>
      <c r="I453" s="301"/>
      <c r="J453" s="301"/>
      <c r="K453" s="301"/>
      <c r="L453" s="301"/>
      <c r="M453" s="301"/>
      <c r="N453" s="301"/>
    </row>
    <row r="454" spans="1:14" ht="14" x14ac:dyDescent="0.25">
      <c r="A454" s="299"/>
      <c r="B454" s="18"/>
      <c r="C454" s="398"/>
      <c r="D454" s="301"/>
      <c r="E454" s="399"/>
      <c r="F454" s="399"/>
      <c r="G454" s="399"/>
      <c r="H454" s="301"/>
      <c r="I454" s="301"/>
      <c r="J454" s="301"/>
      <c r="K454" s="301"/>
      <c r="L454" s="301"/>
      <c r="M454" s="301"/>
      <c r="N454" s="301"/>
    </row>
    <row r="455" spans="1:14" ht="14" x14ac:dyDescent="0.25">
      <c r="A455" s="299"/>
      <c r="B455" s="18"/>
      <c r="C455" s="398"/>
      <c r="D455" s="301"/>
      <c r="E455" s="399"/>
      <c r="F455" s="399"/>
      <c r="G455" s="399"/>
      <c r="H455" s="301"/>
      <c r="I455" s="301"/>
      <c r="J455" s="301"/>
      <c r="K455" s="301"/>
      <c r="L455" s="301"/>
      <c r="M455" s="301"/>
      <c r="N455" s="301"/>
    </row>
    <row r="456" spans="1:14" ht="14" x14ac:dyDescent="0.25">
      <c r="A456" s="299"/>
      <c r="B456" s="18"/>
      <c r="C456" s="398"/>
      <c r="D456" s="301"/>
      <c r="E456" s="399"/>
      <c r="F456" s="399"/>
      <c r="G456" s="399"/>
      <c r="H456" s="301"/>
      <c r="I456" s="301"/>
      <c r="J456" s="301"/>
      <c r="K456" s="301"/>
      <c r="L456" s="301"/>
      <c r="M456" s="301"/>
      <c r="N456" s="301"/>
    </row>
    <row r="457" spans="1:14" ht="14" x14ac:dyDescent="0.25">
      <c r="A457" s="299"/>
      <c r="B457" s="18"/>
      <c r="C457" s="398"/>
      <c r="D457" s="301"/>
      <c r="E457" s="399"/>
      <c r="F457" s="399"/>
      <c r="G457" s="399"/>
      <c r="H457" s="301"/>
      <c r="I457" s="301"/>
      <c r="J457" s="301"/>
      <c r="K457" s="301"/>
      <c r="L457" s="301"/>
      <c r="M457" s="301"/>
      <c r="N457" s="301"/>
    </row>
    <row r="458" spans="1:14" ht="14" x14ac:dyDescent="0.25">
      <c r="A458" s="299"/>
      <c r="B458" s="18"/>
      <c r="C458" s="398"/>
      <c r="D458" s="301"/>
      <c r="E458" s="399"/>
      <c r="F458" s="399"/>
      <c r="G458" s="399"/>
      <c r="H458" s="301"/>
      <c r="I458" s="301"/>
      <c r="J458" s="301"/>
      <c r="K458" s="301"/>
      <c r="L458" s="301"/>
      <c r="M458" s="301"/>
      <c r="N458" s="301"/>
    </row>
    <row r="459" spans="1:14" ht="14" x14ac:dyDescent="0.25">
      <c r="A459" s="299"/>
      <c r="B459" s="18"/>
      <c r="C459" s="398"/>
      <c r="D459" s="301"/>
      <c r="E459" s="399"/>
      <c r="F459" s="399"/>
      <c r="G459" s="399"/>
      <c r="H459" s="301"/>
      <c r="I459" s="301"/>
      <c r="J459" s="301"/>
      <c r="K459" s="301"/>
      <c r="L459" s="301"/>
      <c r="M459" s="301"/>
      <c r="N459" s="301"/>
    </row>
    <row r="460" spans="1:14" ht="14" x14ac:dyDescent="0.25">
      <c r="A460" s="299"/>
      <c r="B460" s="18"/>
      <c r="C460" s="398"/>
      <c r="D460" s="301"/>
      <c r="E460" s="399"/>
      <c r="F460" s="399"/>
      <c r="G460" s="399"/>
      <c r="H460" s="301"/>
      <c r="I460" s="301"/>
      <c r="J460" s="301"/>
      <c r="K460" s="301"/>
      <c r="L460" s="301"/>
      <c r="M460" s="301"/>
      <c r="N460" s="301"/>
    </row>
    <row r="461" spans="1:14" ht="14" x14ac:dyDescent="0.25">
      <c r="A461" s="299"/>
      <c r="B461" s="18"/>
      <c r="C461" s="398"/>
      <c r="D461" s="301"/>
      <c r="E461" s="399"/>
      <c r="F461" s="399"/>
      <c r="G461" s="399"/>
      <c r="H461" s="301"/>
      <c r="I461" s="301"/>
      <c r="J461" s="301"/>
      <c r="K461" s="301"/>
      <c r="L461" s="301"/>
      <c r="M461" s="301"/>
      <c r="N461" s="301"/>
    </row>
    <row r="462" spans="1:14" ht="14" x14ac:dyDescent="0.25">
      <c r="A462" s="299"/>
      <c r="B462" s="18"/>
      <c r="C462" s="398"/>
      <c r="D462" s="301"/>
      <c r="E462" s="399"/>
      <c r="F462" s="399"/>
      <c r="G462" s="399"/>
      <c r="H462" s="301"/>
      <c r="I462" s="301"/>
      <c r="J462" s="301"/>
      <c r="K462" s="301"/>
      <c r="L462" s="301"/>
      <c r="M462" s="301"/>
      <c r="N462" s="301"/>
    </row>
    <row r="463" spans="1:14" ht="14" x14ac:dyDescent="0.25">
      <c r="A463" s="299"/>
      <c r="B463" s="18"/>
      <c r="C463" s="398"/>
      <c r="D463" s="301"/>
      <c r="E463" s="399"/>
      <c r="F463" s="399"/>
      <c r="G463" s="399"/>
      <c r="H463" s="301"/>
      <c r="I463" s="301"/>
      <c r="J463" s="301"/>
      <c r="K463" s="301"/>
      <c r="L463" s="301"/>
      <c r="M463" s="301"/>
      <c r="N463" s="301"/>
    </row>
    <row r="464" spans="1:14" ht="14" x14ac:dyDescent="0.25">
      <c r="A464" s="299"/>
      <c r="B464" s="18"/>
      <c r="C464" s="398"/>
      <c r="D464" s="301"/>
      <c r="E464" s="399"/>
      <c r="F464" s="399"/>
      <c r="G464" s="399"/>
      <c r="H464" s="301"/>
      <c r="I464" s="301"/>
      <c r="J464" s="301"/>
      <c r="K464" s="301"/>
      <c r="L464" s="301"/>
      <c r="M464" s="301"/>
      <c r="N464" s="301"/>
    </row>
    <row r="465" spans="1:14" ht="14" x14ac:dyDescent="0.25">
      <c r="A465" s="299"/>
      <c r="B465" s="18"/>
      <c r="C465" s="398"/>
      <c r="D465" s="301"/>
      <c r="E465" s="399"/>
      <c r="F465" s="399"/>
      <c r="G465" s="399"/>
      <c r="H465" s="301"/>
      <c r="I465" s="301"/>
      <c r="J465" s="301"/>
      <c r="K465" s="301"/>
      <c r="L465" s="301"/>
      <c r="M465" s="301"/>
      <c r="N465" s="301"/>
    </row>
    <row r="466" spans="1:14" ht="14" x14ac:dyDescent="0.25">
      <c r="A466" s="299"/>
      <c r="B466" s="18"/>
      <c r="C466" s="398"/>
      <c r="D466" s="301"/>
      <c r="E466" s="399"/>
      <c r="F466" s="399"/>
      <c r="G466" s="399"/>
      <c r="H466" s="301"/>
      <c r="I466" s="301"/>
      <c r="J466" s="301"/>
      <c r="K466" s="301"/>
      <c r="L466" s="301"/>
      <c r="M466" s="301"/>
      <c r="N466" s="301"/>
    </row>
    <row r="467" spans="1:14" ht="14" x14ac:dyDescent="0.25">
      <c r="A467" s="299"/>
      <c r="B467" s="18"/>
      <c r="C467" s="398"/>
      <c r="D467" s="301"/>
      <c r="E467" s="399"/>
      <c r="F467" s="399"/>
      <c r="G467" s="399"/>
      <c r="H467" s="301"/>
      <c r="I467" s="301"/>
      <c r="J467" s="301"/>
      <c r="K467" s="301"/>
      <c r="L467" s="301"/>
      <c r="M467" s="301"/>
      <c r="N467" s="301"/>
    </row>
    <row r="468" spans="1:14" ht="14" x14ac:dyDescent="0.25">
      <c r="A468" s="299"/>
      <c r="B468" s="18"/>
      <c r="C468" s="398"/>
      <c r="D468" s="301"/>
      <c r="E468" s="399"/>
      <c r="F468" s="399"/>
      <c r="G468" s="399"/>
      <c r="H468" s="301"/>
      <c r="I468" s="301"/>
      <c r="J468" s="301"/>
      <c r="K468" s="301"/>
      <c r="L468" s="301"/>
      <c r="M468" s="301"/>
      <c r="N468" s="301"/>
    </row>
    <row r="469" spans="1:14" ht="14" x14ac:dyDescent="0.25">
      <c r="A469" s="299"/>
      <c r="B469" s="18"/>
      <c r="C469" s="398"/>
      <c r="D469" s="301"/>
      <c r="E469" s="399"/>
      <c r="F469" s="399"/>
      <c r="G469" s="399"/>
      <c r="H469" s="301"/>
      <c r="I469" s="301"/>
      <c r="J469" s="301"/>
      <c r="K469" s="301"/>
      <c r="L469" s="301"/>
      <c r="M469" s="301"/>
      <c r="N469" s="301"/>
    </row>
    <row r="470" spans="1:14" ht="14" x14ac:dyDescent="0.25">
      <c r="A470" s="299"/>
      <c r="B470" s="18"/>
      <c r="C470" s="398"/>
      <c r="D470" s="301"/>
      <c r="E470" s="399"/>
      <c r="F470" s="399"/>
      <c r="G470" s="399"/>
      <c r="H470" s="301"/>
      <c r="I470" s="301"/>
      <c r="J470" s="301"/>
      <c r="K470" s="301"/>
      <c r="L470" s="301"/>
      <c r="M470" s="301"/>
      <c r="N470" s="301"/>
    </row>
    <row r="471" spans="1:14" ht="14" x14ac:dyDescent="0.25">
      <c r="A471" s="299"/>
      <c r="B471" s="18"/>
      <c r="C471" s="398"/>
      <c r="D471" s="301"/>
      <c r="E471" s="399"/>
      <c r="F471" s="399"/>
      <c r="G471" s="399"/>
      <c r="H471" s="301"/>
      <c r="I471" s="301"/>
      <c r="J471" s="301"/>
      <c r="K471" s="301"/>
      <c r="L471" s="301"/>
      <c r="M471" s="301"/>
      <c r="N471" s="301"/>
    </row>
    <row r="472" spans="1:14" ht="14" x14ac:dyDescent="0.25">
      <c r="A472" s="299"/>
      <c r="B472" s="18"/>
      <c r="C472" s="398"/>
      <c r="D472" s="301"/>
      <c r="E472" s="399"/>
      <c r="F472" s="399"/>
      <c r="G472" s="399"/>
      <c r="H472" s="301"/>
      <c r="I472" s="301"/>
      <c r="J472" s="301"/>
      <c r="K472" s="301"/>
      <c r="L472" s="301"/>
      <c r="M472" s="301"/>
      <c r="N472" s="301"/>
    </row>
    <row r="473" spans="1:14" ht="14" x14ac:dyDescent="0.25">
      <c r="A473" s="299"/>
      <c r="B473" s="18"/>
      <c r="C473" s="398"/>
      <c r="D473" s="301"/>
      <c r="E473" s="399"/>
      <c r="F473" s="399"/>
      <c r="G473" s="399"/>
      <c r="H473" s="301"/>
      <c r="I473" s="301"/>
      <c r="J473" s="301"/>
      <c r="K473" s="301"/>
      <c r="L473" s="301"/>
      <c r="M473" s="301"/>
      <c r="N473" s="301"/>
    </row>
    <row r="474" spans="1:14" ht="14" x14ac:dyDescent="0.25">
      <c r="A474" s="299"/>
      <c r="B474" s="18"/>
      <c r="C474" s="398"/>
      <c r="D474" s="301"/>
      <c r="E474" s="399"/>
      <c r="F474" s="399"/>
      <c r="G474" s="399"/>
      <c r="H474" s="301"/>
      <c r="I474" s="301"/>
      <c r="J474" s="301"/>
      <c r="K474" s="301"/>
      <c r="L474" s="301"/>
      <c r="M474" s="301"/>
      <c r="N474" s="301"/>
    </row>
    <row r="475" spans="1:14" ht="14" x14ac:dyDescent="0.25">
      <c r="A475" s="299"/>
      <c r="B475" s="18"/>
      <c r="C475" s="398"/>
      <c r="D475" s="301"/>
      <c r="E475" s="399"/>
      <c r="F475" s="399"/>
      <c r="G475" s="399"/>
      <c r="H475" s="301"/>
      <c r="I475" s="301"/>
      <c r="J475" s="301"/>
      <c r="K475" s="301"/>
      <c r="L475" s="301"/>
      <c r="M475" s="301"/>
      <c r="N475" s="301"/>
    </row>
    <row r="476" spans="1:14" ht="14" x14ac:dyDescent="0.25">
      <c r="A476" s="299"/>
      <c r="B476" s="18"/>
      <c r="C476" s="398"/>
      <c r="D476" s="301"/>
      <c r="E476" s="399"/>
      <c r="F476" s="399"/>
      <c r="G476" s="399"/>
      <c r="H476" s="301"/>
      <c r="I476" s="301"/>
      <c r="J476" s="301"/>
      <c r="K476" s="301"/>
      <c r="L476" s="301"/>
      <c r="M476" s="301"/>
      <c r="N476" s="301"/>
    </row>
    <row r="477" spans="1:14" ht="14" x14ac:dyDescent="0.25">
      <c r="A477" s="299"/>
      <c r="B477" s="18"/>
      <c r="C477" s="398"/>
      <c r="D477" s="301"/>
      <c r="E477" s="399"/>
      <c r="F477" s="399"/>
      <c r="G477" s="399"/>
      <c r="H477" s="301"/>
      <c r="I477" s="301"/>
      <c r="J477" s="301"/>
      <c r="K477" s="301"/>
      <c r="L477" s="301"/>
      <c r="M477" s="301"/>
      <c r="N477" s="301"/>
    </row>
    <row r="478" spans="1:14" ht="14" x14ac:dyDescent="0.25">
      <c r="A478" s="299"/>
      <c r="B478" s="18"/>
      <c r="C478" s="398"/>
      <c r="D478" s="301"/>
      <c r="E478" s="399"/>
      <c r="F478" s="399"/>
      <c r="G478" s="399"/>
      <c r="H478" s="301"/>
      <c r="I478" s="301"/>
      <c r="J478" s="301"/>
      <c r="K478" s="301"/>
      <c r="L478" s="301"/>
      <c r="M478" s="301"/>
      <c r="N478" s="301"/>
    </row>
    <row r="479" spans="1:14" ht="14" x14ac:dyDescent="0.25">
      <c r="A479" s="299"/>
      <c r="B479" s="18"/>
      <c r="C479" s="398"/>
      <c r="D479" s="301"/>
      <c r="E479" s="399"/>
      <c r="F479" s="399"/>
      <c r="G479" s="399"/>
      <c r="H479" s="301"/>
      <c r="I479" s="301"/>
      <c r="J479" s="301"/>
      <c r="K479" s="301"/>
      <c r="L479" s="301"/>
      <c r="M479" s="301"/>
      <c r="N479" s="301"/>
    </row>
    <row r="480" spans="1:14" ht="14" x14ac:dyDescent="0.25">
      <c r="A480" s="299"/>
      <c r="B480" s="18"/>
      <c r="C480" s="398"/>
      <c r="D480" s="301"/>
      <c r="E480" s="399"/>
      <c r="F480" s="399"/>
      <c r="G480" s="399"/>
      <c r="H480" s="301"/>
      <c r="I480" s="301"/>
      <c r="J480" s="301"/>
      <c r="K480" s="301"/>
      <c r="L480" s="301"/>
      <c r="M480" s="301"/>
      <c r="N480" s="301"/>
    </row>
    <row r="481" spans="1:14" ht="14" x14ac:dyDescent="0.25">
      <c r="A481" s="299"/>
      <c r="B481" s="18"/>
      <c r="C481" s="398"/>
      <c r="D481" s="301"/>
      <c r="E481" s="399"/>
      <c r="F481" s="399"/>
      <c r="G481" s="399"/>
      <c r="H481" s="301"/>
      <c r="I481" s="301"/>
      <c r="J481" s="301"/>
      <c r="K481" s="301"/>
      <c r="L481" s="301"/>
      <c r="M481" s="301"/>
      <c r="N481" s="301"/>
    </row>
    <row r="482" spans="1:14" ht="14" x14ac:dyDescent="0.25">
      <c r="A482" s="299"/>
      <c r="B482" s="18"/>
      <c r="C482" s="398"/>
      <c r="D482" s="301"/>
      <c r="E482" s="399"/>
      <c r="F482" s="399"/>
      <c r="G482" s="399"/>
      <c r="H482" s="301"/>
      <c r="I482" s="301"/>
      <c r="J482" s="301"/>
      <c r="K482" s="301"/>
      <c r="L482" s="301"/>
      <c r="M482" s="301"/>
      <c r="N482" s="301"/>
    </row>
    <row r="483" spans="1:14" ht="14" x14ac:dyDescent="0.25">
      <c r="A483" s="299"/>
      <c r="B483" s="18"/>
      <c r="C483" s="398"/>
      <c r="D483" s="301"/>
      <c r="E483" s="399"/>
      <c r="F483" s="399"/>
      <c r="G483" s="399"/>
      <c r="H483" s="301"/>
      <c r="I483" s="301"/>
      <c r="J483" s="301"/>
      <c r="K483" s="301"/>
      <c r="L483" s="301"/>
      <c r="M483" s="301"/>
      <c r="N483" s="301"/>
    </row>
    <row r="484" spans="1:14" ht="14" x14ac:dyDescent="0.25">
      <c r="A484" s="299"/>
      <c r="B484" s="18"/>
      <c r="C484" s="398"/>
      <c r="D484" s="301"/>
      <c r="E484" s="399"/>
      <c r="F484" s="399"/>
      <c r="G484" s="399"/>
      <c r="H484" s="301"/>
      <c r="I484" s="301"/>
      <c r="J484" s="301"/>
      <c r="K484" s="301"/>
      <c r="L484" s="301"/>
      <c r="M484" s="301"/>
      <c r="N484" s="301"/>
    </row>
    <row r="485" spans="1:14" ht="14" x14ac:dyDescent="0.25">
      <c r="A485" s="299"/>
      <c r="B485" s="18"/>
      <c r="C485" s="398"/>
      <c r="D485" s="301"/>
      <c r="E485" s="399"/>
      <c r="F485" s="399"/>
      <c r="G485" s="399"/>
      <c r="H485" s="301"/>
      <c r="I485" s="301"/>
      <c r="J485" s="301"/>
      <c r="K485" s="301"/>
      <c r="L485" s="301"/>
      <c r="M485" s="301"/>
      <c r="N485" s="301"/>
    </row>
    <row r="486" spans="1:14" ht="14" x14ac:dyDescent="0.25">
      <c r="A486" s="299"/>
      <c r="B486" s="18"/>
      <c r="C486" s="398"/>
      <c r="D486" s="301"/>
      <c r="E486" s="399"/>
      <c r="F486" s="399"/>
      <c r="G486" s="399"/>
      <c r="H486" s="301"/>
      <c r="I486" s="301"/>
      <c r="J486" s="301"/>
      <c r="K486" s="301"/>
      <c r="L486" s="301"/>
      <c r="M486" s="301"/>
      <c r="N486" s="301"/>
    </row>
    <row r="487" spans="1:14" ht="14" x14ac:dyDescent="0.25">
      <c r="A487" s="299"/>
      <c r="B487" s="18"/>
      <c r="C487" s="398"/>
      <c r="D487" s="301"/>
      <c r="E487" s="399"/>
      <c r="F487" s="399"/>
      <c r="G487" s="399"/>
      <c r="H487" s="301"/>
      <c r="I487" s="301"/>
      <c r="J487" s="301"/>
      <c r="K487" s="301"/>
      <c r="L487" s="301"/>
      <c r="M487" s="301"/>
      <c r="N487" s="301"/>
    </row>
    <row r="488" spans="1:14" ht="14" x14ac:dyDescent="0.25">
      <c r="A488" s="299"/>
      <c r="B488" s="18"/>
      <c r="C488" s="398"/>
      <c r="D488" s="301"/>
      <c r="E488" s="399"/>
      <c r="F488" s="399"/>
      <c r="G488" s="399"/>
      <c r="H488" s="301"/>
      <c r="I488" s="301"/>
      <c r="J488" s="301"/>
      <c r="K488" s="301"/>
      <c r="L488" s="301"/>
      <c r="M488" s="301"/>
      <c r="N488" s="301"/>
    </row>
    <row r="489" spans="1:14" ht="14" x14ac:dyDescent="0.25">
      <c r="A489" s="299"/>
      <c r="B489" s="18"/>
      <c r="C489" s="398"/>
      <c r="D489" s="301"/>
      <c r="E489" s="399"/>
      <c r="F489" s="399"/>
      <c r="G489" s="399"/>
      <c r="H489" s="301"/>
      <c r="I489" s="301"/>
      <c r="J489" s="301"/>
      <c r="K489" s="301"/>
      <c r="L489" s="301"/>
      <c r="M489" s="301"/>
      <c r="N489" s="301"/>
    </row>
    <row r="490" spans="1:14" ht="14" x14ac:dyDescent="0.25">
      <c r="A490" s="299"/>
      <c r="B490" s="18"/>
      <c r="C490" s="398"/>
      <c r="D490" s="301"/>
      <c r="E490" s="399"/>
      <c r="F490" s="399"/>
      <c r="G490" s="399"/>
      <c r="H490" s="301"/>
      <c r="I490" s="301"/>
      <c r="J490" s="301"/>
      <c r="K490" s="301"/>
      <c r="L490" s="301"/>
      <c r="M490" s="301"/>
      <c r="N490" s="301"/>
    </row>
    <row r="491" spans="1:14" ht="14" x14ac:dyDescent="0.25">
      <c r="A491" s="299"/>
      <c r="B491" s="18"/>
      <c r="C491" s="398"/>
      <c r="D491" s="301"/>
      <c r="E491" s="399"/>
      <c r="F491" s="399"/>
      <c r="G491" s="399"/>
      <c r="H491" s="301"/>
      <c r="I491" s="301"/>
      <c r="J491" s="301"/>
      <c r="K491" s="301"/>
      <c r="L491" s="301"/>
      <c r="M491" s="301"/>
      <c r="N491" s="301"/>
    </row>
    <row r="492" spans="1:14" ht="14" x14ac:dyDescent="0.25">
      <c r="A492" s="299"/>
      <c r="B492" s="18"/>
      <c r="C492" s="398"/>
      <c r="D492" s="301"/>
      <c r="E492" s="399"/>
      <c r="F492" s="399"/>
      <c r="G492" s="399"/>
      <c r="H492" s="301"/>
      <c r="I492" s="301"/>
      <c r="J492" s="301"/>
      <c r="K492" s="301"/>
      <c r="L492" s="301"/>
      <c r="M492" s="301"/>
      <c r="N492" s="301"/>
    </row>
    <row r="493" spans="1:14" ht="14" x14ac:dyDescent="0.25">
      <c r="A493" s="299"/>
      <c r="B493" s="18"/>
      <c r="C493" s="398"/>
      <c r="D493" s="301"/>
      <c r="E493" s="399"/>
      <c r="F493" s="399"/>
      <c r="G493" s="399"/>
      <c r="H493" s="301"/>
      <c r="I493" s="301"/>
      <c r="J493" s="301"/>
      <c r="K493" s="301"/>
      <c r="L493" s="301"/>
      <c r="M493" s="301"/>
      <c r="N493" s="301"/>
    </row>
    <row r="494" spans="1:14" ht="14" x14ac:dyDescent="0.25">
      <c r="A494" s="299"/>
      <c r="B494" s="18"/>
      <c r="C494" s="398"/>
      <c r="D494" s="301"/>
      <c r="E494" s="399"/>
      <c r="F494" s="399"/>
      <c r="G494" s="399"/>
      <c r="H494" s="301"/>
      <c r="I494" s="301"/>
      <c r="J494" s="301"/>
      <c r="K494" s="301"/>
      <c r="L494" s="301"/>
      <c r="M494" s="301"/>
      <c r="N494" s="301"/>
    </row>
    <row r="495" spans="1:14" ht="14" x14ac:dyDescent="0.25">
      <c r="A495" s="299"/>
      <c r="B495" s="18"/>
      <c r="C495" s="398"/>
      <c r="D495" s="301"/>
      <c r="E495" s="399"/>
      <c r="F495" s="399"/>
      <c r="G495" s="399"/>
      <c r="H495" s="301"/>
      <c r="I495" s="301"/>
      <c r="J495" s="301"/>
      <c r="K495" s="301"/>
      <c r="L495" s="301"/>
      <c r="M495" s="301"/>
      <c r="N495" s="301"/>
    </row>
    <row r="496" spans="1:14" ht="14" x14ac:dyDescent="0.25">
      <c r="A496" s="299"/>
      <c r="B496" s="18"/>
      <c r="C496" s="398"/>
      <c r="D496" s="301"/>
      <c r="E496" s="399"/>
      <c r="F496" s="399"/>
      <c r="G496" s="399"/>
      <c r="H496" s="301"/>
      <c r="I496" s="301"/>
      <c r="J496" s="301"/>
      <c r="K496" s="301"/>
      <c r="L496" s="301"/>
      <c r="M496" s="301"/>
      <c r="N496" s="301"/>
    </row>
    <row r="497" spans="1:14" ht="14" x14ac:dyDescent="0.25">
      <c r="A497" s="299"/>
      <c r="B497" s="18"/>
      <c r="C497" s="398"/>
      <c r="D497" s="301"/>
      <c r="E497" s="399"/>
      <c r="F497" s="399"/>
      <c r="G497" s="399"/>
      <c r="H497" s="301"/>
      <c r="I497" s="301"/>
      <c r="J497" s="301"/>
      <c r="K497" s="301"/>
      <c r="L497" s="301"/>
      <c r="M497" s="301"/>
      <c r="N497" s="301"/>
    </row>
    <row r="498" spans="1:14" ht="14" x14ac:dyDescent="0.25">
      <c r="A498" s="299"/>
      <c r="B498" s="18"/>
      <c r="C498" s="398"/>
      <c r="D498" s="301"/>
      <c r="E498" s="399"/>
      <c r="F498" s="399"/>
      <c r="G498" s="399"/>
      <c r="H498" s="301"/>
      <c r="I498" s="301"/>
      <c r="J498" s="301"/>
      <c r="K498" s="301"/>
      <c r="L498" s="301"/>
      <c r="M498" s="301"/>
      <c r="N498" s="301"/>
    </row>
    <row r="499" spans="1:14" ht="14" x14ac:dyDescent="0.25">
      <c r="A499" s="299"/>
      <c r="B499" s="18"/>
      <c r="C499" s="398"/>
      <c r="D499" s="301"/>
      <c r="E499" s="399"/>
      <c r="F499" s="399"/>
      <c r="G499" s="399"/>
      <c r="H499" s="301"/>
      <c r="I499" s="301"/>
      <c r="J499" s="301"/>
      <c r="K499" s="301"/>
      <c r="L499" s="301"/>
      <c r="M499" s="301"/>
      <c r="N499" s="301"/>
    </row>
    <row r="500" spans="1:14" ht="14" x14ac:dyDescent="0.25">
      <c r="A500" s="299"/>
      <c r="B500" s="18"/>
      <c r="C500" s="398"/>
      <c r="D500" s="301"/>
      <c r="E500" s="399"/>
      <c r="F500" s="399"/>
      <c r="G500" s="399"/>
      <c r="H500" s="301"/>
      <c r="I500" s="301"/>
      <c r="J500" s="301"/>
      <c r="K500" s="301"/>
      <c r="L500" s="301"/>
      <c r="M500" s="301"/>
      <c r="N500" s="301"/>
    </row>
    <row r="501" spans="1:14" ht="14" x14ac:dyDescent="0.25">
      <c r="A501" s="299"/>
      <c r="B501" s="18"/>
      <c r="C501" s="398"/>
      <c r="D501" s="301"/>
      <c r="E501" s="399"/>
      <c r="F501" s="399"/>
      <c r="G501" s="399"/>
      <c r="H501" s="301"/>
      <c r="I501" s="301"/>
      <c r="J501" s="301"/>
      <c r="K501" s="301"/>
      <c r="L501" s="301"/>
      <c r="M501" s="301"/>
      <c r="N501" s="301"/>
    </row>
    <row r="502" spans="1:14" ht="14" x14ac:dyDescent="0.25">
      <c r="A502" s="299"/>
      <c r="B502" s="18"/>
      <c r="C502" s="398"/>
      <c r="D502" s="301"/>
      <c r="E502" s="399"/>
      <c r="F502" s="399"/>
      <c r="G502" s="399"/>
      <c r="H502" s="301"/>
      <c r="I502" s="301"/>
      <c r="J502" s="301"/>
      <c r="K502" s="301"/>
      <c r="L502" s="301"/>
      <c r="M502" s="301"/>
      <c r="N502" s="301"/>
    </row>
    <row r="503" spans="1:14" ht="14" x14ac:dyDescent="0.25">
      <c r="A503" s="299"/>
      <c r="B503" s="18"/>
      <c r="C503" s="398"/>
      <c r="D503" s="301"/>
      <c r="E503" s="399"/>
      <c r="F503" s="399"/>
      <c r="G503" s="399"/>
      <c r="H503" s="301"/>
      <c r="I503" s="301"/>
      <c r="J503" s="301"/>
      <c r="K503" s="301"/>
      <c r="L503" s="301"/>
      <c r="M503" s="301"/>
      <c r="N503" s="301"/>
    </row>
    <row r="504" spans="1:14" ht="14" x14ac:dyDescent="0.25">
      <c r="A504" s="299"/>
      <c r="B504" s="18"/>
      <c r="C504" s="398"/>
      <c r="D504" s="301"/>
      <c r="E504" s="399"/>
      <c r="F504" s="399"/>
      <c r="G504" s="399"/>
      <c r="H504" s="301"/>
      <c r="I504" s="301"/>
      <c r="J504" s="301"/>
      <c r="K504" s="301"/>
      <c r="L504" s="301"/>
      <c r="M504" s="301"/>
      <c r="N504" s="301"/>
    </row>
    <row r="505" spans="1:14" ht="14" x14ac:dyDescent="0.25">
      <c r="A505" s="299"/>
      <c r="B505" s="18"/>
      <c r="C505" s="398"/>
      <c r="D505" s="301"/>
      <c r="E505" s="399"/>
      <c r="F505" s="399"/>
      <c r="G505" s="399"/>
      <c r="H505" s="301"/>
      <c r="I505" s="301"/>
      <c r="J505" s="301"/>
      <c r="K505" s="301"/>
      <c r="L505" s="301"/>
      <c r="M505" s="301"/>
      <c r="N505" s="301"/>
    </row>
    <row r="506" spans="1:14" ht="14" x14ac:dyDescent="0.25">
      <c r="A506" s="299"/>
      <c r="B506" s="18"/>
      <c r="C506" s="398"/>
      <c r="D506" s="301"/>
      <c r="E506" s="399"/>
      <c r="F506" s="399"/>
      <c r="G506" s="399"/>
      <c r="H506" s="301"/>
      <c r="I506" s="301"/>
      <c r="J506" s="301"/>
      <c r="K506" s="301"/>
      <c r="L506" s="301"/>
      <c r="M506" s="301"/>
      <c r="N506" s="301"/>
    </row>
    <row r="507" spans="1:14" ht="14" x14ac:dyDescent="0.25">
      <c r="A507" s="299"/>
      <c r="B507" s="18"/>
      <c r="C507" s="398"/>
      <c r="D507" s="301"/>
      <c r="E507" s="399"/>
      <c r="F507" s="399"/>
      <c r="G507" s="399"/>
      <c r="H507" s="301"/>
      <c r="I507" s="301"/>
      <c r="J507" s="301"/>
      <c r="K507" s="301"/>
      <c r="L507" s="301"/>
      <c r="M507" s="301"/>
      <c r="N507" s="301"/>
    </row>
    <row r="508" spans="1:14" ht="14" x14ac:dyDescent="0.25">
      <c r="A508" s="299"/>
      <c r="B508" s="18"/>
      <c r="C508" s="398"/>
      <c r="D508" s="301"/>
      <c r="E508" s="399"/>
      <c r="F508" s="399"/>
      <c r="G508" s="399"/>
      <c r="H508" s="301"/>
      <c r="I508" s="301"/>
      <c r="J508" s="301"/>
      <c r="K508" s="301"/>
      <c r="L508" s="301"/>
      <c r="M508" s="301"/>
      <c r="N508" s="301"/>
    </row>
    <row r="509" spans="1:14" ht="14" x14ac:dyDescent="0.25">
      <c r="A509" s="299"/>
      <c r="B509" s="18"/>
      <c r="C509" s="398"/>
      <c r="D509" s="301"/>
      <c r="E509" s="399"/>
      <c r="F509" s="399"/>
      <c r="G509" s="399"/>
      <c r="H509" s="301"/>
      <c r="I509" s="301"/>
      <c r="J509" s="301"/>
      <c r="K509" s="301"/>
      <c r="L509" s="301"/>
      <c r="M509" s="301"/>
      <c r="N509" s="301"/>
    </row>
    <row r="510" spans="1:14" ht="14" x14ac:dyDescent="0.25">
      <c r="A510" s="299"/>
      <c r="B510" s="18"/>
      <c r="C510" s="398"/>
      <c r="D510" s="301"/>
      <c r="E510" s="399"/>
      <c r="F510" s="399"/>
      <c r="G510" s="399"/>
      <c r="H510" s="301"/>
      <c r="I510" s="301"/>
      <c r="J510" s="301"/>
      <c r="K510" s="301"/>
      <c r="L510" s="301"/>
      <c r="M510" s="301"/>
      <c r="N510" s="301"/>
    </row>
    <row r="511" spans="1:14" ht="14" x14ac:dyDescent="0.25">
      <c r="A511" s="299"/>
      <c r="B511" s="18"/>
      <c r="C511" s="398"/>
      <c r="D511" s="301"/>
      <c r="E511" s="399"/>
      <c r="F511" s="399"/>
      <c r="G511" s="399"/>
      <c r="H511" s="301"/>
      <c r="I511" s="301"/>
      <c r="J511" s="301"/>
      <c r="K511" s="301"/>
      <c r="L511" s="301"/>
      <c r="M511" s="301"/>
      <c r="N511" s="301"/>
    </row>
    <row r="512" spans="1:14" ht="14" x14ac:dyDescent="0.25">
      <c r="A512" s="299"/>
      <c r="B512" s="18"/>
      <c r="C512" s="398"/>
      <c r="D512" s="301"/>
      <c r="E512" s="399"/>
      <c r="F512" s="399"/>
      <c r="G512" s="399"/>
      <c r="H512" s="301"/>
      <c r="I512" s="301"/>
      <c r="J512" s="301"/>
      <c r="K512" s="301"/>
      <c r="L512" s="301"/>
      <c r="M512" s="301"/>
      <c r="N512" s="301"/>
    </row>
    <row r="513" spans="1:14" ht="14" x14ac:dyDescent="0.25">
      <c r="A513" s="299"/>
      <c r="B513" s="18"/>
      <c r="C513" s="398"/>
      <c r="D513" s="301"/>
      <c r="E513" s="399"/>
      <c r="F513" s="399"/>
      <c r="G513" s="399"/>
      <c r="H513" s="301"/>
      <c r="I513" s="301"/>
      <c r="J513" s="301"/>
      <c r="K513" s="301"/>
      <c r="L513" s="301"/>
      <c r="M513" s="301"/>
      <c r="N513" s="301"/>
    </row>
    <row r="514" spans="1:14" ht="14" x14ac:dyDescent="0.25">
      <c r="A514" s="299"/>
      <c r="B514" s="18"/>
      <c r="C514" s="398"/>
      <c r="D514" s="301"/>
      <c r="E514" s="399"/>
      <c r="F514" s="399"/>
      <c r="G514" s="399"/>
      <c r="H514" s="301"/>
      <c r="I514" s="301"/>
      <c r="J514" s="301"/>
      <c r="K514" s="301"/>
      <c r="L514" s="301"/>
      <c r="M514" s="301"/>
      <c r="N514" s="301"/>
    </row>
    <row r="515" spans="1:14" ht="14" x14ac:dyDescent="0.25">
      <c r="A515" s="299"/>
      <c r="B515" s="18"/>
      <c r="C515" s="398"/>
      <c r="D515" s="301"/>
      <c r="E515" s="399"/>
      <c r="F515" s="399"/>
      <c r="G515" s="399"/>
      <c r="H515" s="301"/>
      <c r="I515" s="301"/>
      <c r="J515" s="301"/>
      <c r="K515" s="301"/>
      <c r="L515" s="301"/>
      <c r="M515" s="301"/>
      <c r="N515" s="301"/>
    </row>
    <row r="516" spans="1:14" ht="14" x14ac:dyDescent="0.25">
      <c r="A516" s="299"/>
      <c r="B516" s="18"/>
      <c r="C516" s="398"/>
      <c r="D516" s="301"/>
      <c r="E516" s="399"/>
      <c r="F516" s="399"/>
      <c r="G516" s="399"/>
      <c r="H516" s="301"/>
      <c r="I516" s="301"/>
      <c r="J516" s="301"/>
      <c r="K516" s="301"/>
      <c r="L516" s="301"/>
      <c r="M516" s="301"/>
      <c r="N516" s="301"/>
    </row>
    <row r="517" spans="1:14" ht="14" x14ac:dyDescent="0.25">
      <c r="A517" s="299"/>
      <c r="B517" s="18"/>
      <c r="C517" s="398"/>
      <c r="D517" s="301"/>
      <c r="E517" s="399"/>
      <c r="F517" s="399"/>
      <c r="G517" s="399"/>
      <c r="H517" s="301"/>
      <c r="I517" s="301"/>
      <c r="J517" s="301"/>
      <c r="K517" s="301"/>
      <c r="L517" s="301"/>
      <c r="M517" s="301"/>
      <c r="N517" s="301"/>
    </row>
    <row r="518" spans="1:14" ht="14" x14ac:dyDescent="0.25">
      <c r="A518" s="299"/>
      <c r="B518" s="18"/>
      <c r="C518" s="398"/>
      <c r="D518" s="301"/>
      <c r="E518" s="399"/>
      <c r="F518" s="399"/>
      <c r="G518" s="399"/>
      <c r="H518" s="301"/>
      <c r="I518" s="301"/>
      <c r="J518" s="301"/>
      <c r="K518" s="301"/>
      <c r="L518" s="301"/>
      <c r="M518" s="301"/>
      <c r="N518" s="301"/>
    </row>
    <row r="519" spans="1:14" ht="14" x14ac:dyDescent="0.25">
      <c r="A519" s="299"/>
      <c r="B519" s="18"/>
      <c r="C519" s="398"/>
      <c r="D519" s="301"/>
      <c r="E519" s="399"/>
      <c r="F519" s="399"/>
      <c r="G519" s="399"/>
      <c r="H519" s="301"/>
      <c r="I519" s="301"/>
      <c r="J519" s="301"/>
      <c r="K519" s="301"/>
      <c r="L519" s="301"/>
      <c r="M519" s="301"/>
      <c r="N519" s="301"/>
    </row>
    <row r="520" spans="1:14" ht="14" x14ac:dyDescent="0.25">
      <c r="A520" s="299"/>
      <c r="B520" s="18"/>
      <c r="C520" s="398"/>
      <c r="D520" s="301"/>
      <c r="E520" s="399"/>
      <c r="F520" s="399"/>
      <c r="G520" s="399"/>
      <c r="H520" s="301"/>
      <c r="I520" s="301"/>
      <c r="J520" s="301"/>
      <c r="K520" s="301"/>
      <c r="L520" s="301"/>
      <c r="M520" s="301"/>
      <c r="N520" s="301"/>
    </row>
    <row r="521" spans="1:14" ht="14" x14ac:dyDescent="0.25">
      <c r="A521" s="299"/>
      <c r="B521" s="18"/>
      <c r="C521" s="398"/>
      <c r="D521" s="301"/>
      <c r="E521" s="399"/>
      <c r="F521" s="399"/>
      <c r="G521" s="399"/>
      <c r="H521" s="301"/>
      <c r="I521" s="301"/>
      <c r="J521" s="301"/>
      <c r="K521" s="301"/>
      <c r="L521" s="301"/>
      <c r="M521" s="301"/>
      <c r="N521" s="301"/>
    </row>
    <row r="522" spans="1:14" ht="14" x14ac:dyDescent="0.25">
      <c r="A522" s="299"/>
      <c r="B522" s="18"/>
      <c r="C522" s="398"/>
      <c r="D522" s="301"/>
      <c r="E522" s="399"/>
      <c r="F522" s="399"/>
      <c r="G522" s="399"/>
      <c r="H522" s="301"/>
      <c r="I522" s="301"/>
      <c r="J522" s="301"/>
      <c r="K522" s="301"/>
      <c r="L522" s="301"/>
      <c r="M522" s="301"/>
      <c r="N522" s="301"/>
    </row>
    <row r="523" spans="1:14" ht="14" x14ac:dyDescent="0.25">
      <c r="A523" s="299"/>
      <c r="B523" s="18"/>
      <c r="C523" s="398"/>
      <c r="D523" s="301"/>
      <c r="E523" s="399"/>
      <c r="F523" s="399"/>
      <c r="G523" s="399"/>
      <c r="H523" s="301"/>
      <c r="I523" s="301"/>
      <c r="J523" s="301"/>
      <c r="K523" s="301"/>
      <c r="L523" s="301"/>
      <c r="M523" s="301"/>
      <c r="N523" s="301"/>
    </row>
    <row r="524" spans="1:14" ht="14" x14ac:dyDescent="0.25">
      <c r="A524" s="299"/>
      <c r="B524" s="18"/>
      <c r="C524" s="398"/>
      <c r="D524" s="301"/>
      <c r="E524" s="399"/>
      <c r="F524" s="399"/>
      <c r="G524" s="399"/>
      <c r="H524" s="301"/>
      <c r="I524" s="301"/>
      <c r="J524" s="301"/>
      <c r="K524" s="301"/>
      <c r="L524" s="301"/>
      <c r="M524" s="301"/>
      <c r="N524" s="301"/>
    </row>
    <row r="525" spans="1:14" ht="14" x14ac:dyDescent="0.25">
      <c r="A525" s="299"/>
      <c r="B525" s="18"/>
      <c r="C525" s="398"/>
      <c r="D525" s="301"/>
      <c r="E525" s="399"/>
      <c r="F525" s="399"/>
      <c r="G525" s="399"/>
      <c r="H525" s="301"/>
      <c r="I525" s="301"/>
      <c r="J525" s="301"/>
      <c r="K525" s="301"/>
      <c r="L525" s="301"/>
      <c r="M525" s="301"/>
      <c r="N525" s="301"/>
    </row>
    <row r="526" spans="1:14" ht="14" x14ac:dyDescent="0.25">
      <c r="A526" s="299"/>
      <c r="B526" s="18"/>
      <c r="C526" s="398"/>
      <c r="D526" s="301"/>
      <c r="E526" s="399"/>
      <c r="F526" s="399"/>
      <c r="G526" s="399"/>
      <c r="H526" s="301"/>
      <c r="I526" s="301"/>
      <c r="J526" s="301"/>
      <c r="K526" s="301"/>
      <c r="L526" s="301"/>
      <c r="M526" s="301"/>
      <c r="N526" s="301"/>
    </row>
    <row r="527" spans="1:14" ht="14" x14ac:dyDescent="0.25">
      <c r="A527" s="299"/>
      <c r="B527" s="18"/>
      <c r="C527" s="398"/>
      <c r="D527" s="301"/>
      <c r="E527" s="399"/>
      <c r="F527" s="399"/>
      <c r="G527" s="399"/>
      <c r="H527" s="301"/>
      <c r="I527" s="301"/>
      <c r="J527" s="301"/>
      <c r="K527" s="301"/>
      <c r="L527" s="301"/>
      <c r="M527" s="301"/>
      <c r="N527" s="301"/>
    </row>
    <row r="528" spans="1:14" ht="14" x14ac:dyDescent="0.25">
      <c r="A528" s="299"/>
      <c r="B528" s="18"/>
      <c r="C528" s="398"/>
      <c r="D528" s="301"/>
      <c r="E528" s="399"/>
      <c r="F528" s="399"/>
      <c r="G528" s="399"/>
      <c r="H528" s="301"/>
      <c r="I528" s="301"/>
      <c r="J528" s="301"/>
      <c r="K528" s="301"/>
      <c r="L528" s="301"/>
      <c r="M528" s="301"/>
      <c r="N528" s="301"/>
    </row>
    <row r="529" spans="1:14" ht="14" x14ac:dyDescent="0.25">
      <c r="A529" s="299"/>
      <c r="B529" s="18"/>
      <c r="C529" s="398"/>
      <c r="D529" s="301"/>
      <c r="E529" s="399"/>
      <c r="F529" s="399"/>
      <c r="G529" s="399"/>
      <c r="H529" s="301"/>
      <c r="I529" s="301"/>
      <c r="J529" s="301"/>
      <c r="K529" s="301"/>
      <c r="L529" s="301"/>
      <c r="M529" s="301"/>
      <c r="N529" s="301"/>
    </row>
    <row r="530" spans="1:14" ht="14" x14ac:dyDescent="0.25">
      <c r="A530" s="299"/>
      <c r="B530" s="18"/>
      <c r="C530" s="398"/>
      <c r="D530" s="301"/>
      <c r="E530" s="399"/>
      <c r="F530" s="399"/>
      <c r="G530" s="399"/>
      <c r="H530" s="301"/>
      <c r="I530" s="301"/>
      <c r="J530" s="301"/>
      <c r="K530" s="301"/>
      <c r="L530" s="301"/>
      <c r="M530" s="301"/>
      <c r="N530" s="301"/>
    </row>
    <row r="531" spans="1:14" ht="14" x14ac:dyDescent="0.25">
      <c r="A531" s="299"/>
      <c r="B531" s="18"/>
      <c r="C531" s="398"/>
      <c r="D531" s="301"/>
      <c r="E531" s="399"/>
      <c r="F531" s="399"/>
      <c r="G531" s="399"/>
      <c r="H531" s="301"/>
      <c r="I531" s="301"/>
      <c r="J531" s="301"/>
      <c r="K531" s="301"/>
      <c r="L531" s="301"/>
      <c r="M531" s="301"/>
      <c r="N531" s="301"/>
    </row>
    <row r="532" spans="1:14" ht="14" x14ac:dyDescent="0.25">
      <c r="A532" s="299"/>
      <c r="B532" s="18"/>
      <c r="C532" s="398"/>
      <c r="D532" s="301"/>
      <c r="E532" s="399"/>
      <c r="F532" s="399"/>
      <c r="G532" s="399"/>
      <c r="H532" s="301"/>
      <c r="I532" s="301"/>
      <c r="J532" s="301"/>
      <c r="K532" s="301"/>
      <c r="L532" s="301"/>
      <c r="M532" s="301"/>
      <c r="N532" s="301"/>
    </row>
    <row r="533" spans="1:14" ht="14" x14ac:dyDescent="0.25">
      <c r="A533" s="299"/>
      <c r="B533" s="18"/>
      <c r="C533" s="398"/>
      <c r="D533" s="301"/>
      <c r="E533" s="399"/>
      <c r="F533" s="399"/>
      <c r="G533" s="399"/>
      <c r="H533" s="301"/>
      <c r="I533" s="301"/>
      <c r="J533" s="301"/>
      <c r="K533" s="301"/>
      <c r="L533" s="301"/>
      <c r="M533" s="301"/>
      <c r="N533" s="301"/>
    </row>
    <row r="534" spans="1:14" ht="14" x14ac:dyDescent="0.25">
      <c r="A534" s="299"/>
      <c r="B534" s="18"/>
      <c r="C534" s="398"/>
      <c r="D534" s="301"/>
      <c r="E534" s="399"/>
      <c r="F534" s="399"/>
      <c r="G534" s="399"/>
      <c r="H534" s="301"/>
      <c r="I534" s="301"/>
      <c r="J534" s="301"/>
      <c r="K534" s="301"/>
      <c r="L534" s="301"/>
      <c r="M534" s="301"/>
      <c r="N534" s="301"/>
    </row>
    <row r="535" spans="1:14" ht="14" x14ac:dyDescent="0.25">
      <c r="A535" s="299"/>
      <c r="B535" s="18"/>
      <c r="C535" s="398"/>
      <c r="D535" s="301"/>
      <c r="E535" s="399"/>
      <c r="F535" s="399"/>
      <c r="G535" s="399"/>
      <c r="H535" s="301"/>
      <c r="I535" s="301"/>
      <c r="J535" s="301"/>
      <c r="K535" s="301"/>
      <c r="L535" s="301"/>
      <c r="M535" s="301"/>
      <c r="N535" s="301"/>
    </row>
    <row r="536" spans="1:14" ht="14" x14ac:dyDescent="0.25">
      <c r="A536" s="299"/>
      <c r="B536" s="18"/>
      <c r="C536" s="398"/>
      <c r="D536" s="301"/>
      <c r="E536" s="399"/>
      <c r="F536" s="399"/>
      <c r="G536" s="399"/>
      <c r="H536" s="301"/>
      <c r="I536" s="301"/>
      <c r="J536" s="301"/>
      <c r="K536" s="301"/>
      <c r="L536" s="301"/>
      <c r="M536" s="301"/>
      <c r="N536" s="301"/>
    </row>
    <row r="537" spans="1:14" ht="14" x14ac:dyDescent="0.25">
      <c r="A537" s="299"/>
      <c r="B537" s="18"/>
      <c r="C537" s="398"/>
      <c r="D537" s="301"/>
      <c r="E537" s="399"/>
      <c r="F537" s="399"/>
      <c r="G537" s="399"/>
      <c r="H537" s="301"/>
      <c r="I537" s="301"/>
      <c r="J537" s="301"/>
      <c r="K537" s="301"/>
      <c r="L537" s="301"/>
      <c r="M537" s="301"/>
      <c r="N537" s="301"/>
    </row>
    <row r="538" spans="1:14" ht="14" x14ac:dyDescent="0.25">
      <c r="A538" s="299"/>
      <c r="B538" s="18"/>
      <c r="C538" s="398"/>
      <c r="D538" s="301"/>
      <c r="E538" s="399"/>
      <c r="F538" s="399"/>
      <c r="G538" s="399"/>
      <c r="H538" s="301"/>
      <c r="I538" s="301"/>
      <c r="J538" s="301"/>
      <c r="K538" s="301"/>
      <c r="L538" s="301"/>
      <c r="M538" s="301"/>
      <c r="N538" s="301"/>
    </row>
    <row r="539" spans="1:14" ht="14" x14ac:dyDescent="0.25">
      <c r="A539" s="299"/>
      <c r="B539" s="18"/>
      <c r="C539" s="398"/>
      <c r="D539" s="301"/>
      <c r="E539" s="399"/>
      <c r="F539" s="399"/>
      <c r="G539" s="399"/>
      <c r="H539" s="301"/>
      <c r="I539" s="301"/>
      <c r="J539" s="301"/>
      <c r="K539" s="301"/>
      <c r="L539" s="301"/>
      <c r="M539" s="301"/>
      <c r="N539" s="301"/>
    </row>
    <row r="540" spans="1:14" ht="14" x14ac:dyDescent="0.25">
      <c r="A540" s="299"/>
      <c r="B540" s="18"/>
      <c r="C540" s="398"/>
      <c r="D540" s="301"/>
      <c r="E540" s="399"/>
      <c r="F540" s="399"/>
      <c r="G540" s="399"/>
      <c r="H540" s="301"/>
      <c r="I540" s="301"/>
      <c r="J540" s="301"/>
      <c r="K540" s="301"/>
      <c r="L540" s="301"/>
      <c r="M540" s="301"/>
      <c r="N540" s="301"/>
    </row>
    <row r="541" spans="1:14" ht="14" x14ac:dyDescent="0.25">
      <c r="A541" s="299"/>
      <c r="B541" s="18"/>
      <c r="C541" s="398"/>
      <c r="D541" s="301"/>
      <c r="E541" s="399"/>
      <c r="F541" s="399"/>
      <c r="G541" s="399"/>
      <c r="H541" s="301"/>
      <c r="I541" s="301"/>
      <c r="J541" s="301"/>
      <c r="K541" s="301"/>
      <c r="L541" s="301"/>
      <c r="M541" s="301"/>
      <c r="N541" s="301"/>
    </row>
    <row r="542" spans="1:14" ht="14" x14ac:dyDescent="0.25">
      <c r="A542" s="299"/>
      <c r="B542" s="18"/>
      <c r="C542" s="398"/>
      <c r="D542" s="301"/>
      <c r="E542" s="399"/>
      <c r="F542" s="399"/>
      <c r="G542" s="399"/>
      <c r="H542" s="301"/>
      <c r="I542" s="301"/>
      <c r="J542" s="301"/>
      <c r="K542" s="301"/>
      <c r="L542" s="301"/>
      <c r="M542" s="301"/>
      <c r="N542" s="301"/>
    </row>
    <row r="543" spans="1:14" ht="14" x14ac:dyDescent="0.25">
      <c r="A543" s="299"/>
      <c r="B543" s="18"/>
      <c r="C543" s="398"/>
      <c r="D543" s="301"/>
      <c r="E543" s="399"/>
      <c r="F543" s="399"/>
      <c r="G543" s="399"/>
      <c r="H543" s="301"/>
      <c r="I543" s="301"/>
      <c r="J543" s="301"/>
      <c r="K543" s="301"/>
      <c r="L543" s="301"/>
      <c r="M543" s="301"/>
      <c r="N543" s="301"/>
    </row>
    <row r="544" spans="1:14" ht="14" x14ac:dyDescent="0.25">
      <c r="A544" s="299"/>
      <c r="B544" s="18"/>
      <c r="C544" s="398"/>
      <c r="D544" s="301"/>
      <c r="E544" s="399"/>
      <c r="F544" s="399"/>
      <c r="G544" s="399"/>
      <c r="H544" s="301"/>
      <c r="I544" s="301"/>
      <c r="J544" s="301"/>
      <c r="K544" s="301"/>
      <c r="L544" s="301"/>
      <c r="M544" s="301"/>
      <c r="N544" s="301"/>
    </row>
    <row r="545" spans="1:14" ht="14" x14ac:dyDescent="0.25">
      <c r="A545" s="299"/>
      <c r="B545" s="18"/>
      <c r="C545" s="398"/>
      <c r="D545" s="301"/>
      <c r="E545" s="399"/>
      <c r="F545" s="399"/>
      <c r="G545" s="399"/>
      <c r="H545" s="301"/>
      <c r="I545" s="301"/>
      <c r="J545" s="301"/>
      <c r="K545" s="301"/>
      <c r="L545" s="301"/>
      <c r="M545" s="301"/>
      <c r="N545" s="301"/>
    </row>
    <row r="546" spans="1:14" ht="14" x14ac:dyDescent="0.25">
      <c r="A546" s="299"/>
      <c r="B546" s="18"/>
      <c r="C546" s="398"/>
      <c r="D546" s="301"/>
      <c r="E546" s="399"/>
      <c r="F546" s="399"/>
      <c r="G546" s="399"/>
      <c r="H546" s="301"/>
      <c r="I546" s="301"/>
      <c r="J546" s="301"/>
      <c r="K546" s="301"/>
      <c r="L546" s="301"/>
      <c r="M546" s="301"/>
      <c r="N546" s="301"/>
    </row>
    <row r="547" spans="1:14" ht="14" x14ac:dyDescent="0.25">
      <c r="A547" s="299"/>
      <c r="B547" s="18"/>
      <c r="C547" s="398"/>
      <c r="D547" s="301"/>
      <c r="E547" s="399"/>
      <c r="F547" s="399"/>
      <c r="G547" s="399"/>
      <c r="H547" s="301"/>
      <c r="I547" s="301"/>
      <c r="J547" s="301"/>
      <c r="K547" s="301"/>
      <c r="L547" s="301"/>
      <c r="M547" s="301"/>
      <c r="N547" s="301"/>
    </row>
    <row r="548" spans="1:14" ht="14" x14ac:dyDescent="0.25">
      <c r="A548" s="299"/>
      <c r="B548" s="18"/>
      <c r="C548" s="398"/>
      <c r="D548" s="301"/>
      <c r="E548" s="399"/>
      <c r="F548" s="399"/>
      <c r="G548" s="399"/>
      <c r="H548" s="301"/>
      <c r="I548" s="301"/>
      <c r="J548" s="301"/>
      <c r="K548" s="301"/>
      <c r="L548" s="301"/>
      <c r="M548" s="301"/>
      <c r="N548" s="301"/>
    </row>
    <row r="549" spans="1:14" ht="14" x14ac:dyDescent="0.25">
      <c r="A549" s="299"/>
      <c r="B549" s="18"/>
      <c r="C549" s="398"/>
      <c r="D549" s="301"/>
      <c r="E549" s="399"/>
      <c r="F549" s="399"/>
      <c r="G549" s="399"/>
      <c r="H549" s="301"/>
      <c r="I549" s="301"/>
      <c r="J549" s="301"/>
      <c r="K549" s="301"/>
      <c r="L549" s="301"/>
      <c r="M549" s="301"/>
      <c r="N549" s="301"/>
    </row>
    <row r="550" spans="1:14" ht="14" x14ac:dyDescent="0.25">
      <c r="A550" s="299"/>
      <c r="B550" s="18"/>
      <c r="C550" s="398"/>
      <c r="D550" s="301"/>
      <c r="E550" s="399"/>
      <c r="F550" s="399"/>
      <c r="G550" s="399"/>
      <c r="H550" s="301"/>
      <c r="I550" s="301"/>
      <c r="J550" s="301"/>
      <c r="K550" s="301"/>
      <c r="L550" s="301"/>
      <c r="M550" s="301"/>
      <c r="N550" s="301"/>
    </row>
    <row r="551" spans="1:14" ht="14" x14ac:dyDescent="0.25">
      <c r="A551" s="299"/>
      <c r="B551" s="18"/>
      <c r="C551" s="398"/>
      <c r="D551" s="301"/>
      <c r="E551" s="399"/>
      <c r="F551" s="399"/>
      <c r="G551" s="399"/>
      <c r="H551" s="301"/>
      <c r="I551" s="301"/>
      <c r="J551" s="301"/>
      <c r="K551" s="301"/>
      <c r="L551" s="301"/>
      <c r="M551" s="301"/>
      <c r="N551" s="301"/>
    </row>
    <row r="552" spans="1:14" ht="14" x14ac:dyDescent="0.25">
      <c r="A552" s="299"/>
      <c r="B552" s="18"/>
      <c r="C552" s="398"/>
      <c r="D552" s="301"/>
      <c r="E552" s="399"/>
      <c r="F552" s="399"/>
      <c r="G552" s="399"/>
      <c r="H552" s="301"/>
      <c r="I552" s="301"/>
      <c r="J552" s="301"/>
      <c r="K552" s="301"/>
      <c r="L552" s="301"/>
      <c r="M552" s="301"/>
      <c r="N552" s="301"/>
    </row>
    <row r="553" spans="1:14" ht="14" x14ac:dyDescent="0.25">
      <c r="A553" s="299"/>
      <c r="B553" s="18"/>
      <c r="C553" s="398"/>
      <c r="D553" s="301"/>
      <c r="E553" s="399"/>
      <c r="F553" s="399"/>
      <c r="G553" s="399"/>
      <c r="H553" s="301"/>
      <c r="I553" s="301"/>
      <c r="J553" s="301"/>
      <c r="K553" s="301"/>
      <c r="L553" s="301"/>
      <c r="M553" s="301"/>
      <c r="N553" s="301"/>
    </row>
    <row r="554" spans="1:14" ht="14" x14ac:dyDescent="0.25">
      <c r="A554" s="299"/>
      <c r="B554" s="18"/>
      <c r="C554" s="398"/>
      <c r="D554" s="301"/>
      <c r="E554" s="399"/>
      <c r="F554" s="399"/>
      <c r="G554" s="399"/>
      <c r="H554" s="301"/>
      <c r="I554" s="301"/>
      <c r="J554" s="301"/>
      <c r="K554" s="301"/>
      <c r="L554" s="301"/>
      <c r="M554" s="301"/>
      <c r="N554" s="301"/>
    </row>
    <row r="555" spans="1:14" ht="14" x14ac:dyDescent="0.25">
      <c r="A555" s="299"/>
      <c r="B555" s="18"/>
      <c r="C555" s="398"/>
      <c r="D555" s="301"/>
      <c r="E555" s="399"/>
      <c r="F555" s="399"/>
      <c r="G555" s="399"/>
      <c r="H555" s="301"/>
      <c r="I555" s="301"/>
      <c r="J555" s="301"/>
      <c r="K555" s="301"/>
      <c r="L555" s="301"/>
      <c r="M555" s="301"/>
      <c r="N555" s="301"/>
    </row>
    <row r="556" spans="1:14" ht="14" x14ac:dyDescent="0.25">
      <c r="A556" s="299"/>
      <c r="B556" s="18"/>
      <c r="C556" s="398"/>
      <c r="D556" s="301"/>
      <c r="E556" s="399"/>
      <c r="F556" s="399"/>
      <c r="G556" s="399"/>
      <c r="H556" s="301"/>
      <c r="I556" s="301"/>
      <c r="J556" s="301"/>
      <c r="K556" s="301"/>
      <c r="L556" s="301"/>
      <c r="M556" s="301"/>
      <c r="N556" s="301"/>
    </row>
    <row r="557" spans="1:14" ht="14" x14ac:dyDescent="0.25">
      <c r="A557" s="299"/>
      <c r="B557" s="18"/>
      <c r="C557" s="398"/>
      <c r="D557" s="301"/>
      <c r="E557" s="399"/>
      <c r="F557" s="399"/>
      <c r="G557" s="399"/>
      <c r="H557" s="301"/>
      <c r="I557" s="301"/>
      <c r="J557" s="301"/>
      <c r="K557" s="301"/>
      <c r="L557" s="301"/>
      <c r="M557" s="301"/>
      <c r="N557" s="301"/>
    </row>
    <row r="558" spans="1:14" ht="14" x14ac:dyDescent="0.25">
      <c r="A558" s="299"/>
      <c r="B558" s="18"/>
      <c r="C558" s="398"/>
      <c r="D558" s="301"/>
      <c r="E558" s="399"/>
      <c r="F558" s="399"/>
      <c r="G558" s="399"/>
      <c r="H558" s="301"/>
      <c r="I558" s="301"/>
      <c r="J558" s="301"/>
      <c r="K558" s="301"/>
      <c r="L558" s="301"/>
      <c r="M558" s="301"/>
      <c r="N558" s="301"/>
    </row>
    <row r="559" spans="1:14" ht="14" x14ac:dyDescent="0.25">
      <c r="A559" s="299"/>
      <c r="B559" s="18"/>
      <c r="C559" s="398"/>
      <c r="D559" s="301"/>
      <c r="E559" s="399"/>
      <c r="F559" s="399"/>
      <c r="G559" s="399"/>
      <c r="H559" s="301"/>
      <c r="I559" s="301"/>
      <c r="J559" s="301"/>
      <c r="K559" s="301"/>
      <c r="L559" s="301"/>
      <c r="M559" s="301"/>
      <c r="N559" s="301"/>
    </row>
    <row r="560" spans="1:14" ht="14" x14ac:dyDescent="0.25">
      <c r="A560" s="299"/>
      <c r="B560" s="18"/>
      <c r="C560" s="398"/>
      <c r="D560" s="301"/>
      <c r="E560" s="399"/>
      <c r="F560" s="399"/>
      <c r="G560" s="399"/>
      <c r="H560" s="301"/>
      <c r="I560" s="301"/>
      <c r="J560" s="301"/>
      <c r="K560" s="301"/>
      <c r="L560" s="301"/>
      <c r="M560" s="301"/>
      <c r="N560" s="301"/>
    </row>
    <row r="561" spans="1:14" ht="14" x14ac:dyDescent="0.25">
      <c r="A561" s="299"/>
      <c r="B561" s="18"/>
      <c r="C561" s="398"/>
      <c r="D561" s="301"/>
      <c r="E561" s="399"/>
      <c r="F561" s="399"/>
      <c r="G561" s="399"/>
      <c r="H561" s="301"/>
      <c r="I561" s="301"/>
      <c r="J561" s="301"/>
      <c r="K561" s="301"/>
      <c r="L561" s="301"/>
      <c r="M561" s="301"/>
      <c r="N561" s="301"/>
    </row>
    <row r="562" spans="1:14" ht="14" x14ac:dyDescent="0.25">
      <c r="A562" s="299"/>
      <c r="B562" s="18"/>
      <c r="C562" s="398"/>
      <c r="D562" s="301"/>
      <c r="E562" s="399"/>
      <c r="F562" s="399"/>
      <c r="G562" s="399"/>
      <c r="H562" s="301"/>
      <c r="I562" s="301"/>
      <c r="J562" s="301"/>
      <c r="K562" s="301"/>
      <c r="L562" s="301"/>
      <c r="M562" s="301"/>
      <c r="N562" s="301"/>
    </row>
    <row r="563" spans="1:14" ht="14" x14ac:dyDescent="0.25">
      <c r="A563" s="299"/>
      <c r="B563" s="18"/>
      <c r="C563" s="398"/>
      <c r="D563" s="301"/>
      <c r="E563" s="399"/>
      <c r="F563" s="399"/>
      <c r="G563" s="399"/>
      <c r="H563" s="301"/>
      <c r="I563" s="301"/>
      <c r="J563" s="301"/>
      <c r="K563" s="301"/>
      <c r="L563" s="301"/>
      <c r="M563" s="301"/>
      <c r="N563" s="301"/>
    </row>
    <row r="564" spans="1:14" ht="14" x14ac:dyDescent="0.25">
      <c r="A564" s="299"/>
      <c r="B564" s="18"/>
      <c r="C564" s="398"/>
      <c r="D564" s="301"/>
      <c r="E564" s="399"/>
      <c r="F564" s="399"/>
      <c r="G564" s="399"/>
      <c r="H564" s="301"/>
      <c r="I564" s="301"/>
      <c r="J564" s="301"/>
      <c r="K564" s="301"/>
      <c r="L564" s="301"/>
      <c r="M564" s="301"/>
      <c r="N564" s="301"/>
    </row>
    <row r="565" spans="1:14" ht="14" x14ac:dyDescent="0.25">
      <c r="A565" s="299"/>
      <c r="B565" s="18"/>
      <c r="C565" s="398"/>
      <c r="D565" s="301"/>
      <c r="E565" s="399"/>
      <c r="F565" s="399"/>
      <c r="G565" s="399"/>
      <c r="H565" s="301"/>
      <c r="I565" s="301"/>
      <c r="J565" s="301"/>
      <c r="K565" s="301"/>
      <c r="L565" s="301"/>
      <c r="M565" s="301"/>
      <c r="N565" s="301"/>
    </row>
    <row r="566" spans="1:14" ht="14" x14ac:dyDescent="0.25">
      <c r="A566" s="299"/>
      <c r="B566" s="18"/>
      <c r="C566" s="398"/>
      <c r="D566" s="301"/>
      <c r="E566" s="399"/>
      <c r="F566" s="399"/>
      <c r="G566" s="399"/>
      <c r="H566" s="301"/>
      <c r="I566" s="301"/>
      <c r="J566" s="301"/>
      <c r="K566" s="301"/>
      <c r="L566" s="301"/>
      <c r="M566" s="301"/>
      <c r="N566" s="301"/>
    </row>
    <row r="567" spans="1:14" ht="14" x14ac:dyDescent="0.25">
      <c r="A567" s="299"/>
      <c r="B567" s="18"/>
      <c r="C567" s="398"/>
      <c r="D567" s="301"/>
      <c r="E567" s="399"/>
      <c r="F567" s="399"/>
      <c r="G567" s="399"/>
      <c r="H567" s="301"/>
      <c r="I567" s="301"/>
      <c r="J567" s="301"/>
      <c r="K567" s="301"/>
      <c r="L567" s="301"/>
      <c r="M567" s="301"/>
      <c r="N567" s="301"/>
    </row>
    <row r="568" spans="1:14" ht="14" x14ac:dyDescent="0.25">
      <c r="A568" s="299"/>
      <c r="B568" s="18"/>
      <c r="C568" s="398"/>
      <c r="D568" s="301"/>
      <c r="E568" s="399"/>
      <c r="F568" s="399"/>
      <c r="G568" s="399"/>
      <c r="H568" s="301"/>
      <c r="I568" s="301"/>
      <c r="J568" s="301"/>
      <c r="K568" s="301"/>
      <c r="L568" s="301"/>
      <c r="M568" s="301"/>
      <c r="N568" s="301"/>
    </row>
    <row r="569" spans="1:14" ht="14" x14ac:dyDescent="0.25">
      <c r="A569" s="299"/>
      <c r="B569" s="18"/>
      <c r="C569" s="398"/>
      <c r="D569" s="301"/>
      <c r="E569" s="399"/>
      <c r="F569" s="399"/>
      <c r="G569" s="399"/>
      <c r="H569" s="301"/>
      <c r="I569" s="301"/>
      <c r="J569" s="301"/>
      <c r="K569" s="301"/>
      <c r="L569" s="301"/>
      <c r="M569" s="301"/>
      <c r="N569" s="301"/>
    </row>
    <row r="570" spans="1:14" ht="14" x14ac:dyDescent="0.25">
      <c r="A570" s="299"/>
      <c r="B570" s="18"/>
      <c r="C570" s="398"/>
      <c r="D570" s="301"/>
      <c r="E570" s="399"/>
      <c r="F570" s="399"/>
      <c r="G570" s="399"/>
      <c r="H570" s="301"/>
      <c r="I570" s="301"/>
      <c r="J570" s="301"/>
      <c r="K570" s="301"/>
      <c r="L570" s="301"/>
      <c r="M570" s="301"/>
      <c r="N570" s="301"/>
    </row>
    <row r="571" spans="1:14" ht="14" x14ac:dyDescent="0.25">
      <c r="A571" s="299"/>
      <c r="B571" s="18"/>
      <c r="C571" s="398"/>
      <c r="D571" s="301"/>
      <c r="E571" s="399"/>
      <c r="F571" s="399"/>
      <c r="G571" s="399"/>
      <c r="H571" s="301"/>
      <c r="I571" s="301"/>
      <c r="J571" s="301"/>
      <c r="K571" s="301"/>
      <c r="L571" s="301"/>
      <c r="M571" s="301"/>
      <c r="N571" s="301"/>
    </row>
    <row r="572" spans="1:14" ht="14" x14ac:dyDescent="0.25">
      <c r="A572" s="299"/>
      <c r="B572" s="18"/>
      <c r="C572" s="398"/>
      <c r="D572" s="301"/>
      <c r="E572" s="399"/>
      <c r="F572" s="399"/>
      <c r="G572" s="399"/>
      <c r="H572" s="301"/>
      <c r="I572" s="301"/>
      <c r="J572" s="301"/>
      <c r="K572" s="301"/>
      <c r="L572" s="301"/>
      <c r="M572" s="301"/>
      <c r="N572" s="301"/>
    </row>
    <row r="573" spans="1:14" ht="14" x14ac:dyDescent="0.25">
      <c r="A573" s="299"/>
      <c r="B573" s="18"/>
      <c r="C573" s="398"/>
      <c r="D573" s="301"/>
      <c r="E573" s="399"/>
      <c r="F573" s="399"/>
      <c r="G573" s="399"/>
      <c r="H573" s="301"/>
      <c r="I573" s="301"/>
      <c r="J573" s="301"/>
      <c r="K573" s="301"/>
      <c r="L573" s="301"/>
      <c r="M573" s="301"/>
      <c r="N573" s="301"/>
    </row>
    <row r="574" spans="1:14" ht="14" x14ac:dyDescent="0.25">
      <c r="A574" s="299"/>
      <c r="B574" s="18"/>
      <c r="C574" s="398"/>
      <c r="D574" s="301"/>
      <c r="E574" s="399"/>
      <c r="F574" s="399"/>
      <c r="G574" s="399"/>
      <c r="H574" s="301"/>
      <c r="I574" s="301"/>
      <c r="J574" s="301"/>
      <c r="K574" s="301"/>
      <c r="L574" s="301"/>
      <c r="M574" s="301"/>
      <c r="N574" s="301"/>
    </row>
    <row r="575" spans="1:14" ht="14" x14ac:dyDescent="0.25">
      <c r="A575" s="299"/>
      <c r="B575" s="18"/>
      <c r="C575" s="398"/>
      <c r="D575" s="301"/>
      <c r="E575" s="399"/>
      <c r="F575" s="399"/>
      <c r="G575" s="399"/>
      <c r="H575" s="301"/>
      <c r="I575" s="301"/>
      <c r="J575" s="301"/>
      <c r="K575" s="301"/>
      <c r="L575" s="301"/>
      <c r="M575" s="301"/>
      <c r="N575" s="301"/>
    </row>
    <row r="576" spans="1:14" ht="14" x14ac:dyDescent="0.25">
      <c r="A576" s="299"/>
      <c r="B576" s="18"/>
      <c r="C576" s="398"/>
      <c r="D576" s="301"/>
      <c r="E576" s="399"/>
      <c r="F576" s="399"/>
      <c r="G576" s="399"/>
      <c r="H576" s="301"/>
      <c r="I576" s="301"/>
      <c r="J576" s="301"/>
      <c r="K576" s="301"/>
      <c r="L576" s="301"/>
      <c r="M576" s="301"/>
      <c r="N576" s="301"/>
    </row>
    <row r="577" spans="1:14" ht="14" x14ac:dyDescent="0.25">
      <c r="A577" s="299"/>
      <c r="B577" s="18"/>
      <c r="C577" s="398"/>
      <c r="D577" s="301"/>
      <c r="E577" s="399"/>
      <c r="F577" s="399"/>
      <c r="G577" s="399"/>
      <c r="H577" s="301"/>
      <c r="I577" s="301"/>
      <c r="J577" s="301"/>
      <c r="K577" s="301"/>
      <c r="L577" s="301"/>
      <c r="M577" s="301"/>
      <c r="N577" s="301"/>
    </row>
    <row r="578" spans="1:14" ht="14" x14ac:dyDescent="0.25">
      <c r="A578" s="299"/>
      <c r="B578" s="18"/>
      <c r="C578" s="398"/>
      <c r="D578" s="301"/>
      <c r="E578" s="399"/>
      <c r="F578" s="399"/>
      <c r="G578" s="399"/>
      <c r="H578" s="301"/>
      <c r="I578" s="301"/>
      <c r="J578" s="301"/>
      <c r="K578" s="301"/>
      <c r="L578" s="301"/>
      <c r="M578" s="301"/>
      <c r="N578" s="301"/>
    </row>
    <row r="579" spans="1:14" ht="14" x14ac:dyDescent="0.25">
      <c r="A579" s="299"/>
      <c r="B579" s="18"/>
      <c r="C579" s="398"/>
      <c r="D579" s="301"/>
      <c r="E579" s="399"/>
      <c r="F579" s="399"/>
      <c r="G579" s="399"/>
      <c r="H579" s="301"/>
      <c r="I579" s="301"/>
      <c r="J579" s="301"/>
      <c r="K579" s="301"/>
      <c r="L579" s="301"/>
      <c r="M579" s="301"/>
      <c r="N579" s="301"/>
    </row>
    <row r="580" spans="1:14" ht="14" x14ac:dyDescent="0.25">
      <c r="A580" s="299"/>
      <c r="B580" s="18"/>
      <c r="C580" s="398"/>
      <c r="D580" s="301"/>
      <c r="E580" s="399"/>
      <c r="F580" s="399"/>
      <c r="G580" s="399"/>
      <c r="H580" s="301"/>
      <c r="I580" s="301"/>
      <c r="J580" s="301"/>
      <c r="K580" s="301"/>
      <c r="L580" s="301"/>
      <c r="M580" s="301"/>
      <c r="N580" s="301"/>
    </row>
    <row r="581" spans="1:14" ht="14" x14ac:dyDescent="0.25">
      <c r="A581" s="299"/>
      <c r="B581" s="18"/>
      <c r="C581" s="398"/>
      <c r="D581" s="301"/>
      <c r="E581" s="399"/>
      <c r="F581" s="399"/>
      <c r="G581" s="399"/>
      <c r="H581" s="301"/>
      <c r="I581" s="301"/>
      <c r="J581" s="301"/>
      <c r="K581" s="301"/>
      <c r="L581" s="301"/>
      <c r="M581" s="301"/>
      <c r="N581" s="301"/>
    </row>
    <row r="582" spans="1:14" ht="14" x14ac:dyDescent="0.25">
      <c r="A582" s="299"/>
      <c r="B582" s="18"/>
      <c r="C582" s="398"/>
      <c r="D582" s="301"/>
      <c r="E582" s="399"/>
      <c r="F582" s="399"/>
      <c r="G582" s="399"/>
      <c r="H582" s="301"/>
      <c r="I582" s="301"/>
      <c r="J582" s="301"/>
      <c r="K582" s="301"/>
      <c r="L582" s="301"/>
      <c r="M582" s="301"/>
      <c r="N582" s="301"/>
    </row>
    <row r="583" spans="1:14" ht="14" x14ac:dyDescent="0.25">
      <c r="A583" s="299"/>
      <c r="B583" s="18"/>
      <c r="C583" s="398"/>
      <c r="D583" s="301"/>
      <c r="E583" s="399"/>
      <c r="F583" s="399"/>
      <c r="G583" s="399"/>
      <c r="H583" s="301"/>
      <c r="I583" s="301"/>
      <c r="J583" s="301"/>
      <c r="K583" s="301"/>
      <c r="L583" s="301"/>
      <c r="M583" s="301"/>
      <c r="N583" s="301"/>
    </row>
    <row r="584" spans="1:14" ht="14" x14ac:dyDescent="0.25">
      <c r="A584" s="299"/>
      <c r="B584" s="18"/>
      <c r="C584" s="398"/>
      <c r="D584" s="301"/>
      <c r="E584" s="399"/>
      <c r="F584" s="399"/>
      <c r="G584" s="399"/>
      <c r="H584" s="301"/>
      <c r="I584" s="301"/>
      <c r="J584" s="301"/>
      <c r="K584" s="301"/>
      <c r="L584" s="301"/>
      <c r="M584" s="301"/>
      <c r="N584" s="301"/>
    </row>
    <row r="585" spans="1:14" ht="14" x14ac:dyDescent="0.25">
      <c r="A585" s="299"/>
      <c r="B585" s="18"/>
      <c r="C585" s="398"/>
      <c r="D585" s="301"/>
      <c r="E585" s="399"/>
      <c r="F585" s="399"/>
      <c r="G585" s="399"/>
      <c r="H585" s="301"/>
      <c r="I585" s="301"/>
      <c r="J585" s="301"/>
      <c r="K585" s="301"/>
      <c r="L585" s="301"/>
      <c r="M585" s="301"/>
      <c r="N585" s="301"/>
    </row>
    <row r="586" spans="1:14" ht="14" x14ac:dyDescent="0.25">
      <c r="A586" s="299"/>
      <c r="B586" s="18"/>
      <c r="C586" s="398"/>
      <c r="D586" s="301"/>
      <c r="E586" s="399"/>
      <c r="F586" s="399"/>
      <c r="G586" s="399"/>
      <c r="H586" s="301"/>
      <c r="I586" s="301"/>
      <c r="J586" s="301"/>
      <c r="K586" s="301"/>
      <c r="L586" s="301"/>
      <c r="M586" s="301"/>
      <c r="N586" s="301"/>
    </row>
    <row r="587" spans="1:14" ht="14" x14ac:dyDescent="0.25">
      <c r="A587" s="299"/>
      <c r="B587" s="18"/>
      <c r="C587" s="398"/>
      <c r="D587" s="301"/>
      <c r="E587" s="399"/>
      <c r="F587" s="399"/>
      <c r="G587" s="399"/>
      <c r="H587" s="301"/>
      <c r="I587" s="301"/>
      <c r="J587" s="301"/>
      <c r="K587" s="301"/>
      <c r="L587" s="301"/>
      <c r="M587" s="301"/>
      <c r="N587" s="301"/>
    </row>
    <row r="588" spans="1:14" ht="14" x14ac:dyDescent="0.25">
      <c r="A588" s="299"/>
      <c r="B588" s="18"/>
      <c r="C588" s="398"/>
      <c r="D588" s="301"/>
      <c r="E588" s="399"/>
      <c r="F588" s="399"/>
      <c r="G588" s="399"/>
      <c r="H588" s="301"/>
      <c r="I588" s="301"/>
      <c r="J588" s="301"/>
      <c r="K588" s="301"/>
      <c r="L588" s="301"/>
      <c r="M588" s="301"/>
      <c r="N588" s="301"/>
    </row>
    <row r="589" spans="1:14" ht="14" x14ac:dyDescent="0.25">
      <c r="A589" s="299"/>
      <c r="B589" s="18"/>
      <c r="C589" s="398"/>
      <c r="D589" s="301"/>
      <c r="E589" s="399"/>
      <c r="F589" s="399"/>
      <c r="G589" s="399"/>
      <c r="H589" s="301"/>
      <c r="I589" s="301"/>
      <c r="J589" s="301"/>
      <c r="K589" s="301"/>
      <c r="L589" s="301"/>
      <c r="M589" s="301"/>
      <c r="N589" s="301"/>
    </row>
    <row r="590" spans="1:14" ht="14" x14ac:dyDescent="0.25">
      <c r="A590" s="299"/>
      <c r="B590" s="18"/>
      <c r="C590" s="398"/>
      <c r="D590" s="301"/>
      <c r="E590" s="399"/>
      <c r="F590" s="399"/>
      <c r="G590" s="399"/>
      <c r="H590" s="301"/>
      <c r="I590" s="301"/>
      <c r="J590" s="301"/>
      <c r="K590" s="301"/>
      <c r="L590" s="301"/>
      <c r="M590" s="301"/>
      <c r="N590" s="301"/>
    </row>
    <row r="591" spans="1:14" ht="14" x14ac:dyDescent="0.25">
      <c r="A591" s="299"/>
      <c r="B591" s="18"/>
      <c r="C591" s="398"/>
      <c r="D591" s="301"/>
      <c r="E591" s="399"/>
      <c r="F591" s="399"/>
      <c r="G591" s="399"/>
      <c r="H591" s="301"/>
      <c r="I591" s="301"/>
      <c r="J591" s="301"/>
      <c r="K591" s="301"/>
      <c r="L591" s="301"/>
      <c r="M591" s="301"/>
      <c r="N591" s="301"/>
    </row>
    <row r="592" spans="1:14" ht="14" x14ac:dyDescent="0.25">
      <c r="A592" s="299"/>
      <c r="B592" s="18"/>
      <c r="C592" s="398"/>
      <c r="D592" s="301"/>
      <c r="E592" s="399"/>
      <c r="F592" s="399"/>
      <c r="G592" s="399"/>
      <c r="H592" s="301"/>
      <c r="I592" s="301"/>
      <c r="J592" s="301"/>
      <c r="K592" s="301"/>
      <c r="L592" s="301"/>
      <c r="M592" s="301"/>
      <c r="N592" s="301"/>
    </row>
    <row r="593" spans="1:14" ht="14" x14ac:dyDescent="0.25">
      <c r="A593" s="299"/>
      <c r="B593" s="18"/>
      <c r="C593" s="398"/>
      <c r="D593" s="301"/>
      <c r="E593" s="399"/>
      <c r="F593" s="399"/>
      <c r="G593" s="399"/>
      <c r="H593" s="301"/>
      <c r="I593" s="301"/>
      <c r="J593" s="301"/>
      <c r="K593" s="301"/>
      <c r="L593" s="301"/>
      <c r="M593" s="301"/>
      <c r="N593" s="301"/>
    </row>
    <row r="594" spans="1:14" ht="14" x14ac:dyDescent="0.25">
      <c r="A594" s="299"/>
      <c r="B594" s="18"/>
      <c r="C594" s="398"/>
      <c r="D594" s="301"/>
      <c r="E594" s="399"/>
      <c r="F594" s="399"/>
      <c r="G594" s="399"/>
      <c r="H594" s="301"/>
      <c r="I594" s="301"/>
      <c r="J594" s="301"/>
      <c r="K594" s="301"/>
      <c r="L594" s="301"/>
      <c r="M594" s="301"/>
      <c r="N594" s="301"/>
    </row>
    <row r="595" spans="1:14" ht="14" x14ac:dyDescent="0.25">
      <c r="A595" s="299"/>
      <c r="B595" s="18"/>
      <c r="C595" s="398"/>
      <c r="D595" s="301"/>
      <c r="E595" s="399"/>
      <c r="F595" s="399"/>
      <c r="G595" s="399"/>
      <c r="H595" s="301"/>
      <c r="I595" s="301"/>
      <c r="J595" s="301"/>
      <c r="K595" s="301"/>
      <c r="L595" s="301"/>
      <c r="M595" s="301"/>
      <c r="N595" s="301"/>
    </row>
    <row r="596" spans="1:14" ht="14" x14ac:dyDescent="0.25">
      <c r="A596" s="299"/>
      <c r="B596" s="18"/>
      <c r="C596" s="398"/>
      <c r="D596" s="301"/>
      <c r="E596" s="399"/>
      <c r="F596" s="399"/>
      <c r="G596" s="399"/>
      <c r="H596" s="301"/>
      <c r="I596" s="301"/>
      <c r="J596" s="301"/>
      <c r="K596" s="301"/>
      <c r="L596" s="301"/>
      <c r="M596" s="301"/>
      <c r="N596" s="301"/>
    </row>
    <row r="597" spans="1:14" ht="14" x14ac:dyDescent="0.25">
      <c r="A597" s="299"/>
      <c r="B597" s="18"/>
      <c r="C597" s="398"/>
      <c r="D597" s="301"/>
      <c r="E597" s="399"/>
      <c r="F597" s="399"/>
      <c r="G597" s="399"/>
      <c r="H597" s="301"/>
      <c r="I597" s="301"/>
      <c r="J597" s="301"/>
      <c r="K597" s="301"/>
      <c r="L597" s="301"/>
      <c r="M597" s="301"/>
      <c r="N597" s="301"/>
    </row>
    <row r="598" spans="1:14" ht="14" x14ac:dyDescent="0.25">
      <c r="A598" s="299"/>
      <c r="B598" s="18"/>
      <c r="C598" s="398"/>
      <c r="D598" s="301"/>
      <c r="E598" s="399"/>
      <c r="F598" s="399"/>
      <c r="G598" s="399"/>
      <c r="H598" s="301"/>
      <c r="I598" s="301"/>
      <c r="J598" s="301"/>
      <c r="K598" s="301"/>
      <c r="L598" s="301"/>
      <c r="M598" s="301"/>
      <c r="N598" s="301"/>
    </row>
    <row r="599" spans="1:14" ht="14" x14ac:dyDescent="0.25">
      <c r="A599" s="299"/>
      <c r="B599" s="18"/>
      <c r="C599" s="398"/>
      <c r="D599" s="301"/>
      <c r="E599" s="399"/>
      <c r="F599" s="399"/>
      <c r="G599" s="399"/>
      <c r="H599" s="301"/>
      <c r="I599" s="301"/>
      <c r="J599" s="301"/>
      <c r="K599" s="301"/>
      <c r="L599" s="301"/>
      <c r="M599" s="301"/>
      <c r="N599" s="301"/>
    </row>
    <row r="600" spans="1:14" ht="14" x14ac:dyDescent="0.25">
      <c r="A600" s="299"/>
      <c r="B600" s="18"/>
      <c r="C600" s="398"/>
      <c r="D600" s="301"/>
      <c r="E600" s="399"/>
      <c r="F600" s="399"/>
      <c r="G600" s="399"/>
      <c r="H600" s="301"/>
      <c r="I600" s="301"/>
      <c r="J600" s="301"/>
      <c r="K600" s="301"/>
      <c r="L600" s="301"/>
      <c r="M600" s="301"/>
      <c r="N600" s="301"/>
    </row>
    <row r="601" spans="1:14" ht="14" x14ac:dyDescent="0.25">
      <c r="A601" s="299"/>
      <c r="B601" s="18"/>
      <c r="C601" s="398"/>
      <c r="D601" s="301"/>
      <c r="E601" s="399"/>
      <c r="F601" s="399"/>
      <c r="G601" s="399"/>
      <c r="H601" s="301"/>
      <c r="I601" s="301"/>
      <c r="J601" s="301"/>
      <c r="K601" s="301"/>
      <c r="L601" s="301"/>
      <c r="M601" s="301"/>
      <c r="N601" s="301"/>
    </row>
    <row r="602" spans="1:14" ht="14" x14ac:dyDescent="0.25">
      <c r="A602" s="299"/>
      <c r="B602" s="18"/>
      <c r="C602" s="398"/>
      <c r="D602" s="301"/>
      <c r="E602" s="399"/>
      <c r="F602" s="399"/>
      <c r="G602" s="399"/>
      <c r="H602" s="301"/>
      <c r="I602" s="301"/>
      <c r="J602" s="301"/>
      <c r="K602" s="301"/>
      <c r="L602" s="301"/>
      <c r="M602" s="301"/>
      <c r="N602" s="301"/>
    </row>
    <row r="603" spans="1:14" ht="14" x14ac:dyDescent="0.25">
      <c r="A603" s="299"/>
      <c r="B603" s="18"/>
      <c r="C603" s="398"/>
      <c r="D603" s="301"/>
      <c r="E603" s="399"/>
      <c r="F603" s="399"/>
      <c r="G603" s="399"/>
      <c r="H603" s="301"/>
      <c r="I603" s="301"/>
      <c r="J603" s="301"/>
      <c r="K603" s="301"/>
      <c r="L603" s="301"/>
      <c r="M603" s="301"/>
      <c r="N603" s="301"/>
    </row>
    <row r="604" spans="1:14" ht="14" x14ac:dyDescent="0.25">
      <c r="A604" s="299"/>
      <c r="B604" s="18"/>
      <c r="C604" s="398"/>
      <c r="D604" s="301"/>
      <c r="E604" s="399"/>
      <c r="F604" s="399"/>
      <c r="G604" s="399"/>
      <c r="H604" s="301"/>
      <c r="I604" s="301"/>
      <c r="J604" s="301"/>
      <c r="K604" s="301"/>
      <c r="L604" s="301"/>
      <c r="M604" s="301"/>
      <c r="N604" s="301"/>
    </row>
    <row r="605" spans="1:14" ht="14" x14ac:dyDescent="0.25">
      <c r="A605" s="299"/>
      <c r="B605" s="18"/>
      <c r="C605" s="398"/>
      <c r="D605" s="301"/>
      <c r="E605" s="399"/>
      <c r="F605" s="399"/>
      <c r="G605" s="399"/>
      <c r="H605" s="301"/>
      <c r="I605" s="301"/>
      <c r="J605" s="301"/>
      <c r="K605" s="301"/>
      <c r="L605" s="301"/>
      <c r="M605" s="301"/>
      <c r="N605" s="301"/>
    </row>
    <row r="606" spans="1:14" ht="14" x14ac:dyDescent="0.25">
      <c r="A606" s="299"/>
      <c r="B606" s="18"/>
      <c r="C606" s="398"/>
      <c r="D606" s="301"/>
      <c r="E606" s="399"/>
      <c r="F606" s="399"/>
      <c r="G606" s="399"/>
      <c r="H606" s="301"/>
      <c r="I606" s="301"/>
      <c r="J606" s="301"/>
      <c r="K606" s="301"/>
      <c r="L606" s="301"/>
      <c r="M606" s="301"/>
      <c r="N606" s="301"/>
    </row>
    <row r="607" spans="1:14" ht="14" x14ac:dyDescent="0.25">
      <c r="A607" s="299"/>
      <c r="B607" s="18"/>
      <c r="C607" s="398"/>
      <c r="D607" s="301"/>
      <c r="E607" s="399"/>
      <c r="F607" s="399"/>
      <c r="G607" s="399"/>
      <c r="H607" s="301"/>
      <c r="I607" s="301"/>
      <c r="J607" s="301"/>
      <c r="K607" s="301"/>
      <c r="L607" s="301"/>
      <c r="M607" s="301"/>
      <c r="N607" s="301"/>
    </row>
    <row r="608" spans="1:14" ht="14" x14ac:dyDescent="0.25">
      <c r="A608" s="299"/>
      <c r="B608" s="18"/>
      <c r="C608" s="398"/>
      <c r="D608" s="301"/>
      <c r="E608" s="399"/>
      <c r="F608" s="399"/>
      <c r="G608" s="399"/>
      <c r="H608" s="301"/>
      <c r="I608" s="301"/>
      <c r="J608" s="301"/>
      <c r="K608" s="301"/>
      <c r="L608" s="301"/>
      <c r="M608" s="301"/>
      <c r="N608" s="301"/>
    </row>
    <row r="609" spans="1:14" ht="14" x14ac:dyDescent="0.25">
      <c r="A609" s="299"/>
      <c r="B609" s="18"/>
      <c r="C609" s="398"/>
      <c r="D609" s="301"/>
      <c r="E609" s="399"/>
      <c r="F609" s="399"/>
      <c r="G609" s="399"/>
      <c r="H609" s="301"/>
      <c r="I609" s="301"/>
      <c r="J609" s="301"/>
      <c r="K609" s="301"/>
      <c r="L609" s="301"/>
      <c r="M609" s="301"/>
      <c r="N609" s="301"/>
    </row>
    <row r="610" spans="1:14" ht="14" x14ac:dyDescent="0.25">
      <c r="A610" s="299"/>
      <c r="B610" s="18"/>
      <c r="C610" s="398"/>
      <c r="D610" s="301"/>
      <c r="E610" s="399"/>
      <c r="F610" s="399"/>
      <c r="G610" s="399"/>
      <c r="H610" s="301"/>
      <c r="I610" s="301"/>
      <c r="J610" s="301"/>
      <c r="K610" s="301"/>
      <c r="L610" s="301"/>
      <c r="M610" s="301"/>
      <c r="N610" s="301"/>
    </row>
    <row r="611" spans="1:14" ht="14" x14ac:dyDescent="0.25">
      <c r="A611" s="299"/>
      <c r="B611" s="18"/>
      <c r="C611" s="398"/>
      <c r="D611" s="301"/>
      <c r="E611" s="399"/>
      <c r="F611" s="399"/>
      <c r="G611" s="399"/>
      <c r="H611" s="301"/>
      <c r="I611" s="301"/>
      <c r="J611" s="301"/>
      <c r="K611" s="301"/>
      <c r="L611" s="301"/>
      <c r="M611" s="301"/>
      <c r="N611" s="301"/>
    </row>
    <row r="612" spans="1:14" ht="14" x14ac:dyDescent="0.25">
      <c r="A612" s="299"/>
      <c r="B612" s="18"/>
      <c r="C612" s="398"/>
      <c r="D612" s="301"/>
      <c r="E612" s="399"/>
      <c r="F612" s="399"/>
      <c r="G612" s="399"/>
      <c r="H612" s="301"/>
      <c r="I612" s="301"/>
      <c r="J612" s="301"/>
      <c r="K612" s="301"/>
      <c r="L612" s="301"/>
      <c r="M612" s="301"/>
      <c r="N612" s="301"/>
    </row>
    <row r="613" spans="1:14" ht="14" x14ac:dyDescent="0.25">
      <c r="A613" s="299"/>
      <c r="B613" s="18"/>
      <c r="C613" s="398"/>
      <c r="D613" s="301"/>
      <c r="E613" s="399"/>
      <c r="F613" s="399"/>
      <c r="G613" s="399"/>
      <c r="H613" s="301"/>
      <c r="I613" s="301"/>
      <c r="J613" s="301"/>
      <c r="K613" s="301"/>
      <c r="L613" s="301"/>
      <c r="M613" s="301"/>
      <c r="N613" s="301"/>
    </row>
    <row r="614" spans="1:14" ht="14" x14ac:dyDescent="0.25">
      <c r="A614" s="299"/>
      <c r="B614" s="18"/>
      <c r="C614" s="398"/>
      <c r="D614" s="301"/>
      <c r="E614" s="399"/>
      <c r="F614" s="399"/>
      <c r="G614" s="399"/>
      <c r="H614" s="301"/>
      <c r="I614" s="301"/>
      <c r="J614" s="301"/>
      <c r="K614" s="301"/>
      <c r="L614" s="301"/>
      <c r="M614" s="301"/>
      <c r="N614" s="301"/>
    </row>
    <row r="615" spans="1:14" ht="14" x14ac:dyDescent="0.25">
      <c r="A615" s="299"/>
      <c r="B615" s="18"/>
      <c r="C615" s="398"/>
      <c r="D615" s="301"/>
      <c r="E615" s="399"/>
      <c r="F615" s="399"/>
      <c r="G615" s="399"/>
      <c r="H615" s="301"/>
      <c r="I615" s="301"/>
      <c r="J615" s="301"/>
      <c r="K615" s="301"/>
      <c r="L615" s="301"/>
      <c r="M615" s="301"/>
      <c r="N615" s="301"/>
    </row>
    <row r="616" spans="1:14" ht="14" x14ac:dyDescent="0.25">
      <c r="A616" s="299"/>
      <c r="B616" s="18"/>
      <c r="C616" s="398"/>
      <c r="D616" s="301"/>
      <c r="E616" s="399"/>
      <c r="F616" s="399"/>
      <c r="G616" s="399"/>
      <c r="H616" s="301"/>
      <c r="I616" s="301"/>
      <c r="J616" s="301"/>
      <c r="K616" s="301"/>
      <c r="L616" s="301"/>
      <c r="M616" s="301"/>
      <c r="N616" s="301"/>
    </row>
    <row r="617" spans="1:14" ht="14" x14ac:dyDescent="0.25">
      <c r="A617" s="299"/>
      <c r="B617" s="18"/>
      <c r="C617" s="398"/>
      <c r="D617" s="301"/>
      <c r="E617" s="399"/>
      <c r="F617" s="399"/>
      <c r="G617" s="399"/>
      <c r="H617" s="301"/>
      <c r="I617" s="301"/>
      <c r="J617" s="301"/>
      <c r="K617" s="301"/>
      <c r="L617" s="301"/>
      <c r="M617" s="301"/>
      <c r="N617" s="301"/>
    </row>
    <row r="618" spans="1:14" ht="14" x14ac:dyDescent="0.25">
      <c r="A618" s="299"/>
      <c r="B618" s="18"/>
      <c r="C618" s="398"/>
      <c r="D618" s="301"/>
      <c r="E618" s="399"/>
      <c r="F618" s="399"/>
      <c r="G618" s="399"/>
      <c r="H618" s="301"/>
      <c r="I618" s="301"/>
      <c r="J618" s="301"/>
      <c r="K618" s="301"/>
      <c r="L618" s="301"/>
      <c r="M618" s="301"/>
      <c r="N618" s="301"/>
    </row>
    <row r="619" spans="1:14" ht="14" x14ac:dyDescent="0.25">
      <c r="A619" s="299"/>
      <c r="B619" s="18"/>
      <c r="C619" s="398"/>
      <c r="D619" s="301"/>
      <c r="E619" s="399"/>
      <c r="F619" s="399"/>
      <c r="G619" s="399"/>
      <c r="H619" s="301"/>
      <c r="I619" s="301"/>
      <c r="J619" s="301"/>
      <c r="K619" s="301"/>
      <c r="L619" s="301"/>
      <c r="M619" s="301"/>
      <c r="N619" s="301"/>
    </row>
    <row r="620" spans="1:14" ht="14" x14ac:dyDescent="0.25">
      <c r="A620" s="299"/>
      <c r="B620" s="18"/>
      <c r="C620" s="398"/>
      <c r="D620" s="301"/>
      <c r="E620" s="399"/>
      <c r="F620" s="399"/>
      <c r="G620" s="399"/>
      <c r="H620" s="301"/>
      <c r="I620" s="301"/>
      <c r="J620" s="301"/>
      <c r="K620" s="301"/>
      <c r="L620" s="301"/>
      <c r="M620" s="301"/>
      <c r="N620" s="301"/>
    </row>
    <row r="621" spans="1:14" ht="14" x14ac:dyDescent="0.25">
      <c r="A621" s="299"/>
      <c r="B621" s="18"/>
      <c r="C621" s="398"/>
      <c r="D621" s="301"/>
      <c r="E621" s="399"/>
      <c r="F621" s="399"/>
      <c r="G621" s="399"/>
      <c r="H621" s="301"/>
      <c r="I621" s="301"/>
      <c r="J621" s="301"/>
      <c r="K621" s="301"/>
      <c r="L621" s="301"/>
      <c r="M621" s="301"/>
      <c r="N621" s="301"/>
    </row>
    <row r="622" spans="1:14" ht="14" x14ac:dyDescent="0.25">
      <c r="A622" s="299"/>
      <c r="B622" s="18"/>
      <c r="C622" s="398"/>
      <c r="D622" s="301"/>
      <c r="E622" s="399"/>
      <c r="F622" s="399"/>
      <c r="G622" s="399"/>
      <c r="H622" s="301"/>
      <c r="I622" s="301"/>
      <c r="J622" s="301"/>
      <c r="K622" s="301"/>
      <c r="L622" s="301"/>
      <c r="M622" s="301"/>
      <c r="N622" s="301"/>
    </row>
    <row r="623" spans="1:14" ht="14" x14ac:dyDescent="0.25">
      <c r="A623" s="299"/>
      <c r="B623" s="18"/>
      <c r="C623" s="398"/>
      <c r="D623" s="301"/>
      <c r="E623" s="399"/>
      <c r="F623" s="399"/>
      <c r="G623" s="399"/>
      <c r="H623" s="301"/>
      <c r="I623" s="301"/>
      <c r="J623" s="301"/>
      <c r="K623" s="301"/>
      <c r="L623" s="301"/>
      <c r="M623" s="301"/>
      <c r="N623" s="301"/>
    </row>
    <row r="624" spans="1:14" ht="14" x14ac:dyDescent="0.25">
      <c r="A624" s="299"/>
      <c r="B624" s="18"/>
      <c r="C624" s="398"/>
      <c r="D624" s="301"/>
      <c r="E624" s="399"/>
      <c r="F624" s="399"/>
      <c r="G624" s="399"/>
      <c r="H624" s="301"/>
      <c r="I624" s="301"/>
      <c r="J624" s="301"/>
      <c r="K624" s="301"/>
      <c r="L624" s="301"/>
      <c r="M624" s="301"/>
      <c r="N624" s="301"/>
    </row>
    <row r="625" spans="1:14" ht="14" x14ac:dyDescent="0.25">
      <c r="A625" s="299"/>
      <c r="B625" s="18"/>
      <c r="C625" s="398"/>
      <c r="D625" s="301"/>
      <c r="E625" s="399"/>
      <c r="F625" s="399"/>
      <c r="G625" s="399"/>
      <c r="H625" s="301"/>
      <c r="I625" s="301"/>
      <c r="J625" s="301"/>
      <c r="K625" s="301"/>
      <c r="L625" s="301"/>
      <c r="M625" s="301"/>
      <c r="N625" s="301"/>
    </row>
    <row r="626" spans="1:14" ht="14" x14ac:dyDescent="0.25">
      <c r="A626" s="299"/>
      <c r="B626" s="18"/>
      <c r="C626" s="398"/>
      <c r="D626" s="301"/>
      <c r="E626" s="399"/>
      <c r="F626" s="399"/>
      <c r="G626" s="399"/>
      <c r="H626" s="301"/>
      <c r="I626" s="301"/>
      <c r="J626" s="301"/>
      <c r="K626" s="301"/>
      <c r="L626" s="301"/>
      <c r="M626" s="301"/>
      <c r="N626" s="301"/>
    </row>
    <row r="627" spans="1:14" ht="14" x14ac:dyDescent="0.25">
      <c r="A627" s="299"/>
      <c r="B627" s="18"/>
      <c r="C627" s="398"/>
      <c r="D627" s="301"/>
      <c r="E627" s="399"/>
      <c r="F627" s="399"/>
      <c r="G627" s="399"/>
      <c r="H627" s="301"/>
      <c r="I627" s="301"/>
      <c r="J627" s="301"/>
      <c r="K627" s="301"/>
      <c r="L627" s="301"/>
      <c r="M627" s="301"/>
      <c r="N627" s="301"/>
    </row>
    <row r="628" spans="1:14" ht="14" x14ac:dyDescent="0.25">
      <c r="A628" s="299"/>
      <c r="B628" s="18"/>
      <c r="C628" s="398"/>
      <c r="D628" s="301"/>
      <c r="E628" s="399"/>
      <c r="F628" s="399"/>
      <c r="G628" s="399"/>
      <c r="H628" s="301"/>
      <c r="I628" s="301"/>
      <c r="J628" s="301"/>
      <c r="K628" s="301"/>
      <c r="L628" s="301"/>
      <c r="M628" s="301"/>
      <c r="N628" s="301"/>
    </row>
    <row r="629" spans="1:14" ht="14" x14ac:dyDescent="0.25">
      <c r="A629" s="299"/>
      <c r="B629" s="18"/>
      <c r="C629" s="398"/>
      <c r="D629" s="301"/>
      <c r="E629" s="399"/>
      <c r="F629" s="399"/>
      <c r="G629" s="399"/>
      <c r="H629" s="301"/>
      <c r="I629" s="301"/>
      <c r="J629" s="301"/>
      <c r="K629" s="301"/>
      <c r="L629" s="301"/>
      <c r="M629" s="301"/>
      <c r="N629" s="301"/>
    </row>
    <row r="630" spans="1:14" ht="14" x14ac:dyDescent="0.25">
      <c r="A630" s="299"/>
      <c r="B630" s="18"/>
      <c r="C630" s="398"/>
      <c r="D630" s="301"/>
      <c r="E630" s="399"/>
      <c r="F630" s="399"/>
      <c r="G630" s="399"/>
      <c r="H630" s="301"/>
      <c r="I630" s="301"/>
      <c r="J630" s="301"/>
      <c r="K630" s="301"/>
      <c r="L630" s="301"/>
      <c r="M630" s="301"/>
      <c r="N630" s="301"/>
    </row>
    <row r="631" spans="1:14" ht="14" x14ac:dyDescent="0.25">
      <c r="A631" s="299"/>
      <c r="B631" s="18"/>
      <c r="C631" s="398"/>
      <c r="D631" s="301"/>
      <c r="E631" s="399"/>
      <c r="F631" s="399"/>
      <c r="G631" s="399"/>
      <c r="H631" s="301"/>
      <c r="I631" s="301"/>
      <c r="J631" s="301"/>
      <c r="K631" s="301"/>
      <c r="L631" s="301"/>
      <c r="M631" s="301"/>
      <c r="N631" s="301"/>
    </row>
    <row r="632" spans="1:14" ht="14" x14ac:dyDescent="0.25">
      <c r="A632" s="299"/>
      <c r="B632" s="18"/>
      <c r="C632" s="398"/>
      <c r="D632" s="301"/>
      <c r="E632" s="399"/>
      <c r="F632" s="399"/>
      <c r="G632" s="399"/>
      <c r="H632" s="301"/>
      <c r="I632" s="301"/>
      <c r="J632" s="301"/>
      <c r="K632" s="301"/>
      <c r="L632" s="301"/>
      <c r="M632" s="301"/>
      <c r="N632" s="301"/>
    </row>
    <row r="633" spans="1:14" ht="14" x14ac:dyDescent="0.25">
      <c r="A633" s="299"/>
      <c r="B633" s="18"/>
      <c r="C633" s="398"/>
      <c r="D633" s="301"/>
      <c r="E633" s="399"/>
      <c r="F633" s="399"/>
      <c r="G633" s="399"/>
      <c r="H633" s="301"/>
      <c r="I633" s="301"/>
      <c r="J633" s="301"/>
      <c r="K633" s="301"/>
      <c r="L633" s="301"/>
      <c r="M633" s="301"/>
      <c r="N633" s="301"/>
    </row>
    <row r="634" spans="1:14" ht="14" x14ac:dyDescent="0.25">
      <c r="A634" s="299"/>
      <c r="B634" s="18"/>
      <c r="C634" s="398"/>
      <c r="D634" s="301"/>
      <c r="E634" s="399"/>
      <c r="F634" s="399"/>
      <c r="G634" s="399"/>
      <c r="H634" s="301"/>
      <c r="I634" s="301"/>
      <c r="J634" s="301"/>
      <c r="K634" s="301"/>
      <c r="L634" s="301"/>
      <c r="M634" s="301"/>
      <c r="N634" s="301"/>
    </row>
    <row r="635" spans="1:14" ht="14" x14ac:dyDescent="0.25">
      <c r="A635" s="299"/>
      <c r="B635" s="18"/>
      <c r="C635" s="398"/>
      <c r="D635" s="301"/>
      <c r="E635" s="399"/>
      <c r="F635" s="399"/>
      <c r="G635" s="399"/>
      <c r="H635" s="301"/>
      <c r="I635" s="301"/>
      <c r="J635" s="301"/>
      <c r="K635" s="301"/>
      <c r="L635" s="301"/>
      <c r="M635" s="301"/>
      <c r="N635" s="301"/>
    </row>
    <row r="636" spans="1:14" ht="14" x14ac:dyDescent="0.25">
      <c r="A636" s="299"/>
      <c r="B636" s="18"/>
      <c r="C636" s="398"/>
      <c r="D636" s="301"/>
      <c r="E636" s="399"/>
      <c r="F636" s="399"/>
      <c r="G636" s="399"/>
      <c r="H636" s="301"/>
      <c r="I636" s="301"/>
      <c r="J636" s="301"/>
      <c r="K636" s="301"/>
      <c r="L636" s="301"/>
      <c r="M636" s="301"/>
      <c r="N636" s="301"/>
    </row>
    <row r="637" spans="1:14" ht="14" x14ac:dyDescent="0.25">
      <c r="A637" s="299"/>
      <c r="B637" s="18"/>
      <c r="C637" s="398"/>
      <c r="D637" s="301"/>
      <c r="E637" s="399"/>
      <c r="F637" s="399"/>
      <c r="G637" s="399"/>
      <c r="H637" s="301"/>
      <c r="I637" s="301"/>
      <c r="J637" s="301"/>
      <c r="K637" s="301"/>
      <c r="L637" s="301"/>
      <c r="M637" s="301"/>
      <c r="N637" s="301"/>
    </row>
    <row r="638" spans="1:14" ht="14" x14ac:dyDescent="0.25">
      <c r="A638" s="299"/>
      <c r="B638" s="18"/>
      <c r="C638" s="398"/>
      <c r="D638" s="301"/>
      <c r="E638" s="399"/>
      <c r="F638" s="399"/>
      <c r="G638" s="399"/>
      <c r="H638" s="301"/>
      <c r="I638" s="301"/>
      <c r="J638" s="301"/>
      <c r="K638" s="301"/>
      <c r="L638" s="301"/>
      <c r="M638" s="301"/>
      <c r="N638" s="301"/>
    </row>
    <row r="639" spans="1:14" ht="14" x14ac:dyDescent="0.25">
      <c r="A639" s="299"/>
      <c r="B639" s="18"/>
      <c r="C639" s="398"/>
      <c r="D639" s="301"/>
      <c r="E639" s="399"/>
      <c r="F639" s="399"/>
      <c r="G639" s="399"/>
      <c r="H639" s="301"/>
      <c r="I639" s="301"/>
      <c r="J639" s="301"/>
      <c r="K639" s="301"/>
      <c r="L639" s="301"/>
      <c r="M639" s="301"/>
      <c r="N639" s="301"/>
    </row>
    <row r="640" spans="1:14" ht="14" x14ac:dyDescent="0.25">
      <c r="A640" s="299"/>
      <c r="B640" s="18"/>
      <c r="C640" s="398"/>
      <c r="D640" s="301"/>
      <c r="E640" s="399"/>
      <c r="F640" s="399"/>
      <c r="G640" s="399"/>
      <c r="H640" s="301"/>
      <c r="I640" s="301"/>
      <c r="J640" s="301"/>
      <c r="K640" s="301"/>
      <c r="L640" s="301"/>
      <c r="M640" s="301"/>
      <c r="N640" s="301"/>
    </row>
    <row r="641" spans="1:14" ht="14" x14ac:dyDescent="0.25">
      <c r="A641" s="299"/>
      <c r="B641" s="18"/>
      <c r="C641" s="398"/>
      <c r="D641" s="301"/>
      <c r="E641" s="399"/>
      <c r="F641" s="399"/>
      <c r="G641" s="399"/>
      <c r="H641" s="301"/>
      <c r="I641" s="301"/>
      <c r="J641" s="301"/>
      <c r="K641" s="301"/>
      <c r="L641" s="301"/>
      <c r="M641" s="301"/>
      <c r="N641" s="301"/>
    </row>
    <row r="642" spans="1:14" ht="14" x14ac:dyDescent="0.25">
      <c r="A642" s="299"/>
      <c r="B642" s="18"/>
      <c r="C642" s="398"/>
      <c r="D642" s="301"/>
      <c r="E642" s="399"/>
      <c r="F642" s="399"/>
      <c r="G642" s="399"/>
      <c r="H642" s="301"/>
      <c r="I642" s="301"/>
      <c r="J642" s="301"/>
      <c r="K642" s="301"/>
      <c r="L642" s="301"/>
      <c r="M642" s="301"/>
      <c r="N642" s="301"/>
    </row>
    <row r="643" spans="1:14" ht="14" x14ac:dyDescent="0.25">
      <c r="A643" s="299"/>
      <c r="B643" s="18"/>
      <c r="C643" s="398"/>
      <c r="D643" s="301"/>
      <c r="E643" s="399"/>
      <c r="F643" s="399"/>
      <c r="G643" s="399"/>
      <c r="H643" s="301"/>
      <c r="I643" s="301"/>
      <c r="J643" s="301"/>
      <c r="K643" s="301"/>
      <c r="L643" s="301"/>
      <c r="M643" s="301"/>
      <c r="N643" s="301"/>
    </row>
    <row r="644" spans="1:14" ht="14" x14ac:dyDescent="0.25">
      <c r="A644" s="299"/>
      <c r="B644" s="18"/>
      <c r="C644" s="398"/>
      <c r="D644" s="301"/>
      <c r="E644" s="399"/>
      <c r="F644" s="399"/>
      <c r="G644" s="399"/>
      <c r="H644" s="301"/>
      <c r="I644" s="301"/>
      <c r="J644" s="301"/>
      <c r="K644" s="301"/>
      <c r="L644" s="301"/>
      <c r="M644" s="301"/>
      <c r="N644" s="301"/>
    </row>
    <row r="645" spans="1:14" ht="14" x14ac:dyDescent="0.25">
      <c r="A645" s="299"/>
      <c r="B645" s="18"/>
      <c r="C645" s="398"/>
      <c r="D645" s="301"/>
      <c r="E645" s="399"/>
      <c r="F645" s="399"/>
      <c r="G645" s="399"/>
      <c r="H645" s="301"/>
      <c r="I645" s="301"/>
      <c r="J645" s="301"/>
      <c r="K645" s="301"/>
      <c r="L645" s="301"/>
      <c r="M645" s="301"/>
      <c r="N645" s="301"/>
    </row>
    <row r="646" spans="1:14" ht="14" x14ac:dyDescent="0.25">
      <c r="A646" s="299"/>
      <c r="B646" s="18"/>
      <c r="C646" s="398"/>
      <c r="D646" s="301"/>
      <c r="E646" s="399"/>
      <c r="F646" s="399"/>
      <c r="G646" s="399"/>
      <c r="H646" s="301"/>
      <c r="I646" s="301"/>
      <c r="J646" s="301"/>
      <c r="K646" s="301"/>
      <c r="L646" s="301"/>
      <c r="M646" s="301"/>
      <c r="N646" s="301"/>
    </row>
    <row r="647" spans="1:14" ht="14" x14ac:dyDescent="0.25">
      <c r="A647" s="299"/>
      <c r="B647" s="18"/>
      <c r="C647" s="398"/>
      <c r="D647" s="301"/>
      <c r="E647" s="399"/>
      <c r="F647" s="399"/>
      <c r="G647" s="399"/>
      <c r="H647" s="301"/>
      <c r="I647" s="301"/>
      <c r="J647" s="301"/>
      <c r="K647" s="301"/>
      <c r="L647" s="301"/>
      <c r="M647" s="301"/>
      <c r="N647" s="301"/>
    </row>
    <row r="648" spans="1:14" ht="14" x14ac:dyDescent="0.25">
      <c r="A648" s="299"/>
      <c r="B648" s="18"/>
      <c r="C648" s="398"/>
      <c r="D648" s="301"/>
      <c r="E648" s="399"/>
      <c r="F648" s="399"/>
      <c r="G648" s="399"/>
      <c r="H648" s="301"/>
      <c r="I648" s="301"/>
      <c r="J648" s="301"/>
      <c r="K648" s="301"/>
      <c r="L648" s="301"/>
      <c r="M648" s="301"/>
      <c r="N648" s="301"/>
    </row>
    <row r="649" spans="1:14" ht="14" x14ac:dyDescent="0.25">
      <c r="A649" s="299"/>
      <c r="B649" s="18"/>
      <c r="C649" s="398"/>
      <c r="D649" s="301"/>
      <c r="E649" s="399"/>
      <c r="F649" s="399"/>
      <c r="G649" s="399"/>
      <c r="H649" s="301"/>
      <c r="I649" s="301"/>
      <c r="J649" s="301"/>
      <c r="K649" s="301"/>
      <c r="L649" s="301"/>
      <c r="M649" s="301"/>
      <c r="N649" s="301"/>
    </row>
    <row r="650" spans="1:14" ht="14" x14ac:dyDescent="0.25">
      <c r="A650" s="299"/>
      <c r="B650" s="18"/>
      <c r="C650" s="398"/>
      <c r="D650" s="301"/>
      <c r="E650" s="399"/>
      <c r="F650" s="399"/>
      <c r="G650" s="399"/>
      <c r="H650" s="301"/>
      <c r="I650" s="301"/>
      <c r="J650" s="301"/>
      <c r="K650" s="301"/>
      <c r="L650" s="301"/>
      <c r="M650" s="301"/>
      <c r="N650" s="301"/>
    </row>
    <row r="651" spans="1:14" ht="14" x14ac:dyDescent="0.25">
      <c r="A651" s="299"/>
      <c r="B651" s="18"/>
      <c r="C651" s="398"/>
      <c r="D651" s="301"/>
      <c r="E651" s="399"/>
      <c r="F651" s="399"/>
      <c r="G651" s="399"/>
      <c r="H651" s="301"/>
      <c r="I651" s="301"/>
      <c r="J651" s="301"/>
      <c r="K651" s="301"/>
      <c r="L651" s="301"/>
      <c r="M651" s="301"/>
      <c r="N651" s="301"/>
    </row>
    <row r="652" spans="1:14" ht="14" x14ac:dyDescent="0.25">
      <c r="A652" s="299"/>
      <c r="B652" s="18"/>
      <c r="C652" s="398"/>
      <c r="D652" s="301"/>
      <c r="E652" s="399"/>
      <c r="F652" s="399"/>
      <c r="G652" s="399"/>
      <c r="H652" s="301"/>
      <c r="I652" s="301"/>
      <c r="J652" s="301"/>
      <c r="K652" s="301"/>
      <c r="L652" s="301"/>
      <c r="M652" s="301"/>
      <c r="N652" s="301"/>
    </row>
    <row r="653" spans="1:14" ht="14" x14ac:dyDescent="0.25">
      <c r="A653" s="299"/>
      <c r="B653" s="18"/>
      <c r="C653" s="398"/>
      <c r="D653" s="301"/>
      <c r="E653" s="399"/>
      <c r="F653" s="399"/>
      <c r="G653" s="399"/>
      <c r="H653" s="301"/>
      <c r="I653" s="301"/>
      <c r="J653" s="301"/>
      <c r="K653" s="301"/>
      <c r="L653" s="301"/>
      <c r="M653" s="301"/>
      <c r="N653" s="301"/>
    </row>
    <row r="654" spans="1:14" ht="14" x14ac:dyDescent="0.25">
      <c r="A654" s="299"/>
      <c r="B654" s="18"/>
      <c r="C654" s="398"/>
      <c r="D654" s="301"/>
      <c r="E654" s="399"/>
      <c r="F654" s="399"/>
      <c r="G654" s="399"/>
      <c r="H654" s="301"/>
      <c r="I654" s="301"/>
      <c r="J654" s="301"/>
      <c r="K654" s="301"/>
      <c r="L654" s="301"/>
      <c r="M654" s="301"/>
      <c r="N654" s="301"/>
    </row>
    <row r="655" spans="1:14" ht="14" x14ac:dyDescent="0.25">
      <c r="A655" s="299"/>
      <c r="B655" s="18"/>
      <c r="C655" s="398"/>
      <c r="D655" s="301"/>
      <c r="E655" s="399"/>
      <c r="F655" s="399"/>
      <c r="G655" s="399"/>
      <c r="H655" s="301"/>
      <c r="I655" s="301"/>
      <c r="J655" s="301"/>
      <c r="K655" s="301"/>
      <c r="L655" s="301"/>
      <c r="M655" s="301"/>
      <c r="N655" s="301"/>
    </row>
    <row r="656" spans="1:14" ht="14" x14ac:dyDescent="0.25">
      <c r="A656" s="299"/>
      <c r="B656" s="18"/>
      <c r="C656" s="398"/>
      <c r="D656" s="301"/>
      <c r="E656" s="399"/>
      <c r="F656" s="399"/>
      <c r="G656" s="399"/>
      <c r="H656" s="301"/>
      <c r="I656" s="301"/>
      <c r="J656" s="301"/>
      <c r="K656" s="301"/>
      <c r="L656" s="301"/>
      <c r="M656" s="301"/>
      <c r="N656" s="301"/>
    </row>
    <row r="657" spans="1:14" ht="14" x14ac:dyDescent="0.25">
      <c r="A657" s="299"/>
      <c r="B657" s="18"/>
      <c r="C657" s="398"/>
      <c r="D657" s="301"/>
      <c r="E657" s="399"/>
      <c r="F657" s="399"/>
      <c r="G657" s="399"/>
      <c r="H657" s="301"/>
      <c r="I657" s="301"/>
      <c r="J657" s="301"/>
      <c r="K657" s="301"/>
      <c r="L657" s="301"/>
      <c r="M657" s="301"/>
      <c r="N657" s="301"/>
    </row>
    <row r="658" spans="1:14" ht="14" x14ac:dyDescent="0.25">
      <c r="A658" s="299"/>
      <c r="B658" s="18"/>
      <c r="C658" s="398"/>
      <c r="D658" s="301"/>
      <c r="E658" s="399"/>
      <c r="F658" s="399"/>
      <c r="G658" s="399"/>
      <c r="H658" s="301"/>
      <c r="I658" s="301"/>
      <c r="J658" s="301"/>
      <c r="K658" s="301"/>
      <c r="L658" s="301"/>
      <c r="M658" s="301"/>
      <c r="N658" s="301"/>
    </row>
    <row r="659" spans="1:14" ht="14" x14ac:dyDescent="0.25">
      <c r="A659" s="299"/>
      <c r="B659" s="18"/>
      <c r="C659" s="398"/>
      <c r="D659" s="301"/>
      <c r="E659" s="399"/>
      <c r="F659" s="399"/>
      <c r="G659" s="399"/>
      <c r="H659" s="301"/>
      <c r="I659" s="301"/>
      <c r="J659" s="301"/>
      <c r="K659" s="301"/>
      <c r="L659" s="301"/>
      <c r="M659" s="301"/>
      <c r="N659" s="301"/>
    </row>
    <row r="660" spans="1:14" ht="14" x14ac:dyDescent="0.25">
      <c r="A660" s="299"/>
      <c r="B660" s="18"/>
      <c r="C660" s="398"/>
      <c r="D660" s="301"/>
      <c r="E660" s="399"/>
      <c r="F660" s="399"/>
      <c r="G660" s="399"/>
      <c r="H660" s="301"/>
      <c r="I660" s="301"/>
      <c r="J660" s="301"/>
      <c r="K660" s="301"/>
      <c r="L660" s="301"/>
      <c r="M660" s="301"/>
      <c r="N660" s="301"/>
    </row>
    <row r="661" spans="1:14" ht="14" x14ac:dyDescent="0.25">
      <c r="A661" s="299"/>
      <c r="B661" s="18"/>
      <c r="C661" s="398"/>
      <c r="D661" s="301"/>
      <c r="E661" s="399"/>
      <c r="F661" s="399"/>
      <c r="G661" s="399"/>
      <c r="H661" s="301"/>
      <c r="I661" s="301"/>
      <c r="J661" s="301"/>
      <c r="K661" s="301"/>
      <c r="L661" s="301"/>
      <c r="M661" s="301"/>
      <c r="N661" s="301"/>
    </row>
    <row r="662" spans="1:14" ht="14" x14ac:dyDescent="0.25">
      <c r="A662" s="299"/>
      <c r="B662" s="18"/>
      <c r="C662" s="398"/>
      <c r="D662" s="301"/>
      <c r="E662" s="399"/>
      <c r="F662" s="399"/>
      <c r="G662" s="399"/>
      <c r="H662" s="301"/>
      <c r="I662" s="301"/>
      <c r="J662" s="301"/>
      <c r="K662" s="301"/>
      <c r="L662" s="301"/>
      <c r="M662" s="301"/>
      <c r="N662" s="301"/>
    </row>
    <row r="663" spans="1:14" ht="14" x14ac:dyDescent="0.25">
      <c r="A663" s="299"/>
      <c r="B663" s="18"/>
      <c r="C663" s="398"/>
      <c r="D663" s="301"/>
      <c r="E663" s="399"/>
      <c r="F663" s="399"/>
      <c r="G663" s="399"/>
      <c r="H663" s="301"/>
      <c r="I663" s="301"/>
      <c r="J663" s="301"/>
      <c r="K663" s="301"/>
      <c r="L663" s="301"/>
      <c r="M663" s="301"/>
      <c r="N663" s="301"/>
    </row>
    <row r="664" spans="1:14" ht="14" x14ac:dyDescent="0.25">
      <c r="A664" s="299"/>
      <c r="B664" s="18"/>
      <c r="C664" s="398"/>
      <c r="D664" s="301"/>
      <c r="E664" s="399"/>
      <c r="F664" s="399"/>
      <c r="G664" s="399"/>
      <c r="H664" s="301"/>
      <c r="I664" s="301"/>
      <c r="J664" s="301"/>
      <c r="K664" s="301"/>
      <c r="L664" s="301"/>
      <c r="M664" s="301"/>
      <c r="N664" s="301"/>
    </row>
    <row r="665" spans="1:14" ht="14" x14ac:dyDescent="0.25">
      <c r="A665" s="299"/>
      <c r="B665" s="18"/>
      <c r="C665" s="398"/>
      <c r="D665" s="301"/>
      <c r="E665" s="399"/>
      <c r="F665" s="399"/>
      <c r="G665" s="399"/>
      <c r="H665" s="301"/>
      <c r="I665" s="301"/>
      <c r="J665" s="301"/>
      <c r="K665" s="301"/>
      <c r="L665" s="301"/>
      <c r="M665" s="301"/>
      <c r="N665" s="301"/>
    </row>
    <row r="666" spans="1:14" ht="14" x14ac:dyDescent="0.25">
      <c r="A666" s="299"/>
      <c r="B666" s="18"/>
      <c r="C666" s="398"/>
      <c r="D666" s="301"/>
      <c r="E666" s="399"/>
      <c r="F666" s="399"/>
      <c r="G666" s="399"/>
      <c r="H666" s="301"/>
      <c r="I666" s="301"/>
      <c r="J666" s="301"/>
      <c r="K666" s="301"/>
      <c r="L666" s="301"/>
      <c r="M666" s="301"/>
      <c r="N666" s="301"/>
    </row>
    <row r="667" spans="1:14" ht="14" x14ac:dyDescent="0.25">
      <c r="A667" s="299"/>
      <c r="B667" s="18"/>
      <c r="C667" s="398"/>
      <c r="D667" s="301"/>
      <c r="E667" s="399"/>
      <c r="F667" s="399"/>
      <c r="G667" s="399"/>
      <c r="H667" s="301"/>
      <c r="I667" s="301"/>
      <c r="J667" s="301"/>
      <c r="K667" s="301"/>
      <c r="L667" s="301"/>
      <c r="M667" s="301"/>
      <c r="N667" s="301"/>
    </row>
    <row r="668" spans="1:14" ht="14" x14ac:dyDescent="0.25">
      <c r="A668" s="299"/>
      <c r="B668" s="18"/>
      <c r="C668" s="398"/>
      <c r="D668" s="301"/>
      <c r="E668" s="399"/>
      <c r="F668" s="399"/>
      <c r="G668" s="399"/>
      <c r="H668" s="301"/>
      <c r="I668" s="301"/>
      <c r="J668" s="301"/>
      <c r="K668" s="301"/>
      <c r="L668" s="301"/>
      <c r="M668" s="301"/>
      <c r="N668" s="301"/>
    </row>
    <row r="669" spans="1:14" ht="14" x14ac:dyDescent="0.25">
      <c r="A669" s="299"/>
      <c r="B669" s="18"/>
      <c r="C669" s="398"/>
      <c r="D669" s="301"/>
      <c r="E669" s="399"/>
      <c r="F669" s="399"/>
      <c r="G669" s="399"/>
      <c r="H669" s="301"/>
      <c r="I669" s="301"/>
      <c r="J669" s="301"/>
      <c r="K669" s="301"/>
      <c r="L669" s="301"/>
      <c r="M669" s="301"/>
      <c r="N669" s="301"/>
    </row>
    <row r="670" spans="1:14" ht="14" x14ac:dyDescent="0.25">
      <c r="A670" s="299"/>
      <c r="B670" s="18"/>
      <c r="C670" s="398"/>
      <c r="D670" s="301"/>
      <c r="E670" s="399"/>
      <c r="F670" s="399"/>
      <c r="G670" s="399"/>
      <c r="H670" s="301"/>
      <c r="I670" s="301"/>
      <c r="J670" s="301"/>
      <c r="K670" s="301"/>
      <c r="L670" s="301"/>
      <c r="M670" s="301"/>
      <c r="N670" s="301"/>
    </row>
    <row r="671" spans="1:14" ht="14" x14ac:dyDescent="0.25">
      <c r="A671" s="299"/>
      <c r="B671" s="18"/>
      <c r="C671" s="398"/>
      <c r="D671" s="301"/>
      <c r="E671" s="399"/>
      <c r="F671" s="399"/>
      <c r="G671" s="399"/>
      <c r="H671" s="301"/>
      <c r="I671" s="301"/>
      <c r="J671" s="301"/>
      <c r="K671" s="301"/>
      <c r="L671" s="301"/>
      <c r="M671" s="301"/>
      <c r="N671" s="301"/>
    </row>
    <row r="672" spans="1:14" ht="14" x14ac:dyDescent="0.25">
      <c r="A672" s="299"/>
      <c r="B672" s="18"/>
      <c r="C672" s="398"/>
      <c r="D672" s="301"/>
      <c r="E672" s="399"/>
      <c r="F672" s="399"/>
      <c r="G672" s="399"/>
      <c r="H672" s="301"/>
      <c r="I672" s="301"/>
      <c r="J672" s="301"/>
      <c r="K672" s="301"/>
      <c r="L672" s="301"/>
      <c r="M672" s="301"/>
      <c r="N672" s="301"/>
    </row>
    <row r="673" spans="1:14" ht="14" x14ac:dyDescent="0.25">
      <c r="A673" s="299"/>
      <c r="B673" s="18"/>
      <c r="C673" s="398"/>
      <c r="D673" s="301"/>
      <c r="E673" s="399"/>
      <c r="F673" s="399"/>
      <c r="G673" s="399"/>
      <c r="H673" s="301"/>
      <c r="I673" s="301"/>
      <c r="J673" s="301"/>
      <c r="K673" s="301"/>
      <c r="L673" s="301"/>
      <c r="M673" s="301"/>
      <c r="N673" s="301"/>
    </row>
    <row r="674" spans="1:14" ht="14" x14ac:dyDescent="0.25">
      <c r="A674" s="299"/>
      <c r="B674" s="18"/>
      <c r="C674" s="398"/>
      <c r="D674" s="301"/>
      <c r="E674" s="399"/>
      <c r="F674" s="399"/>
      <c r="G674" s="399"/>
      <c r="H674" s="301"/>
      <c r="I674" s="301"/>
      <c r="J674" s="301"/>
      <c r="K674" s="301"/>
      <c r="L674" s="301"/>
      <c r="M674" s="301"/>
      <c r="N674" s="301"/>
    </row>
    <row r="675" spans="1:14" ht="14" x14ac:dyDescent="0.25">
      <c r="A675" s="299"/>
      <c r="B675" s="18"/>
      <c r="C675" s="398"/>
      <c r="D675" s="301"/>
      <c r="E675" s="399"/>
      <c r="F675" s="399"/>
      <c r="G675" s="399"/>
      <c r="H675" s="301"/>
      <c r="I675" s="301"/>
      <c r="J675" s="301"/>
      <c r="K675" s="301"/>
      <c r="L675" s="301"/>
      <c r="M675" s="301"/>
      <c r="N675" s="301"/>
    </row>
    <row r="676" spans="1:14" ht="14" x14ac:dyDescent="0.25">
      <c r="A676" s="299"/>
      <c r="B676" s="18"/>
      <c r="C676" s="398"/>
      <c r="D676" s="301"/>
      <c r="E676" s="399"/>
      <c r="F676" s="399"/>
      <c r="G676" s="399"/>
      <c r="H676" s="301"/>
      <c r="I676" s="301"/>
      <c r="J676" s="301"/>
      <c r="K676" s="301"/>
      <c r="L676" s="301"/>
      <c r="M676" s="301"/>
      <c r="N676" s="301"/>
    </row>
    <row r="677" spans="1:14" ht="14" x14ac:dyDescent="0.25">
      <c r="A677" s="299"/>
      <c r="B677" s="18"/>
      <c r="C677" s="398"/>
      <c r="D677" s="301"/>
      <c r="E677" s="399"/>
      <c r="F677" s="399"/>
      <c r="G677" s="399"/>
      <c r="H677" s="301"/>
      <c r="I677" s="301"/>
      <c r="J677" s="301"/>
      <c r="K677" s="301"/>
      <c r="L677" s="301"/>
      <c r="M677" s="301"/>
      <c r="N677" s="301"/>
    </row>
    <row r="678" spans="1:14" ht="14" x14ac:dyDescent="0.25">
      <c r="A678" s="299"/>
      <c r="B678" s="18"/>
      <c r="C678" s="398"/>
      <c r="D678" s="301"/>
      <c r="E678" s="399"/>
      <c r="F678" s="399"/>
      <c r="G678" s="399"/>
      <c r="H678" s="301"/>
      <c r="I678" s="301"/>
      <c r="J678" s="301"/>
      <c r="K678" s="301"/>
      <c r="L678" s="301"/>
      <c r="M678" s="301"/>
      <c r="N678" s="301"/>
    </row>
    <row r="679" spans="1:14" ht="14" x14ac:dyDescent="0.25">
      <c r="A679" s="299"/>
      <c r="B679" s="18"/>
      <c r="C679" s="398"/>
      <c r="D679" s="301"/>
      <c r="E679" s="399"/>
      <c r="F679" s="399"/>
      <c r="G679" s="399"/>
      <c r="H679" s="301"/>
      <c r="I679" s="301"/>
      <c r="J679" s="301"/>
      <c r="K679" s="301"/>
      <c r="L679" s="301"/>
      <c r="M679" s="301"/>
      <c r="N679" s="301"/>
    </row>
    <row r="680" spans="1:14" ht="14" x14ac:dyDescent="0.25">
      <c r="A680" s="299"/>
      <c r="B680" s="18"/>
      <c r="C680" s="398"/>
      <c r="D680" s="301"/>
      <c r="E680" s="399"/>
      <c r="F680" s="399"/>
      <c r="G680" s="399"/>
      <c r="H680" s="301"/>
      <c r="I680" s="301"/>
      <c r="J680" s="301"/>
      <c r="K680" s="301"/>
      <c r="L680" s="301"/>
      <c r="M680" s="301"/>
      <c r="N680" s="301"/>
    </row>
    <row r="681" spans="1:14" ht="14" x14ac:dyDescent="0.25">
      <c r="A681" s="299"/>
      <c r="B681" s="18"/>
      <c r="C681" s="398"/>
      <c r="D681" s="301"/>
      <c r="E681" s="399"/>
      <c r="F681" s="399"/>
      <c r="G681" s="399"/>
      <c r="H681" s="301"/>
      <c r="I681" s="301"/>
      <c r="J681" s="301"/>
      <c r="K681" s="301"/>
      <c r="L681" s="301"/>
      <c r="M681" s="301"/>
      <c r="N681" s="301"/>
    </row>
    <row r="682" spans="1:14" ht="14" x14ac:dyDescent="0.25">
      <c r="A682" s="299"/>
      <c r="B682" s="18"/>
      <c r="C682" s="398"/>
      <c r="D682" s="301"/>
      <c r="E682" s="399"/>
      <c r="F682" s="399"/>
      <c r="G682" s="399"/>
      <c r="H682" s="301"/>
      <c r="I682" s="301"/>
      <c r="J682" s="301"/>
      <c r="K682" s="301"/>
      <c r="L682" s="301"/>
      <c r="M682" s="301"/>
      <c r="N682" s="301"/>
    </row>
    <row r="683" spans="1:14" ht="14" x14ac:dyDescent="0.25">
      <c r="A683" s="299"/>
      <c r="B683" s="18"/>
      <c r="C683" s="398"/>
      <c r="D683" s="301"/>
      <c r="E683" s="399"/>
      <c r="F683" s="399"/>
      <c r="G683" s="399"/>
      <c r="H683" s="301"/>
      <c r="I683" s="301"/>
      <c r="J683" s="301"/>
      <c r="K683" s="301"/>
      <c r="L683" s="301"/>
      <c r="M683" s="301"/>
      <c r="N683" s="301"/>
    </row>
    <row r="684" spans="1:14" ht="14" x14ac:dyDescent="0.25">
      <c r="A684" s="299"/>
      <c r="B684" s="18"/>
      <c r="C684" s="398"/>
      <c r="D684" s="301"/>
      <c r="E684" s="399"/>
      <c r="F684" s="399"/>
      <c r="G684" s="399"/>
      <c r="H684" s="301"/>
      <c r="I684" s="301"/>
      <c r="J684" s="301"/>
      <c r="K684" s="301"/>
      <c r="L684" s="301"/>
      <c r="M684" s="301"/>
      <c r="N684" s="301"/>
    </row>
    <row r="685" spans="1:14" ht="14" x14ac:dyDescent="0.25">
      <c r="A685" s="299"/>
      <c r="B685" s="18"/>
      <c r="C685" s="398"/>
      <c r="D685" s="301"/>
      <c r="E685" s="399"/>
      <c r="F685" s="399"/>
      <c r="G685" s="399"/>
      <c r="H685" s="301"/>
      <c r="I685" s="301"/>
      <c r="J685" s="301"/>
      <c r="K685" s="301"/>
      <c r="L685" s="301"/>
      <c r="M685" s="301"/>
      <c r="N685" s="301"/>
    </row>
    <row r="686" spans="1:14" ht="14" x14ac:dyDescent="0.25">
      <c r="A686" s="299"/>
      <c r="B686" s="18"/>
      <c r="C686" s="398"/>
      <c r="D686" s="301"/>
      <c r="E686" s="399"/>
      <c r="F686" s="399"/>
      <c r="G686" s="399"/>
      <c r="H686" s="301"/>
      <c r="I686" s="301"/>
      <c r="J686" s="301"/>
      <c r="K686" s="301"/>
      <c r="L686" s="301"/>
      <c r="M686" s="301"/>
      <c r="N686" s="301"/>
    </row>
    <row r="687" spans="1:14" ht="14" x14ac:dyDescent="0.25">
      <c r="A687" s="299"/>
      <c r="B687" s="18"/>
      <c r="C687" s="398"/>
      <c r="D687" s="301"/>
      <c r="E687" s="399"/>
      <c r="F687" s="399"/>
      <c r="G687" s="399"/>
      <c r="H687" s="301"/>
      <c r="I687" s="301"/>
      <c r="J687" s="301"/>
      <c r="K687" s="301"/>
      <c r="L687" s="301"/>
      <c r="M687" s="301"/>
      <c r="N687" s="301"/>
    </row>
    <row r="688" spans="1:14" ht="14" x14ac:dyDescent="0.25">
      <c r="A688" s="299"/>
      <c r="B688" s="18"/>
      <c r="C688" s="398"/>
      <c r="D688" s="301"/>
      <c r="E688" s="399"/>
      <c r="F688" s="399"/>
      <c r="G688" s="399"/>
      <c r="H688" s="301"/>
      <c r="I688" s="301"/>
      <c r="J688" s="301"/>
      <c r="K688" s="301"/>
      <c r="L688" s="301"/>
      <c r="M688" s="301"/>
      <c r="N688" s="301"/>
    </row>
    <row r="689" spans="1:14" ht="14" x14ac:dyDescent="0.25">
      <c r="A689" s="299"/>
      <c r="B689" s="18"/>
      <c r="C689" s="398"/>
      <c r="D689" s="301"/>
      <c r="E689" s="399"/>
      <c r="F689" s="399"/>
      <c r="G689" s="399"/>
      <c r="H689" s="301"/>
      <c r="I689" s="301"/>
      <c r="J689" s="301"/>
      <c r="K689" s="301"/>
      <c r="L689" s="301"/>
      <c r="M689" s="301"/>
      <c r="N689" s="301"/>
    </row>
    <row r="690" spans="1:14" ht="14" x14ac:dyDescent="0.25">
      <c r="A690" s="299"/>
      <c r="B690" s="18"/>
      <c r="C690" s="398"/>
      <c r="D690" s="301"/>
      <c r="E690" s="399"/>
      <c r="F690" s="399"/>
      <c r="G690" s="399"/>
      <c r="H690" s="301"/>
      <c r="I690" s="301"/>
      <c r="J690" s="301"/>
      <c r="K690" s="301"/>
      <c r="L690" s="301"/>
      <c r="M690" s="301"/>
      <c r="N690" s="301"/>
    </row>
    <row r="691" spans="1:14" ht="14" x14ac:dyDescent="0.25">
      <c r="A691" s="299"/>
      <c r="B691" s="18"/>
      <c r="C691" s="398"/>
      <c r="D691" s="301"/>
      <c r="E691" s="399"/>
      <c r="F691" s="399"/>
      <c r="G691" s="399"/>
      <c r="H691" s="301"/>
      <c r="I691" s="301"/>
      <c r="J691" s="301"/>
      <c r="K691" s="301"/>
      <c r="L691" s="301"/>
      <c r="M691" s="301"/>
      <c r="N691" s="301"/>
    </row>
    <row r="692" spans="1:14" ht="14" x14ac:dyDescent="0.25">
      <c r="A692" s="299"/>
      <c r="B692" s="18"/>
      <c r="C692" s="398"/>
      <c r="D692" s="301"/>
      <c r="E692" s="399"/>
      <c r="F692" s="399"/>
      <c r="G692" s="399"/>
      <c r="H692" s="301"/>
      <c r="I692" s="301"/>
      <c r="J692" s="301"/>
      <c r="K692" s="301"/>
      <c r="L692" s="301"/>
      <c r="M692" s="301"/>
      <c r="N692" s="301"/>
    </row>
    <row r="693" spans="1:14" ht="14" x14ac:dyDescent="0.25">
      <c r="A693" s="299"/>
      <c r="B693" s="18"/>
      <c r="C693" s="398"/>
      <c r="D693" s="301"/>
      <c r="E693" s="399"/>
      <c r="F693" s="399"/>
      <c r="G693" s="399"/>
      <c r="H693" s="301"/>
      <c r="I693" s="301"/>
      <c r="J693" s="301"/>
      <c r="K693" s="301"/>
      <c r="L693" s="301"/>
      <c r="M693" s="301"/>
      <c r="N693" s="301"/>
    </row>
    <row r="694" spans="1:14" ht="14" x14ac:dyDescent="0.25">
      <c r="A694" s="299"/>
      <c r="B694" s="18"/>
      <c r="C694" s="398"/>
      <c r="D694" s="301"/>
      <c r="E694" s="399"/>
      <c r="F694" s="399"/>
      <c r="G694" s="399"/>
      <c r="H694" s="301"/>
      <c r="I694" s="301"/>
      <c r="J694" s="301"/>
      <c r="K694" s="301"/>
      <c r="L694" s="301"/>
      <c r="M694" s="301"/>
      <c r="N694" s="301"/>
    </row>
    <row r="695" spans="1:14" ht="14" x14ac:dyDescent="0.25">
      <c r="A695" s="299"/>
      <c r="B695" s="18"/>
      <c r="C695" s="398"/>
      <c r="D695" s="301"/>
      <c r="E695" s="399"/>
      <c r="F695" s="399"/>
      <c r="G695" s="399"/>
      <c r="H695" s="301"/>
      <c r="I695" s="301"/>
      <c r="J695" s="301"/>
      <c r="K695" s="301"/>
      <c r="L695" s="301"/>
      <c r="M695" s="301"/>
      <c r="N695" s="301"/>
    </row>
    <row r="696" spans="1:14" ht="14" x14ac:dyDescent="0.25">
      <c r="A696" s="299"/>
      <c r="B696" s="18"/>
      <c r="C696" s="398"/>
      <c r="D696" s="301"/>
      <c r="E696" s="399"/>
      <c r="F696" s="399"/>
      <c r="G696" s="399"/>
      <c r="H696" s="301"/>
      <c r="I696" s="301"/>
      <c r="J696" s="301"/>
      <c r="K696" s="301"/>
      <c r="L696" s="301"/>
      <c r="M696" s="301"/>
      <c r="N696" s="301"/>
    </row>
    <row r="697" spans="1:14" ht="14" x14ac:dyDescent="0.25">
      <c r="A697" s="299"/>
      <c r="B697" s="18"/>
      <c r="C697" s="398"/>
      <c r="D697" s="301"/>
      <c r="E697" s="399"/>
      <c r="F697" s="399"/>
      <c r="G697" s="399"/>
      <c r="H697" s="301"/>
      <c r="I697" s="301"/>
      <c r="J697" s="301"/>
      <c r="K697" s="301"/>
      <c r="L697" s="301"/>
      <c r="M697" s="301"/>
      <c r="N697" s="301"/>
    </row>
    <row r="698" spans="1:14" ht="14" x14ac:dyDescent="0.25">
      <c r="A698" s="299"/>
      <c r="B698" s="18"/>
      <c r="C698" s="398"/>
      <c r="D698" s="301"/>
      <c r="E698" s="399"/>
      <c r="F698" s="399"/>
      <c r="G698" s="399"/>
      <c r="H698" s="301"/>
      <c r="I698" s="301"/>
      <c r="J698" s="301"/>
      <c r="K698" s="301"/>
      <c r="L698" s="301"/>
      <c r="M698" s="301"/>
      <c r="N698" s="301"/>
    </row>
    <row r="699" spans="1:14" ht="14" x14ac:dyDescent="0.25">
      <c r="A699" s="299"/>
      <c r="B699" s="18"/>
      <c r="C699" s="398"/>
      <c r="D699" s="301"/>
      <c r="E699" s="399"/>
      <c r="F699" s="399"/>
      <c r="G699" s="399"/>
      <c r="H699" s="301"/>
      <c r="I699" s="301"/>
      <c r="J699" s="301"/>
      <c r="K699" s="301"/>
      <c r="L699" s="301"/>
      <c r="M699" s="301"/>
      <c r="N699" s="301"/>
    </row>
    <row r="700" spans="1:14" ht="14" x14ac:dyDescent="0.25">
      <c r="A700" s="299"/>
      <c r="B700" s="18"/>
      <c r="C700" s="398"/>
      <c r="D700" s="301"/>
      <c r="E700" s="399"/>
      <c r="F700" s="399"/>
      <c r="G700" s="399"/>
      <c r="H700" s="301"/>
      <c r="I700" s="301"/>
      <c r="J700" s="301"/>
      <c r="K700" s="301"/>
      <c r="L700" s="301"/>
      <c r="M700" s="301"/>
      <c r="N700" s="301"/>
    </row>
    <row r="701" spans="1:14" ht="14" x14ac:dyDescent="0.25">
      <c r="A701" s="299"/>
      <c r="B701" s="18"/>
      <c r="C701" s="398"/>
      <c r="D701" s="301"/>
      <c r="E701" s="399"/>
      <c r="F701" s="399"/>
      <c r="G701" s="399"/>
      <c r="H701" s="301"/>
      <c r="I701" s="301"/>
      <c r="J701" s="301"/>
      <c r="K701" s="301"/>
      <c r="L701" s="301"/>
      <c r="M701" s="301"/>
      <c r="N701" s="301"/>
    </row>
    <row r="702" spans="1:14" ht="14" x14ac:dyDescent="0.25">
      <c r="A702" s="299"/>
      <c r="B702" s="18"/>
      <c r="C702" s="398"/>
      <c r="D702" s="301"/>
      <c r="E702" s="399"/>
      <c r="F702" s="399"/>
      <c r="G702" s="399"/>
      <c r="H702" s="301"/>
      <c r="I702" s="301"/>
      <c r="J702" s="301"/>
      <c r="K702" s="301"/>
      <c r="L702" s="301"/>
      <c r="M702" s="301"/>
      <c r="N702" s="301"/>
    </row>
    <row r="703" spans="1:14" ht="14" x14ac:dyDescent="0.25">
      <c r="A703" s="299"/>
      <c r="B703" s="18"/>
      <c r="C703" s="398"/>
      <c r="D703" s="301"/>
      <c r="E703" s="399"/>
      <c r="F703" s="399"/>
      <c r="G703" s="399"/>
      <c r="H703" s="301"/>
      <c r="I703" s="301"/>
      <c r="J703" s="301"/>
      <c r="K703" s="301"/>
      <c r="L703" s="301"/>
      <c r="M703" s="301"/>
      <c r="N703" s="301"/>
    </row>
    <row r="704" spans="1:14" ht="14" x14ac:dyDescent="0.25">
      <c r="A704" s="299"/>
      <c r="B704" s="18"/>
      <c r="C704" s="398"/>
      <c r="D704" s="301"/>
      <c r="E704" s="399"/>
      <c r="F704" s="399"/>
      <c r="G704" s="399"/>
      <c r="H704" s="301"/>
      <c r="I704" s="301"/>
      <c r="J704" s="301"/>
      <c r="K704" s="301"/>
      <c r="L704" s="301"/>
      <c r="M704" s="301"/>
      <c r="N704" s="301"/>
    </row>
    <row r="705" spans="1:14" ht="14" x14ac:dyDescent="0.25">
      <c r="A705" s="299"/>
      <c r="B705" s="18"/>
      <c r="C705" s="398"/>
      <c r="D705" s="301"/>
      <c r="E705" s="399"/>
      <c r="F705" s="399"/>
      <c r="G705" s="399"/>
      <c r="H705" s="301"/>
      <c r="I705" s="301"/>
      <c r="J705" s="301"/>
      <c r="K705" s="301"/>
      <c r="L705" s="301"/>
      <c r="M705" s="301"/>
      <c r="N705" s="301"/>
    </row>
    <row r="706" spans="1:14" ht="14" x14ac:dyDescent="0.25">
      <c r="A706" s="299"/>
      <c r="B706" s="18"/>
      <c r="C706" s="398"/>
      <c r="D706" s="301"/>
      <c r="E706" s="399"/>
      <c r="F706" s="399"/>
      <c r="G706" s="399"/>
      <c r="H706" s="301"/>
      <c r="I706" s="301"/>
      <c r="J706" s="301"/>
      <c r="K706" s="301"/>
      <c r="L706" s="301"/>
      <c r="M706" s="301"/>
      <c r="N706" s="301"/>
    </row>
    <row r="707" spans="1:14" ht="14" x14ac:dyDescent="0.25">
      <c r="A707" s="299"/>
      <c r="B707" s="18"/>
      <c r="C707" s="398"/>
      <c r="D707" s="301"/>
      <c r="E707" s="399"/>
      <c r="F707" s="399"/>
      <c r="G707" s="399"/>
      <c r="H707" s="301"/>
      <c r="I707" s="301"/>
      <c r="J707" s="301"/>
      <c r="K707" s="301"/>
      <c r="L707" s="301"/>
      <c r="M707" s="301"/>
      <c r="N707" s="301"/>
    </row>
    <row r="708" spans="1:14" ht="14" x14ac:dyDescent="0.25">
      <c r="A708" s="299"/>
      <c r="B708" s="18"/>
      <c r="C708" s="398"/>
      <c r="D708" s="301"/>
      <c r="E708" s="399"/>
      <c r="F708" s="399"/>
      <c r="G708" s="399"/>
      <c r="H708" s="301"/>
      <c r="I708" s="301"/>
      <c r="J708" s="301"/>
      <c r="K708" s="301"/>
      <c r="L708" s="301"/>
      <c r="M708" s="301"/>
      <c r="N708" s="301"/>
    </row>
    <row r="709" spans="1:14" ht="14" x14ac:dyDescent="0.25">
      <c r="A709" s="299"/>
      <c r="B709" s="18"/>
      <c r="C709" s="398"/>
      <c r="D709" s="301"/>
      <c r="E709" s="399"/>
      <c r="F709" s="399"/>
      <c r="G709" s="399"/>
      <c r="H709" s="301"/>
      <c r="I709" s="301"/>
      <c r="J709" s="301"/>
      <c r="K709" s="301"/>
      <c r="L709" s="301"/>
      <c r="M709" s="301"/>
      <c r="N709" s="301"/>
    </row>
    <row r="710" spans="1:14" ht="14" x14ac:dyDescent="0.25">
      <c r="A710" s="299"/>
      <c r="B710" s="18"/>
      <c r="C710" s="398"/>
      <c r="D710" s="301"/>
      <c r="E710" s="399"/>
      <c r="F710" s="399"/>
      <c r="G710" s="399"/>
      <c r="H710" s="301"/>
      <c r="I710" s="301"/>
      <c r="J710" s="301"/>
      <c r="K710" s="301"/>
      <c r="L710" s="301"/>
      <c r="M710" s="301"/>
      <c r="N710" s="301"/>
    </row>
    <row r="711" spans="1:14" ht="14" x14ac:dyDescent="0.25">
      <c r="A711" s="299"/>
      <c r="B711" s="18"/>
      <c r="C711" s="398"/>
      <c r="D711" s="301"/>
      <c r="E711" s="399"/>
      <c r="F711" s="399"/>
      <c r="G711" s="399"/>
      <c r="H711" s="301"/>
      <c r="I711" s="301"/>
      <c r="J711" s="301"/>
      <c r="K711" s="301"/>
      <c r="L711" s="301"/>
      <c r="M711" s="301"/>
      <c r="N711" s="301"/>
    </row>
    <row r="712" spans="1:14" ht="14" x14ac:dyDescent="0.25">
      <c r="A712" s="299"/>
      <c r="B712" s="18"/>
      <c r="C712" s="398"/>
      <c r="D712" s="301"/>
      <c r="E712" s="399"/>
      <c r="F712" s="399"/>
      <c r="G712" s="399"/>
      <c r="H712" s="301"/>
      <c r="I712" s="301"/>
      <c r="J712" s="301"/>
      <c r="K712" s="301"/>
      <c r="L712" s="301"/>
      <c r="M712" s="301"/>
      <c r="N712" s="301"/>
    </row>
    <row r="713" spans="1:14" ht="14" x14ac:dyDescent="0.25">
      <c r="A713" s="299"/>
      <c r="B713" s="18"/>
      <c r="C713" s="398"/>
      <c r="D713" s="301"/>
      <c r="E713" s="399"/>
      <c r="F713" s="399"/>
      <c r="G713" s="399"/>
      <c r="H713" s="301"/>
      <c r="I713" s="301"/>
      <c r="J713" s="301"/>
      <c r="K713" s="301"/>
      <c r="L713" s="301"/>
      <c r="M713" s="301"/>
      <c r="N713" s="301"/>
    </row>
    <row r="714" spans="1:14" ht="14" x14ac:dyDescent="0.25">
      <c r="A714" s="299"/>
      <c r="B714" s="18"/>
      <c r="C714" s="398"/>
      <c r="D714" s="301"/>
      <c r="E714" s="399"/>
      <c r="F714" s="399"/>
      <c r="G714" s="399"/>
      <c r="H714" s="301"/>
      <c r="I714" s="301"/>
      <c r="J714" s="301"/>
      <c r="K714" s="301"/>
      <c r="L714" s="301"/>
      <c r="M714" s="301"/>
      <c r="N714" s="301"/>
    </row>
    <row r="715" spans="1:14" ht="14" x14ac:dyDescent="0.25">
      <c r="A715" s="299"/>
      <c r="B715" s="18"/>
      <c r="C715" s="398"/>
      <c r="D715" s="301"/>
      <c r="E715" s="399"/>
      <c r="F715" s="399"/>
      <c r="G715" s="399"/>
      <c r="H715" s="301"/>
      <c r="I715" s="301"/>
      <c r="J715" s="301"/>
      <c r="K715" s="301"/>
      <c r="L715" s="301"/>
      <c r="M715" s="301"/>
      <c r="N715" s="301"/>
    </row>
    <row r="716" spans="1:14" ht="14" x14ac:dyDescent="0.25">
      <c r="A716" s="299"/>
      <c r="B716" s="18"/>
      <c r="C716" s="398"/>
      <c r="D716" s="301"/>
      <c r="E716" s="399"/>
      <c r="F716" s="399"/>
      <c r="G716" s="399"/>
      <c r="H716" s="301"/>
      <c r="I716" s="301"/>
      <c r="J716" s="301"/>
      <c r="K716" s="301"/>
      <c r="L716" s="301"/>
      <c r="M716" s="301"/>
      <c r="N716" s="301"/>
    </row>
    <row r="717" spans="1:14" ht="14" x14ac:dyDescent="0.25">
      <c r="A717" s="299"/>
      <c r="B717" s="18"/>
      <c r="C717" s="398"/>
      <c r="D717" s="301"/>
      <c r="E717" s="399"/>
      <c r="F717" s="399"/>
      <c r="G717" s="399"/>
      <c r="H717" s="301"/>
      <c r="I717" s="301"/>
      <c r="J717" s="301"/>
      <c r="K717" s="301"/>
      <c r="L717" s="301"/>
      <c r="M717" s="301"/>
      <c r="N717" s="301"/>
    </row>
    <row r="718" spans="1:14" ht="14" x14ac:dyDescent="0.25">
      <c r="A718" s="299"/>
      <c r="B718" s="18"/>
      <c r="C718" s="398"/>
      <c r="D718" s="301"/>
      <c r="E718" s="399"/>
      <c r="F718" s="399"/>
      <c r="G718" s="399"/>
      <c r="H718" s="301"/>
      <c r="I718" s="301"/>
      <c r="J718" s="301"/>
      <c r="K718" s="301"/>
      <c r="L718" s="301"/>
      <c r="M718" s="301"/>
      <c r="N718" s="301"/>
    </row>
    <row r="719" spans="1:14" ht="14" x14ac:dyDescent="0.25">
      <c r="A719" s="299"/>
      <c r="B719" s="18"/>
      <c r="C719" s="398"/>
      <c r="D719" s="301"/>
      <c r="E719" s="399"/>
      <c r="F719" s="399"/>
      <c r="G719" s="399"/>
      <c r="H719" s="301"/>
      <c r="I719" s="301"/>
      <c r="J719" s="301"/>
      <c r="K719" s="301"/>
      <c r="L719" s="301"/>
      <c r="M719" s="301"/>
      <c r="N719" s="301"/>
    </row>
    <row r="720" spans="1:14" ht="14" x14ac:dyDescent="0.25">
      <c r="A720" s="299"/>
      <c r="B720" s="18"/>
      <c r="C720" s="398"/>
      <c r="D720" s="301"/>
      <c r="E720" s="399"/>
      <c r="F720" s="399"/>
      <c r="G720" s="399"/>
      <c r="H720" s="301"/>
      <c r="I720" s="301"/>
      <c r="J720" s="301"/>
      <c r="K720" s="301"/>
      <c r="L720" s="301"/>
      <c r="M720" s="301"/>
      <c r="N720" s="301"/>
    </row>
    <row r="721" spans="1:14" ht="14" x14ac:dyDescent="0.25">
      <c r="A721" s="299"/>
      <c r="B721" s="18"/>
      <c r="C721" s="398"/>
      <c r="D721" s="301"/>
      <c r="E721" s="399"/>
      <c r="F721" s="399"/>
      <c r="G721" s="399"/>
      <c r="H721" s="301"/>
      <c r="I721" s="301"/>
      <c r="J721" s="301"/>
      <c r="K721" s="301"/>
      <c r="L721" s="301"/>
      <c r="M721" s="301"/>
      <c r="N721" s="301"/>
    </row>
    <row r="722" spans="1:14" ht="14" x14ac:dyDescent="0.25">
      <c r="A722" s="299"/>
      <c r="B722" s="18"/>
      <c r="C722" s="398"/>
      <c r="D722" s="301"/>
      <c r="E722" s="399"/>
      <c r="F722" s="399"/>
      <c r="G722" s="399"/>
      <c r="H722" s="301"/>
      <c r="I722" s="301"/>
      <c r="J722" s="301"/>
      <c r="K722" s="301"/>
      <c r="L722" s="301"/>
      <c r="M722" s="301"/>
      <c r="N722" s="301"/>
    </row>
    <row r="723" spans="1:14" ht="14" x14ac:dyDescent="0.25">
      <c r="A723" s="299"/>
      <c r="B723" s="18"/>
      <c r="C723" s="398"/>
      <c r="D723" s="301"/>
      <c r="E723" s="399"/>
      <c r="F723" s="399"/>
      <c r="G723" s="399"/>
      <c r="H723" s="301"/>
      <c r="I723" s="301"/>
      <c r="J723" s="301"/>
      <c r="K723" s="301"/>
      <c r="L723" s="301"/>
      <c r="M723" s="301"/>
      <c r="N723" s="301"/>
    </row>
    <row r="724" spans="1:14" ht="14" x14ac:dyDescent="0.25">
      <c r="A724" s="299"/>
      <c r="B724" s="18"/>
      <c r="C724" s="398"/>
      <c r="D724" s="301"/>
      <c r="E724" s="399"/>
      <c r="F724" s="399"/>
      <c r="G724" s="399"/>
      <c r="H724" s="301"/>
      <c r="I724" s="301"/>
      <c r="J724" s="301"/>
      <c r="K724" s="301"/>
      <c r="L724" s="301"/>
      <c r="M724" s="301"/>
      <c r="N724" s="301"/>
    </row>
    <row r="725" spans="1:14" ht="14" x14ac:dyDescent="0.25">
      <c r="A725" s="299"/>
      <c r="B725" s="18"/>
      <c r="C725" s="398"/>
      <c r="D725" s="301"/>
      <c r="E725" s="399"/>
      <c r="F725" s="399"/>
      <c r="G725" s="399"/>
      <c r="H725" s="301"/>
      <c r="I725" s="301"/>
      <c r="J725" s="301"/>
      <c r="K725" s="301"/>
      <c r="L725" s="301"/>
      <c r="M725" s="301"/>
      <c r="N725" s="301"/>
    </row>
    <row r="726" spans="1:14" ht="14" x14ac:dyDescent="0.25">
      <c r="A726" s="299"/>
      <c r="B726" s="18"/>
      <c r="C726" s="398"/>
      <c r="D726" s="301"/>
      <c r="E726" s="399"/>
      <c r="F726" s="399"/>
      <c r="G726" s="399"/>
      <c r="H726" s="301"/>
      <c r="I726" s="301"/>
      <c r="J726" s="301"/>
      <c r="K726" s="301"/>
      <c r="L726" s="301"/>
      <c r="M726" s="301"/>
      <c r="N726" s="301"/>
    </row>
    <row r="727" spans="1:14" ht="14" x14ac:dyDescent="0.25">
      <c r="A727" s="299"/>
      <c r="B727" s="18"/>
      <c r="C727" s="398"/>
      <c r="D727" s="301"/>
      <c r="E727" s="399"/>
      <c r="F727" s="399"/>
      <c r="G727" s="399"/>
      <c r="H727" s="301"/>
      <c r="I727" s="301"/>
      <c r="J727" s="301"/>
      <c r="K727" s="301"/>
      <c r="L727" s="301"/>
      <c r="M727" s="301"/>
      <c r="N727" s="301"/>
    </row>
    <row r="728" spans="1:14" ht="14" x14ac:dyDescent="0.25">
      <c r="A728" s="299"/>
      <c r="B728" s="18"/>
      <c r="C728" s="398"/>
      <c r="D728" s="301"/>
      <c r="E728" s="399"/>
      <c r="F728" s="399"/>
      <c r="G728" s="399"/>
      <c r="H728" s="301"/>
      <c r="I728" s="301"/>
      <c r="J728" s="301"/>
      <c r="K728" s="301"/>
      <c r="L728" s="301"/>
      <c r="M728" s="301"/>
      <c r="N728" s="301"/>
    </row>
    <row r="729" spans="1:14" ht="14" x14ac:dyDescent="0.25">
      <c r="A729" s="299"/>
      <c r="B729" s="18"/>
      <c r="C729" s="398"/>
      <c r="D729" s="301"/>
      <c r="E729" s="399"/>
      <c r="F729" s="399"/>
      <c r="G729" s="399"/>
      <c r="H729" s="301"/>
      <c r="I729" s="301"/>
      <c r="J729" s="301"/>
      <c r="K729" s="301"/>
      <c r="L729" s="301"/>
      <c r="M729" s="301"/>
      <c r="N729" s="301"/>
    </row>
    <row r="730" spans="1:14" ht="14" x14ac:dyDescent="0.25">
      <c r="A730" s="299"/>
      <c r="B730" s="18"/>
      <c r="C730" s="398"/>
      <c r="D730" s="301"/>
      <c r="E730" s="399"/>
      <c r="F730" s="399"/>
      <c r="G730" s="399"/>
      <c r="H730" s="301"/>
      <c r="I730" s="301"/>
      <c r="J730" s="301"/>
      <c r="K730" s="301"/>
      <c r="L730" s="301"/>
      <c r="M730" s="301"/>
      <c r="N730" s="301"/>
    </row>
    <row r="731" spans="1:14" ht="14" x14ac:dyDescent="0.25">
      <c r="A731" s="299"/>
      <c r="B731" s="18"/>
      <c r="C731" s="398"/>
      <c r="D731" s="301"/>
      <c r="E731" s="399"/>
      <c r="F731" s="399"/>
      <c r="G731" s="399"/>
      <c r="H731" s="301"/>
      <c r="I731" s="301"/>
      <c r="J731" s="301"/>
      <c r="K731" s="301"/>
      <c r="L731" s="301"/>
      <c r="M731" s="301"/>
      <c r="N731" s="301"/>
    </row>
    <row r="732" spans="1:14" ht="14" x14ac:dyDescent="0.25">
      <c r="A732" s="299"/>
      <c r="B732" s="18"/>
      <c r="C732" s="398"/>
      <c r="D732" s="301"/>
      <c r="E732" s="399"/>
      <c r="F732" s="399"/>
      <c r="G732" s="399"/>
      <c r="H732" s="301"/>
      <c r="I732" s="301"/>
      <c r="J732" s="301"/>
      <c r="K732" s="301"/>
      <c r="L732" s="301"/>
      <c r="M732" s="301"/>
      <c r="N732" s="301"/>
    </row>
    <row r="733" spans="1:14" ht="14" x14ac:dyDescent="0.25">
      <c r="A733" s="299"/>
      <c r="B733" s="18"/>
      <c r="C733" s="398"/>
      <c r="D733" s="301"/>
      <c r="E733" s="399"/>
      <c r="F733" s="399"/>
      <c r="G733" s="399"/>
      <c r="H733" s="301"/>
      <c r="I733" s="301"/>
      <c r="J733" s="301"/>
      <c r="K733" s="301"/>
      <c r="L733" s="301"/>
      <c r="M733" s="301"/>
      <c r="N733" s="301"/>
    </row>
    <row r="734" spans="1:14" ht="14" x14ac:dyDescent="0.25">
      <c r="A734" s="299"/>
      <c r="B734" s="18"/>
      <c r="C734" s="398"/>
      <c r="D734" s="301"/>
      <c r="E734" s="399"/>
      <c r="F734" s="399"/>
      <c r="G734" s="399"/>
      <c r="H734" s="301"/>
      <c r="I734" s="301"/>
      <c r="J734" s="301"/>
      <c r="K734" s="301"/>
      <c r="L734" s="301"/>
      <c r="M734" s="301"/>
      <c r="N734" s="301"/>
    </row>
    <row r="735" spans="1:14" ht="14" x14ac:dyDescent="0.25">
      <c r="A735" s="299"/>
      <c r="B735" s="18"/>
      <c r="C735" s="398"/>
      <c r="D735" s="301"/>
      <c r="E735" s="399"/>
      <c r="F735" s="399"/>
      <c r="G735" s="399"/>
      <c r="H735" s="301"/>
      <c r="I735" s="301"/>
      <c r="J735" s="301"/>
      <c r="K735" s="301"/>
      <c r="L735" s="301"/>
      <c r="M735" s="301"/>
      <c r="N735" s="301"/>
    </row>
    <row r="736" spans="1:14" ht="14" x14ac:dyDescent="0.25">
      <c r="A736" s="299"/>
      <c r="B736" s="18"/>
      <c r="C736" s="398"/>
      <c r="D736" s="301"/>
      <c r="E736" s="399"/>
      <c r="F736" s="399"/>
      <c r="G736" s="399"/>
      <c r="H736" s="301"/>
      <c r="I736" s="301"/>
      <c r="J736" s="301"/>
      <c r="K736" s="301"/>
      <c r="L736" s="301"/>
      <c r="M736" s="301"/>
      <c r="N736" s="301"/>
    </row>
    <row r="737" spans="1:14" ht="14" x14ac:dyDescent="0.25">
      <c r="A737" s="299"/>
      <c r="B737" s="18"/>
      <c r="C737" s="398"/>
      <c r="D737" s="301"/>
      <c r="E737" s="399"/>
      <c r="F737" s="399"/>
      <c r="G737" s="399"/>
      <c r="H737" s="301"/>
      <c r="I737" s="301"/>
      <c r="J737" s="301"/>
      <c r="K737" s="301"/>
      <c r="L737" s="301"/>
      <c r="M737" s="301"/>
      <c r="N737" s="301"/>
    </row>
    <row r="738" spans="1:14" ht="14" x14ac:dyDescent="0.25">
      <c r="A738" s="299"/>
      <c r="B738" s="18"/>
      <c r="C738" s="398"/>
      <c r="D738" s="301"/>
      <c r="E738" s="399"/>
      <c r="F738" s="399"/>
      <c r="G738" s="399"/>
      <c r="H738" s="301"/>
      <c r="I738" s="301"/>
      <c r="J738" s="301"/>
      <c r="K738" s="301"/>
      <c r="L738" s="301"/>
      <c r="M738" s="301"/>
      <c r="N738" s="301"/>
    </row>
    <row r="739" spans="1:14" ht="14" x14ac:dyDescent="0.25">
      <c r="A739" s="299"/>
      <c r="B739" s="18"/>
      <c r="C739" s="398"/>
      <c r="D739" s="301"/>
      <c r="E739" s="399"/>
      <c r="F739" s="399"/>
      <c r="G739" s="399"/>
      <c r="H739" s="301"/>
      <c r="I739" s="301"/>
      <c r="J739" s="301"/>
      <c r="K739" s="301"/>
      <c r="L739" s="301"/>
      <c r="M739" s="301"/>
      <c r="N739" s="301"/>
    </row>
    <row r="740" spans="1:14" ht="14" x14ac:dyDescent="0.25">
      <c r="A740" s="299"/>
      <c r="B740" s="18"/>
      <c r="C740" s="398"/>
      <c r="D740" s="301"/>
      <c r="E740" s="399"/>
      <c r="F740" s="399"/>
      <c r="G740" s="399"/>
      <c r="H740" s="301"/>
      <c r="I740" s="301"/>
      <c r="J740" s="301"/>
      <c r="K740" s="301"/>
      <c r="L740" s="301"/>
      <c r="M740" s="301"/>
      <c r="N740" s="301"/>
    </row>
    <row r="741" spans="1:14" ht="14" x14ac:dyDescent="0.25">
      <c r="A741" s="299"/>
      <c r="B741" s="18"/>
      <c r="C741" s="398"/>
      <c r="D741" s="301"/>
      <c r="E741" s="399"/>
      <c r="F741" s="399"/>
      <c r="G741" s="399"/>
      <c r="H741" s="301"/>
      <c r="I741" s="301"/>
      <c r="J741" s="301"/>
      <c r="K741" s="301"/>
      <c r="L741" s="301"/>
      <c r="M741" s="301"/>
      <c r="N741" s="301"/>
    </row>
    <row r="742" spans="1:14" ht="14" x14ac:dyDescent="0.25">
      <c r="A742" s="299"/>
      <c r="B742" s="18"/>
      <c r="C742" s="398"/>
      <c r="D742" s="301"/>
      <c r="E742" s="399"/>
      <c r="F742" s="399"/>
      <c r="G742" s="399"/>
      <c r="H742" s="301"/>
      <c r="I742" s="301"/>
      <c r="J742" s="301"/>
      <c r="K742" s="301"/>
      <c r="L742" s="301"/>
      <c r="M742" s="301"/>
      <c r="N742" s="301"/>
    </row>
    <row r="743" spans="1:14" ht="14" x14ac:dyDescent="0.25">
      <c r="A743" s="299"/>
      <c r="B743" s="18"/>
      <c r="C743" s="398"/>
      <c r="D743" s="301"/>
      <c r="E743" s="399"/>
      <c r="F743" s="399"/>
      <c r="G743" s="399"/>
      <c r="H743" s="301"/>
      <c r="I743" s="301"/>
      <c r="J743" s="301"/>
      <c r="K743" s="301"/>
      <c r="L743" s="301"/>
      <c r="M743" s="301"/>
      <c r="N743" s="301"/>
    </row>
    <row r="744" spans="1:14" ht="14" x14ac:dyDescent="0.25">
      <c r="A744" s="299"/>
      <c r="B744" s="18"/>
      <c r="C744" s="398"/>
      <c r="D744" s="301"/>
      <c r="E744" s="399"/>
      <c r="F744" s="399"/>
      <c r="G744" s="399"/>
      <c r="H744" s="301"/>
      <c r="I744" s="301"/>
      <c r="J744" s="301"/>
      <c r="K744" s="301"/>
      <c r="L744" s="301"/>
      <c r="M744" s="301"/>
      <c r="N744" s="301"/>
    </row>
    <row r="745" spans="1:14" ht="14" x14ac:dyDescent="0.25">
      <c r="A745" s="299"/>
      <c r="B745" s="18"/>
      <c r="C745" s="398"/>
      <c r="D745" s="301"/>
      <c r="E745" s="399"/>
      <c r="F745" s="399"/>
      <c r="G745" s="399"/>
      <c r="H745" s="301"/>
      <c r="I745" s="301"/>
      <c r="J745" s="301"/>
      <c r="K745" s="301"/>
      <c r="L745" s="301"/>
      <c r="M745" s="301"/>
      <c r="N745" s="301"/>
    </row>
    <row r="746" spans="1:14" ht="14" x14ac:dyDescent="0.25">
      <c r="A746" s="299"/>
      <c r="B746" s="18"/>
      <c r="C746" s="398"/>
      <c r="D746" s="301"/>
      <c r="E746" s="399"/>
      <c r="F746" s="399"/>
      <c r="G746" s="399"/>
      <c r="H746" s="301"/>
      <c r="I746" s="301"/>
      <c r="J746" s="301"/>
      <c r="K746" s="301"/>
      <c r="L746" s="301"/>
      <c r="M746" s="301"/>
      <c r="N746" s="301"/>
    </row>
    <row r="747" spans="1:14" ht="14" x14ac:dyDescent="0.25">
      <c r="A747" s="299"/>
      <c r="B747" s="18"/>
      <c r="C747" s="398"/>
      <c r="D747" s="301"/>
      <c r="E747" s="399"/>
      <c r="F747" s="399"/>
      <c r="G747" s="399"/>
      <c r="H747" s="301"/>
      <c r="I747" s="301"/>
      <c r="J747" s="301"/>
      <c r="K747" s="301"/>
      <c r="L747" s="301"/>
      <c r="M747" s="301"/>
      <c r="N747" s="301"/>
    </row>
    <row r="748" spans="1:14" ht="14" x14ac:dyDescent="0.25">
      <c r="A748" s="299"/>
      <c r="B748" s="18"/>
      <c r="C748" s="398"/>
      <c r="D748" s="301"/>
      <c r="E748" s="399"/>
      <c r="F748" s="399"/>
      <c r="G748" s="399"/>
      <c r="H748" s="301"/>
      <c r="I748" s="301"/>
      <c r="J748" s="301"/>
      <c r="K748" s="301"/>
      <c r="L748" s="301"/>
      <c r="M748" s="301"/>
      <c r="N748" s="301"/>
    </row>
    <row r="749" spans="1:14" ht="14" x14ac:dyDescent="0.25">
      <c r="A749" s="299"/>
      <c r="B749" s="18"/>
      <c r="C749" s="398"/>
      <c r="D749" s="301"/>
      <c r="E749" s="399"/>
      <c r="F749" s="399"/>
      <c r="G749" s="399"/>
      <c r="H749" s="301"/>
      <c r="I749" s="301"/>
      <c r="J749" s="301"/>
      <c r="K749" s="301"/>
      <c r="L749" s="301"/>
      <c r="M749" s="301"/>
      <c r="N749" s="301"/>
    </row>
    <row r="750" spans="1:14" ht="14" x14ac:dyDescent="0.25">
      <c r="A750" s="299"/>
      <c r="B750" s="18"/>
      <c r="C750" s="398"/>
      <c r="D750" s="301"/>
      <c r="E750" s="399"/>
      <c r="F750" s="399"/>
      <c r="G750" s="399"/>
      <c r="H750" s="301"/>
      <c r="I750" s="301"/>
      <c r="J750" s="301"/>
      <c r="K750" s="301"/>
      <c r="L750" s="301"/>
      <c r="M750" s="301"/>
      <c r="N750" s="301"/>
    </row>
    <row r="751" spans="1:14" ht="14" x14ac:dyDescent="0.25">
      <c r="A751" s="299"/>
      <c r="B751" s="18"/>
      <c r="C751" s="398"/>
      <c r="D751" s="301"/>
      <c r="E751" s="399"/>
      <c r="F751" s="399"/>
      <c r="G751" s="399"/>
      <c r="H751" s="301"/>
      <c r="I751" s="301"/>
      <c r="J751" s="301"/>
      <c r="K751" s="301"/>
      <c r="L751" s="301"/>
      <c r="M751" s="301"/>
      <c r="N751" s="301"/>
    </row>
    <row r="752" spans="1:14" ht="14" x14ac:dyDescent="0.25">
      <c r="A752" s="299"/>
      <c r="B752" s="18"/>
      <c r="C752" s="398"/>
      <c r="D752" s="301"/>
      <c r="E752" s="399"/>
      <c r="F752" s="399"/>
      <c r="G752" s="399"/>
      <c r="H752" s="301"/>
      <c r="I752" s="301"/>
      <c r="J752" s="301"/>
      <c r="K752" s="301"/>
      <c r="L752" s="301"/>
      <c r="M752" s="301"/>
      <c r="N752" s="301"/>
    </row>
    <row r="753" spans="1:14" ht="14" x14ac:dyDescent="0.25">
      <c r="A753" s="299"/>
      <c r="B753" s="18"/>
      <c r="C753" s="398"/>
      <c r="D753" s="301"/>
      <c r="E753" s="399"/>
      <c r="F753" s="399"/>
      <c r="G753" s="399"/>
      <c r="H753" s="301"/>
      <c r="I753" s="301"/>
      <c r="J753" s="301"/>
      <c r="K753" s="301"/>
      <c r="L753" s="301"/>
      <c r="M753" s="301"/>
      <c r="N753" s="301"/>
    </row>
    <row r="754" spans="1:14" ht="14" x14ac:dyDescent="0.25">
      <c r="A754" s="299"/>
      <c r="B754" s="18"/>
      <c r="C754" s="398"/>
      <c r="D754" s="301"/>
      <c r="E754" s="399"/>
      <c r="F754" s="399"/>
      <c r="G754" s="399"/>
      <c r="H754" s="301"/>
      <c r="I754" s="301"/>
      <c r="J754" s="301"/>
      <c r="K754" s="301"/>
      <c r="L754" s="301"/>
      <c r="M754" s="301"/>
      <c r="N754" s="301"/>
    </row>
    <row r="755" spans="1:14" ht="14" x14ac:dyDescent="0.25">
      <c r="A755" s="299"/>
      <c r="B755" s="18"/>
      <c r="C755" s="398"/>
      <c r="D755" s="301"/>
      <c r="E755" s="399"/>
      <c r="F755" s="399"/>
      <c r="G755" s="399"/>
      <c r="H755" s="301"/>
      <c r="I755" s="301"/>
      <c r="J755" s="301"/>
      <c r="K755" s="301"/>
      <c r="L755" s="301"/>
      <c r="M755" s="301"/>
      <c r="N755" s="301"/>
    </row>
    <row r="756" spans="1:14" ht="14" x14ac:dyDescent="0.25">
      <c r="A756" s="299"/>
      <c r="B756" s="18"/>
      <c r="C756" s="398"/>
      <c r="D756" s="301"/>
      <c r="E756" s="399"/>
      <c r="F756" s="399"/>
      <c r="G756" s="399"/>
      <c r="H756" s="301"/>
      <c r="I756" s="301"/>
      <c r="J756" s="301"/>
      <c r="K756" s="301"/>
      <c r="L756" s="301"/>
      <c r="M756" s="301"/>
      <c r="N756" s="301"/>
    </row>
    <row r="757" spans="1:14" ht="14" x14ac:dyDescent="0.25">
      <c r="A757" s="299"/>
      <c r="B757" s="18"/>
      <c r="C757" s="398"/>
      <c r="D757" s="301"/>
      <c r="E757" s="399"/>
      <c r="F757" s="399"/>
      <c r="G757" s="399"/>
      <c r="H757" s="301"/>
      <c r="I757" s="301"/>
      <c r="J757" s="301"/>
      <c r="K757" s="301"/>
      <c r="L757" s="301"/>
      <c r="M757" s="301"/>
      <c r="N757" s="301"/>
    </row>
    <row r="758" spans="1:14" ht="14" x14ac:dyDescent="0.25">
      <c r="A758" s="299"/>
      <c r="B758" s="18"/>
      <c r="C758" s="398"/>
      <c r="D758" s="301"/>
      <c r="E758" s="399"/>
      <c r="F758" s="399"/>
      <c r="G758" s="399"/>
      <c r="H758" s="301"/>
      <c r="I758" s="301"/>
      <c r="J758" s="301"/>
      <c r="K758" s="301"/>
      <c r="L758" s="301"/>
      <c r="M758" s="301"/>
      <c r="N758" s="301"/>
    </row>
    <row r="759" spans="1:14" ht="14" x14ac:dyDescent="0.25">
      <c r="A759" s="299"/>
      <c r="B759" s="18"/>
      <c r="C759" s="398"/>
      <c r="D759" s="301"/>
      <c r="E759" s="399"/>
      <c r="F759" s="399"/>
      <c r="G759" s="399"/>
      <c r="H759" s="301"/>
      <c r="I759" s="301"/>
      <c r="J759" s="301"/>
      <c r="K759" s="301"/>
      <c r="L759" s="301"/>
      <c r="M759" s="301"/>
      <c r="N759" s="301"/>
    </row>
    <row r="760" spans="1:14" ht="14" x14ac:dyDescent="0.25">
      <c r="A760" s="299"/>
      <c r="B760" s="18"/>
      <c r="C760" s="398"/>
      <c r="D760" s="301"/>
      <c r="E760" s="399"/>
      <c r="F760" s="399"/>
      <c r="G760" s="399"/>
      <c r="H760" s="301"/>
      <c r="I760" s="301"/>
      <c r="J760" s="301"/>
      <c r="K760" s="301"/>
      <c r="L760" s="301"/>
      <c r="M760" s="301"/>
      <c r="N760" s="301"/>
    </row>
    <row r="761" spans="1:14" ht="14" x14ac:dyDescent="0.25">
      <c r="A761" s="299"/>
      <c r="B761" s="18"/>
      <c r="C761" s="398"/>
      <c r="D761" s="301"/>
      <c r="E761" s="399"/>
      <c r="F761" s="399"/>
      <c r="G761" s="399"/>
      <c r="H761" s="301"/>
      <c r="I761" s="301"/>
      <c r="J761" s="301"/>
      <c r="K761" s="301"/>
      <c r="L761" s="301"/>
      <c r="M761" s="301"/>
      <c r="N761" s="301"/>
    </row>
    <row r="762" spans="1:14" ht="14" x14ac:dyDescent="0.25">
      <c r="A762" s="299"/>
      <c r="B762" s="18"/>
      <c r="C762" s="398"/>
      <c r="D762" s="301"/>
      <c r="E762" s="399"/>
      <c r="F762" s="399"/>
      <c r="G762" s="399"/>
      <c r="H762" s="301"/>
      <c r="I762" s="301"/>
      <c r="J762" s="301"/>
      <c r="K762" s="301"/>
      <c r="L762" s="301"/>
      <c r="M762" s="301"/>
      <c r="N762" s="301"/>
    </row>
    <row r="763" spans="1:14" ht="14" x14ac:dyDescent="0.25">
      <c r="A763" s="299"/>
      <c r="B763" s="18"/>
      <c r="C763" s="398"/>
      <c r="D763" s="301"/>
      <c r="E763" s="399"/>
      <c r="F763" s="399"/>
      <c r="G763" s="399"/>
      <c r="H763" s="301"/>
      <c r="I763" s="301"/>
      <c r="J763" s="301"/>
      <c r="K763" s="301"/>
      <c r="L763" s="301"/>
      <c r="M763" s="301"/>
      <c r="N763" s="301"/>
    </row>
    <row r="764" spans="1:14" ht="14" x14ac:dyDescent="0.25">
      <c r="A764" s="299"/>
      <c r="B764" s="18"/>
      <c r="C764" s="398"/>
      <c r="D764" s="301"/>
      <c r="E764" s="399"/>
      <c r="F764" s="399"/>
      <c r="G764" s="399"/>
      <c r="H764" s="301"/>
      <c r="I764" s="301"/>
      <c r="J764" s="301"/>
      <c r="K764" s="301"/>
      <c r="L764" s="301"/>
      <c r="M764" s="301"/>
      <c r="N764" s="301"/>
    </row>
    <row r="765" spans="1:14" ht="14" x14ac:dyDescent="0.25">
      <c r="A765" s="299"/>
      <c r="B765" s="18"/>
      <c r="C765" s="398"/>
      <c r="D765" s="301"/>
      <c r="E765" s="399"/>
      <c r="F765" s="399"/>
      <c r="G765" s="399"/>
      <c r="H765" s="301"/>
      <c r="I765" s="301"/>
      <c r="J765" s="301"/>
      <c r="K765" s="301"/>
      <c r="L765" s="301"/>
      <c r="M765" s="301"/>
      <c r="N765" s="301"/>
    </row>
    <row r="766" spans="1:14" ht="14" x14ac:dyDescent="0.25">
      <c r="A766" s="299"/>
      <c r="B766" s="18"/>
      <c r="C766" s="398"/>
      <c r="D766" s="301"/>
      <c r="E766" s="399"/>
      <c r="F766" s="399"/>
      <c r="G766" s="399"/>
      <c r="H766" s="301"/>
      <c r="I766" s="301"/>
      <c r="J766" s="301"/>
      <c r="K766" s="301"/>
      <c r="L766" s="301"/>
      <c r="M766" s="301"/>
      <c r="N766" s="301"/>
    </row>
    <row r="767" spans="1:14" ht="14" x14ac:dyDescent="0.25">
      <c r="A767" s="299"/>
      <c r="B767" s="18"/>
      <c r="C767" s="398"/>
      <c r="D767" s="301"/>
      <c r="E767" s="399"/>
      <c r="F767" s="399"/>
      <c r="G767" s="399"/>
      <c r="H767" s="301"/>
      <c r="I767" s="301"/>
      <c r="J767" s="301"/>
      <c r="K767" s="301"/>
      <c r="L767" s="301"/>
      <c r="M767" s="301"/>
      <c r="N767" s="301"/>
    </row>
    <row r="768" spans="1:14" ht="14" x14ac:dyDescent="0.25">
      <c r="A768" s="299"/>
      <c r="B768" s="18"/>
      <c r="C768" s="398"/>
      <c r="D768" s="301"/>
      <c r="E768" s="399"/>
      <c r="F768" s="399"/>
      <c r="G768" s="399"/>
      <c r="H768" s="301"/>
      <c r="I768" s="301"/>
      <c r="J768" s="301"/>
      <c r="K768" s="301"/>
      <c r="L768" s="301"/>
      <c r="M768" s="301"/>
      <c r="N768" s="301"/>
    </row>
    <row r="769" spans="1:14" ht="14" x14ac:dyDescent="0.25">
      <c r="A769" s="299"/>
      <c r="B769" s="18"/>
      <c r="C769" s="398"/>
      <c r="D769" s="301"/>
      <c r="E769" s="399"/>
      <c r="F769" s="399"/>
      <c r="G769" s="399"/>
      <c r="H769" s="301"/>
      <c r="I769" s="301"/>
      <c r="J769" s="301"/>
      <c r="K769" s="301"/>
      <c r="L769" s="301"/>
      <c r="M769" s="301"/>
      <c r="N769" s="301"/>
    </row>
    <row r="770" spans="1:14" ht="14" x14ac:dyDescent="0.25">
      <c r="A770" s="299"/>
      <c r="B770" s="18"/>
      <c r="C770" s="398"/>
      <c r="D770" s="301"/>
      <c r="E770" s="399"/>
      <c r="F770" s="399"/>
      <c r="G770" s="399"/>
      <c r="H770" s="301"/>
      <c r="I770" s="301"/>
      <c r="J770" s="301"/>
      <c r="K770" s="301"/>
      <c r="L770" s="301"/>
      <c r="M770" s="301"/>
      <c r="N770" s="301"/>
    </row>
    <row r="771" spans="1:14" ht="14" x14ac:dyDescent="0.25">
      <c r="A771" s="299"/>
      <c r="B771" s="18"/>
      <c r="C771" s="398"/>
      <c r="D771" s="301"/>
      <c r="E771" s="399"/>
      <c r="F771" s="399"/>
      <c r="G771" s="399"/>
      <c r="H771" s="301"/>
      <c r="I771" s="301"/>
      <c r="J771" s="301"/>
      <c r="K771" s="301"/>
      <c r="L771" s="301"/>
      <c r="M771" s="301"/>
      <c r="N771" s="301"/>
    </row>
    <row r="772" spans="1:14" ht="14" x14ac:dyDescent="0.25">
      <c r="A772" s="299"/>
      <c r="B772" s="18"/>
      <c r="C772" s="398"/>
      <c r="D772" s="301"/>
      <c r="E772" s="399"/>
      <c r="F772" s="399"/>
      <c r="G772" s="399"/>
      <c r="H772" s="301"/>
      <c r="I772" s="301"/>
      <c r="J772" s="301"/>
      <c r="K772" s="301"/>
      <c r="L772" s="301"/>
      <c r="M772" s="301"/>
      <c r="N772" s="301"/>
    </row>
    <row r="773" spans="1:14" ht="14" x14ac:dyDescent="0.25">
      <c r="A773" s="299"/>
      <c r="B773" s="18"/>
      <c r="C773" s="398"/>
      <c r="D773" s="301"/>
      <c r="E773" s="399"/>
      <c r="F773" s="399"/>
      <c r="G773" s="399"/>
      <c r="H773" s="301"/>
      <c r="I773" s="301"/>
      <c r="J773" s="301"/>
      <c r="K773" s="301"/>
      <c r="L773" s="301"/>
      <c r="M773" s="301"/>
      <c r="N773" s="301"/>
    </row>
    <row r="774" spans="1:14" ht="14" x14ac:dyDescent="0.25">
      <c r="A774" s="299"/>
      <c r="B774" s="18"/>
      <c r="C774" s="398"/>
      <c r="D774" s="301"/>
      <c r="E774" s="399"/>
      <c r="F774" s="399"/>
      <c r="G774" s="399"/>
      <c r="H774" s="301"/>
      <c r="I774" s="301"/>
      <c r="J774" s="301"/>
      <c r="K774" s="301"/>
      <c r="L774" s="301"/>
      <c r="M774" s="301"/>
      <c r="N774" s="301"/>
    </row>
    <row r="775" spans="1:14" ht="14" x14ac:dyDescent="0.25">
      <c r="A775" s="299"/>
      <c r="B775" s="18"/>
      <c r="C775" s="398"/>
      <c r="D775" s="301"/>
      <c r="E775" s="399"/>
      <c r="F775" s="399"/>
      <c r="G775" s="399"/>
      <c r="H775" s="301"/>
      <c r="I775" s="301"/>
      <c r="J775" s="301"/>
      <c r="K775" s="301"/>
      <c r="L775" s="301"/>
      <c r="M775" s="301"/>
      <c r="N775" s="301"/>
    </row>
    <row r="776" spans="1:14" ht="14" x14ac:dyDescent="0.25">
      <c r="A776" s="299"/>
      <c r="B776" s="18"/>
      <c r="C776" s="398"/>
      <c r="D776" s="301"/>
      <c r="E776" s="399"/>
      <c r="F776" s="399"/>
      <c r="G776" s="399"/>
      <c r="H776" s="301"/>
      <c r="I776" s="301"/>
      <c r="J776" s="301"/>
      <c r="K776" s="301"/>
      <c r="L776" s="301"/>
      <c r="M776" s="301"/>
      <c r="N776" s="301"/>
    </row>
    <row r="777" spans="1:14" ht="14" x14ac:dyDescent="0.25">
      <c r="A777" s="299"/>
      <c r="B777" s="18"/>
      <c r="C777" s="398"/>
      <c r="D777" s="301"/>
      <c r="E777" s="399"/>
      <c r="F777" s="399"/>
      <c r="G777" s="399"/>
      <c r="H777" s="301"/>
      <c r="I777" s="301"/>
      <c r="J777" s="301"/>
      <c r="K777" s="301"/>
      <c r="L777" s="301"/>
      <c r="M777" s="301"/>
      <c r="N777" s="301"/>
    </row>
    <row r="778" spans="1:14" ht="14" x14ac:dyDescent="0.25">
      <c r="A778" s="299"/>
      <c r="B778" s="18"/>
      <c r="C778" s="398"/>
      <c r="D778" s="301"/>
      <c r="E778" s="399"/>
      <c r="F778" s="399"/>
      <c r="G778" s="399"/>
      <c r="H778" s="301"/>
      <c r="I778" s="301"/>
      <c r="J778" s="301"/>
      <c r="K778" s="301"/>
      <c r="L778" s="301"/>
      <c r="M778" s="301"/>
      <c r="N778" s="301"/>
    </row>
    <row r="779" spans="1:14" ht="14" x14ac:dyDescent="0.25">
      <c r="A779" s="299"/>
      <c r="B779" s="18"/>
      <c r="C779" s="398"/>
      <c r="D779" s="301"/>
      <c r="E779" s="399"/>
      <c r="F779" s="399"/>
      <c r="G779" s="399"/>
      <c r="H779" s="301"/>
      <c r="I779" s="301"/>
      <c r="J779" s="301"/>
      <c r="K779" s="301"/>
      <c r="L779" s="301"/>
      <c r="M779" s="301"/>
      <c r="N779" s="301"/>
    </row>
    <row r="780" spans="1:14" ht="14" x14ac:dyDescent="0.25">
      <c r="A780" s="299"/>
      <c r="B780" s="18"/>
      <c r="C780" s="398"/>
      <c r="D780" s="301"/>
      <c r="E780" s="399"/>
      <c r="F780" s="399"/>
      <c r="G780" s="399"/>
      <c r="H780" s="301"/>
      <c r="I780" s="301"/>
      <c r="J780" s="301"/>
      <c r="K780" s="301"/>
      <c r="L780" s="301"/>
      <c r="M780" s="301"/>
      <c r="N780" s="301"/>
    </row>
    <row r="781" spans="1:14" ht="14" x14ac:dyDescent="0.25">
      <c r="A781" s="299"/>
      <c r="B781" s="18"/>
      <c r="C781" s="398"/>
      <c r="D781" s="301"/>
      <c r="E781" s="399"/>
      <c r="F781" s="399"/>
      <c r="G781" s="399"/>
      <c r="H781" s="301"/>
      <c r="I781" s="301"/>
      <c r="J781" s="301"/>
      <c r="K781" s="301"/>
      <c r="L781" s="301"/>
      <c r="M781" s="301"/>
      <c r="N781" s="301"/>
    </row>
    <row r="782" spans="1:14" ht="14" x14ac:dyDescent="0.25">
      <c r="A782" s="299"/>
      <c r="B782" s="18"/>
      <c r="C782" s="398"/>
      <c r="D782" s="301"/>
      <c r="E782" s="399"/>
      <c r="F782" s="399"/>
      <c r="G782" s="399"/>
      <c r="H782" s="301"/>
      <c r="I782" s="301"/>
      <c r="J782" s="301"/>
      <c r="K782" s="301"/>
      <c r="L782" s="301"/>
      <c r="M782" s="301"/>
      <c r="N782" s="301"/>
    </row>
    <row r="783" spans="1:14" ht="14" x14ac:dyDescent="0.25">
      <c r="A783" s="299"/>
      <c r="B783" s="18"/>
      <c r="C783" s="398"/>
      <c r="D783" s="301"/>
      <c r="E783" s="399"/>
      <c r="F783" s="399"/>
      <c r="G783" s="399"/>
      <c r="H783" s="301"/>
      <c r="I783" s="301"/>
      <c r="J783" s="301"/>
      <c r="K783" s="301"/>
      <c r="L783" s="301"/>
      <c r="M783" s="301"/>
      <c r="N783" s="301"/>
    </row>
    <row r="784" spans="1:14" ht="14" x14ac:dyDescent="0.25">
      <c r="A784" s="299"/>
      <c r="B784" s="18"/>
      <c r="C784" s="398"/>
      <c r="D784" s="301"/>
      <c r="E784" s="399"/>
      <c r="F784" s="399"/>
      <c r="G784" s="399"/>
      <c r="H784" s="301"/>
      <c r="I784" s="301"/>
      <c r="J784" s="301"/>
      <c r="K784" s="301"/>
      <c r="L784" s="301"/>
      <c r="M784" s="301"/>
      <c r="N784" s="301"/>
    </row>
    <row r="785" spans="1:14" ht="14" x14ac:dyDescent="0.25">
      <c r="A785" s="299"/>
      <c r="B785" s="18"/>
      <c r="C785" s="398"/>
      <c r="D785" s="301"/>
      <c r="E785" s="399"/>
      <c r="F785" s="399"/>
      <c r="G785" s="399"/>
      <c r="H785" s="301"/>
      <c r="I785" s="301"/>
      <c r="J785" s="301"/>
      <c r="K785" s="301"/>
      <c r="L785" s="301"/>
      <c r="M785" s="301"/>
      <c r="N785" s="301"/>
    </row>
    <row r="786" spans="1:14" ht="14" x14ac:dyDescent="0.25">
      <c r="A786" s="299"/>
      <c r="B786" s="18"/>
      <c r="C786" s="398"/>
      <c r="D786" s="301"/>
      <c r="E786" s="399"/>
      <c r="F786" s="399"/>
      <c r="G786" s="399"/>
      <c r="H786" s="301"/>
      <c r="I786" s="301"/>
      <c r="J786" s="301"/>
      <c r="K786" s="301"/>
      <c r="L786" s="301"/>
      <c r="M786" s="301"/>
      <c r="N786" s="301"/>
    </row>
    <row r="787" spans="1:14" ht="14" x14ac:dyDescent="0.25">
      <c r="A787" s="299"/>
      <c r="B787" s="18"/>
      <c r="C787" s="398"/>
      <c r="D787" s="301"/>
      <c r="E787" s="399"/>
      <c r="F787" s="399"/>
      <c r="G787" s="399"/>
      <c r="H787" s="301"/>
      <c r="I787" s="301"/>
      <c r="J787" s="301"/>
      <c r="K787" s="301"/>
      <c r="L787" s="301"/>
      <c r="M787" s="301"/>
      <c r="N787" s="301"/>
    </row>
    <row r="788" spans="1:14" ht="14" x14ac:dyDescent="0.25">
      <c r="A788" s="299"/>
      <c r="B788" s="18"/>
      <c r="C788" s="398"/>
      <c r="D788" s="301"/>
      <c r="E788" s="399"/>
      <c r="F788" s="399"/>
      <c r="G788" s="399"/>
      <c r="H788" s="301"/>
      <c r="I788" s="301"/>
      <c r="J788" s="301"/>
      <c r="K788" s="301"/>
      <c r="L788" s="301"/>
      <c r="M788" s="301"/>
      <c r="N788" s="301"/>
    </row>
    <row r="789" spans="1:14" ht="14" x14ac:dyDescent="0.25">
      <c r="A789" s="299"/>
      <c r="B789" s="18"/>
      <c r="C789" s="398"/>
      <c r="D789" s="301"/>
      <c r="E789" s="399"/>
      <c r="F789" s="399"/>
      <c r="G789" s="399"/>
      <c r="H789" s="301"/>
      <c r="I789" s="301"/>
      <c r="J789" s="301"/>
      <c r="K789" s="301"/>
      <c r="L789" s="301"/>
      <c r="M789" s="301"/>
      <c r="N789" s="301"/>
    </row>
    <row r="790" spans="1:14" ht="14" x14ac:dyDescent="0.25">
      <c r="A790" s="299"/>
      <c r="B790" s="18"/>
      <c r="C790" s="398"/>
      <c r="D790" s="301"/>
      <c r="E790" s="399"/>
      <c r="F790" s="399"/>
      <c r="G790" s="399"/>
      <c r="H790" s="301"/>
      <c r="I790" s="301"/>
      <c r="J790" s="301"/>
      <c r="K790" s="301"/>
      <c r="L790" s="301"/>
      <c r="M790" s="301"/>
      <c r="N790" s="301"/>
    </row>
    <row r="791" spans="1:14" ht="14" x14ac:dyDescent="0.25">
      <c r="A791" s="299"/>
      <c r="B791" s="18"/>
      <c r="C791" s="398"/>
      <c r="D791" s="301"/>
      <c r="E791" s="399"/>
      <c r="F791" s="399"/>
      <c r="G791" s="399"/>
      <c r="H791" s="301"/>
      <c r="I791" s="301"/>
      <c r="J791" s="301"/>
      <c r="K791" s="301"/>
      <c r="L791" s="301"/>
      <c r="M791" s="301"/>
      <c r="N791" s="301"/>
    </row>
    <row r="792" spans="1:14" ht="14" x14ac:dyDescent="0.25">
      <c r="A792" s="299"/>
      <c r="B792" s="18"/>
      <c r="C792" s="398"/>
      <c r="D792" s="301"/>
      <c r="E792" s="399"/>
      <c r="F792" s="399"/>
      <c r="G792" s="399"/>
      <c r="H792" s="301"/>
      <c r="I792" s="301"/>
      <c r="J792" s="301"/>
      <c r="K792" s="301"/>
      <c r="L792" s="301"/>
      <c r="M792" s="301"/>
      <c r="N792" s="301"/>
    </row>
    <row r="793" spans="1:14" ht="14" x14ac:dyDescent="0.25">
      <c r="A793" s="299"/>
      <c r="B793" s="18"/>
      <c r="C793" s="398"/>
      <c r="D793" s="301"/>
      <c r="E793" s="399"/>
      <c r="F793" s="399"/>
      <c r="G793" s="399"/>
      <c r="H793" s="301"/>
      <c r="I793" s="301"/>
      <c r="J793" s="301"/>
      <c r="K793" s="301"/>
      <c r="L793" s="301"/>
      <c r="M793" s="301"/>
      <c r="N793" s="301"/>
    </row>
    <row r="794" spans="1:14" ht="14" x14ac:dyDescent="0.25">
      <c r="A794" s="299"/>
      <c r="B794" s="18"/>
      <c r="C794" s="398"/>
      <c r="D794" s="301"/>
      <c r="E794" s="399"/>
      <c r="F794" s="399"/>
      <c r="G794" s="399"/>
      <c r="H794" s="301"/>
      <c r="I794" s="301"/>
      <c r="J794" s="301"/>
      <c r="K794" s="301"/>
      <c r="L794" s="301"/>
      <c r="M794" s="301"/>
      <c r="N794" s="301"/>
    </row>
    <row r="795" spans="1:14" ht="14" x14ac:dyDescent="0.25">
      <c r="A795" s="299"/>
      <c r="B795" s="18"/>
      <c r="C795" s="398"/>
      <c r="D795" s="301"/>
      <c r="E795" s="399"/>
      <c r="F795" s="399"/>
      <c r="G795" s="399"/>
      <c r="H795" s="301"/>
      <c r="I795" s="301"/>
      <c r="J795" s="301"/>
      <c r="K795" s="301"/>
      <c r="L795" s="301"/>
      <c r="M795" s="301"/>
      <c r="N795" s="301"/>
    </row>
    <row r="796" spans="1:14" ht="14" x14ac:dyDescent="0.25">
      <c r="A796" s="299"/>
      <c r="B796" s="18"/>
      <c r="C796" s="398"/>
      <c r="D796" s="301"/>
      <c r="E796" s="399"/>
      <c r="F796" s="399"/>
      <c r="G796" s="399"/>
      <c r="H796" s="301"/>
      <c r="I796" s="301"/>
      <c r="J796" s="301"/>
      <c r="K796" s="301"/>
      <c r="L796" s="301"/>
      <c r="M796" s="301"/>
      <c r="N796" s="301"/>
    </row>
    <row r="797" spans="1:14" ht="14" x14ac:dyDescent="0.25">
      <c r="A797" s="299"/>
      <c r="B797" s="18"/>
      <c r="C797" s="398"/>
      <c r="D797" s="301"/>
      <c r="E797" s="399"/>
      <c r="F797" s="399"/>
      <c r="G797" s="399"/>
      <c r="H797" s="301"/>
      <c r="I797" s="301"/>
      <c r="J797" s="301"/>
      <c r="K797" s="301"/>
      <c r="L797" s="301"/>
      <c r="M797" s="301"/>
      <c r="N797" s="301"/>
    </row>
    <row r="798" spans="1:14" ht="14" x14ac:dyDescent="0.25">
      <c r="A798" s="299"/>
      <c r="B798" s="18"/>
      <c r="C798" s="398"/>
      <c r="D798" s="301"/>
      <c r="E798" s="399"/>
      <c r="F798" s="399"/>
      <c r="G798" s="399"/>
      <c r="H798" s="301"/>
      <c r="I798" s="301"/>
      <c r="J798" s="301"/>
      <c r="K798" s="301"/>
      <c r="L798" s="301"/>
      <c r="M798" s="301"/>
      <c r="N798" s="301"/>
    </row>
    <row r="799" spans="1:14" ht="14" x14ac:dyDescent="0.25">
      <c r="A799" s="299"/>
      <c r="B799" s="18"/>
      <c r="C799" s="398"/>
      <c r="D799" s="301"/>
      <c r="E799" s="399"/>
      <c r="F799" s="399"/>
      <c r="G799" s="399"/>
      <c r="H799" s="301"/>
      <c r="I799" s="301"/>
      <c r="J799" s="301"/>
      <c r="K799" s="301"/>
      <c r="L799" s="301"/>
      <c r="M799" s="301"/>
      <c r="N799" s="301"/>
    </row>
    <row r="800" spans="1:14" ht="14" x14ac:dyDescent="0.25">
      <c r="A800" s="299"/>
      <c r="B800" s="18"/>
      <c r="C800" s="398"/>
      <c r="D800" s="301"/>
      <c r="E800" s="399"/>
      <c r="F800" s="399"/>
      <c r="G800" s="399"/>
      <c r="H800" s="301"/>
      <c r="I800" s="301"/>
      <c r="J800" s="301"/>
      <c r="K800" s="301"/>
      <c r="L800" s="301"/>
      <c r="M800" s="301"/>
      <c r="N800" s="301"/>
    </row>
    <row r="801" spans="1:14" ht="14" x14ac:dyDescent="0.25">
      <c r="A801" s="299"/>
      <c r="B801" s="18"/>
      <c r="C801" s="398"/>
      <c r="D801" s="301"/>
      <c r="E801" s="399"/>
      <c r="F801" s="399"/>
      <c r="G801" s="399"/>
      <c r="H801" s="301"/>
      <c r="I801" s="301"/>
      <c r="J801" s="301"/>
      <c r="K801" s="301"/>
      <c r="L801" s="301"/>
      <c r="M801" s="301"/>
      <c r="N801" s="301"/>
    </row>
    <row r="802" spans="1:14" ht="14" x14ac:dyDescent="0.25">
      <c r="A802" s="299"/>
      <c r="B802" s="18"/>
      <c r="C802" s="398"/>
      <c r="D802" s="301"/>
      <c r="E802" s="399"/>
      <c r="F802" s="399"/>
      <c r="G802" s="399"/>
      <c r="H802" s="301"/>
      <c r="I802" s="301"/>
      <c r="J802" s="301"/>
      <c r="K802" s="301"/>
      <c r="L802" s="301"/>
      <c r="M802" s="301"/>
      <c r="N802" s="301"/>
    </row>
    <row r="803" spans="1:14" ht="14" x14ac:dyDescent="0.25">
      <c r="A803" s="299"/>
      <c r="B803" s="18"/>
      <c r="C803" s="398"/>
      <c r="D803" s="301"/>
      <c r="E803" s="399"/>
      <c r="F803" s="399"/>
      <c r="G803" s="399"/>
      <c r="H803" s="301"/>
      <c r="I803" s="301"/>
      <c r="J803" s="301"/>
      <c r="K803" s="301"/>
      <c r="L803" s="301"/>
      <c r="M803" s="301"/>
      <c r="N803" s="301"/>
    </row>
    <row r="804" spans="1:14" ht="14" x14ac:dyDescent="0.25">
      <c r="A804" s="299"/>
      <c r="B804" s="18"/>
      <c r="C804" s="398"/>
      <c r="D804" s="301"/>
      <c r="E804" s="399"/>
      <c r="F804" s="399"/>
      <c r="G804" s="399"/>
      <c r="H804" s="301"/>
      <c r="I804" s="301"/>
      <c r="J804" s="301"/>
      <c r="K804" s="301"/>
      <c r="L804" s="301"/>
      <c r="M804" s="301"/>
      <c r="N804" s="301"/>
    </row>
    <row r="805" spans="1:14" ht="14" x14ac:dyDescent="0.25">
      <c r="A805" s="299"/>
      <c r="B805" s="18"/>
      <c r="C805" s="398"/>
      <c r="D805" s="301"/>
      <c r="E805" s="399"/>
      <c r="F805" s="399"/>
      <c r="G805" s="399"/>
      <c r="H805" s="301"/>
      <c r="I805" s="301"/>
      <c r="J805" s="301"/>
      <c r="K805" s="301"/>
      <c r="L805" s="301"/>
      <c r="M805" s="301"/>
      <c r="N805" s="301"/>
    </row>
    <row r="806" spans="1:14" ht="14" x14ac:dyDescent="0.25">
      <c r="A806" s="299"/>
      <c r="B806" s="18"/>
      <c r="C806" s="398"/>
      <c r="D806" s="301"/>
      <c r="E806" s="399"/>
      <c r="F806" s="399"/>
      <c r="G806" s="399"/>
      <c r="H806" s="301"/>
      <c r="I806" s="301"/>
      <c r="J806" s="301"/>
      <c r="K806" s="301"/>
      <c r="L806" s="301"/>
      <c r="M806" s="301"/>
      <c r="N806" s="301"/>
    </row>
    <row r="807" spans="1:14" ht="14" x14ac:dyDescent="0.25">
      <c r="A807" s="299"/>
      <c r="B807" s="18"/>
      <c r="C807" s="398"/>
      <c r="D807" s="301"/>
      <c r="E807" s="399"/>
      <c r="F807" s="399"/>
      <c r="G807" s="399"/>
      <c r="H807" s="301"/>
      <c r="I807" s="301"/>
      <c r="J807" s="301"/>
      <c r="K807" s="301"/>
      <c r="L807" s="301"/>
      <c r="M807" s="301"/>
      <c r="N807" s="301"/>
    </row>
    <row r="808" spans="1:14" ht="14" x14ac:dyDescent="0.25">
      <c r="A808" s="299"/>
      <c r="B808" s="18"/>
      <c r="C808" s="398"/>
      <c r="D808" s="301"/>
      <c r="E808" s="399"/>
      <c r="F808" s="399"/>
      <c r="G808" s="399"/>
      <c r="H808" s="301"/>
      <c r="I808" s="301"/>
      <c r="J808" s="301"/>
      <c r="K808" s="301"/>
      <c r="L808" s="301"/>
      <c r="M808" s="301"/>
      <c r="N808" s="301"/>
    </row>
    <row r="809" spans="1:14" ht="14" x14ac:dyDescent="0.25">
      <c r="A809" s="299"/>
      <c r="B809" s="18"/>
      <c r="C809" s="398"/>
      <c r="D809" s="301"/>
      <c r="E809" s="399"/>
      <c r="F809" s="399"/>
      <c r="G809" s="399"/>
      <c r="H809" s="301"/>
      <c r="I809" s="301"/>
      <c r="J809" s="301"/>
      <c r="K809" s="301"/>
      <c r="L809" s="301"/>
      <c r="M809" s="301"/>
      <c r="N809" s="301"/>
    </row>
    <row r="810" spans="1:14" ht="14" x14ac:dyDescent="0.25">
      <c r="A810" s="299"/>
      <c r="B810" s="18"/>
      <c r="C810" s="398"/>
      <c r="D810" s="301"/>
      <c r="E810" s="399"/>
      <c r="F810" s="399"/>
      <c r="G810" s="399"/>
      <c r="H810" s="301"/>
      <c r="I810" s="301"/>
      <c r="J810" s="301"/>
      <c r="K810" s="301"/>
      <c r="L810" s="301"/>
      <c r="M810" s="301"/>
      <c r="N810" s="301"/>
    </row>
    <row r="811" spans="1:14" ht="14" x14ac:dyDescent="0.25">
      <c r="A811" s="299"/>
      <c r="B811" s="18"/>
      <c r="C811" s="398"/>
      <c r="D811" s="301"/>
      <c r="E811" s="399"/>
      <c r="F811" s="399"/>
      <c r="G811" s="399"/>
      <c r="H811" s="301"/>
      <c r="I811" s="301"/>
      <c r="J811" s="301"/>
      <c r="K811" s="301"/>
      <c r="L811" s="301"/>
      <c r="M811" s="301"/>
      <c r="N811" s="301"/>
    </row>
    <row r="812" spans="1:14" ht="14" x14ac:dyDescent="0.25">
      <c r="A812" s="299"/>
      <c r="B812" s="18"/>
      <c r="C812" s="398"/>
      <c r="D812" s="301"/>
      <c r="E812" s="399"/>
      <c r="F812" s="399"/>
      <c r="G812" s="399"/>
      <c r="H812" s="301"/>
      <c r="I812" s="301"/>
      <c r="J812" s="301"/>
      <c r="K812" s="301"/>
      <c r="L812" s="301"/>
      <c r="M812" s="301"/>
      <c r="N812" s="301"/>
    </row>
    <row r="813" spans="1:14" ht="14" x14ac:dyDescent="0.25">
      <c r="A813" s="299"/>
      <c r="B813" s="18"/>
      <c r="C813" s="398"/>
      <c r="D813" s="301"/>
      <c r="E813" s="399"/>
      <c r="F813" s="399"/>
      <c r="G813" s="399"/>
      <c r="H813" s="301"/>
      <c r="I813" s="301"/>
      <c r="J813" s="301"/>
      <c r="K813" s="301"/>
      <c r="L813" s="301"/>
      <c r="M813" s="301"/>
      <c r="N813" s="301"/>
    </row>
    <row r="814" spans="1:14" ht="14" x14ac:dyDescent="0.25">
      <c r="A814" s="299"/>
      <c r="B814" s="18"/>
      <c r="C814" s="398"/>
      <c r="D814" s="301"/>
      <c r="E814" s="399"/>
      <c r="F814" s="399"/>
      <c r="G814" s="399"/>
      <c r="H814" s="301"/>
      <c r="I814" s="301"/>
      <c r="J814" s="301"/>
      <c r="K814" s="301"/>
      <c r="L814" s="301"/>
      <c r="M814" s="301"/>
      <c r="N814" s="301"/>
    </row>
    <row r="815" spans="1:14" ht="14" x14ac:dyDescent="0.25">
      <c r="A815" s="299"/>
      <c r="B815" s="18"/>
      <c r="C815" s="398"/>
      <c r="D815" s="301"/>
      <c r="E815" s="399"/>
      <c r="F815" s="399"/>
      <c r="G815" s="399"/>
      <c r="H815" s="301"/>
      <c r="I815" s="301"/>
      <c r="J815" s="301"/>
      <c r="K815" s="301"/>
      <c r="L815" s="301"/>
      <c r="M815" s="301"/>
      <c r="N815" s="301"/>
    </row>
    <row r="816" spans="1:14" ht="14" x14ac:dyDescent="0.25">
      <c r="A816" s="299"/>
      <c r="B816" s="18"/>
      <c r="C816" s="398"/>
      <c r="D816" s="301"/>
      <c r="E816" s="399"/>
      <c r="F816" s="399"/>
      <c r="G816" s="399"/>
      <c r="H816" s="301"/>
      <c r="I816" s="301"/>
      <c r="J816" s="301"/>
      <c r="K816" s="301"/>
      <c r="L816" s="301"/>
      <c r="M816" s="301"/>
      <c r="N816" s="301"/>
    </row>
    <row r="817" spans="1:14" ht="14" x14ac:dyDescent="0.25">
      <c r="A817" s="299"/>
      <c r="B817" s="18"/>
      <c r="C817" s="398"/>
      <c r="D817" s="301"/>
      <c r="E817" s="399"/>
      <c r="F817" s="399"/>
      <c r="G817" s="399"/>
      <c r="H817" s="301"/>
      <c r="I817" s="301"/>
      <c r="J817" s="301"/>
      <c r="K817" s="301"/>
      <c r="L817" s="301"/>
      <c r="M817" s="301"/>
      <c r="N817" s="301"/>
    </row>
    <row r="818" spans="1:14" ht="14" x14ac:dyDescent="0.25">
      <c r="A818" s="299"/>
      <c r="B818" s="18"/>
      <c r="C818" s="398"/>
      <c r="D818" s="301"/>
      <c r="E818" s="399"/>
      <c r="F818" s="399"/>
      <c r="G818" s="399"/>
      <c r="H818" s="301"/>
      <c r="I818" s="301"/>
      <c r="J818" s="301"/>
      <c r="K818" s="301"/>
      <c r="L818" s="301"/>
      <c r="M818" s="301"/>
      <c r="N818" s="301"/>
    </row>
    <row r="819" spans="1:14" ht="14" x14ac:dyDescent="0.25">
      <c r="A819" s="299"/>
      <c r="B819" s="18"/>
      <c r="C819" s="398"/>
      <c r="D819" s="301"/>
      <c r="E819" s="399"/>
      <c r="F819" s="399"/>
      <c r="G819" s="399"/>
      <c r="H819" s="301"/>
      <c r="I819" s="301"/>
      <c r="J819" s="301"/>
      <c r="K819" s="301"/>
      <c r="L819" s="301"/>
      <c r="M819" s="301"/>
      <c r="N819" s="301"/>
    </row>
    <row r="820" spans="1:14" ht="14" x14ac:dyDescent="0.25">
      <c r="A820" s="299"/>
      <c r="B820" s="18"/>
      <c r="C820" s="398"/>
      <c r="D820" s="301"/>
      <c r="E820" s="399"/>
      <c r="F820" s="399"/>
      <c r="G820" s="399"/>
      <c r="H820" s="301"/>
      <c r="I820" s="301"/>
      <c r="J820" s="301"/>
      <c r="K820" s="301"/>
      <c r="L820" s="301"/>
      <c r="M820" s="301"/>
      <c r="N820" s="301"/>
    </row>
    <row r="821" spans="1:14" ht="14" x14ac:dyDescent="0.25">
      <c r="A821" s="299"/>
      <c r="B821" s="18"/>
      <c r="C821" s="398"/>
      <c r="D821" s="301"/>
      <c r="E821" s="399"/>
      <c r="F821" s="399"/>
      <c r="G821" s="399"/>
      <c r="H821" s="301"/>
      <c r="I821" s="301"/>
      <c r="J821" s="301"/>
      <c r="K821" s="301"/>
      <c r="L821" s="301"/>
      <c r="M821" s="301"/>
      <c r="N821" s="301"/>
    </row>
    <row r="822" spans="1:14" ht="14" x14ac:dyDescent="0.25">
      <c r="A822" s="299"/>
      <c r="B822" s="18"/>
      <c r="C822" s="398"/>
      <c r="D822" s="301"/>
      <c r="E822" s="399"/>
      <c r="F822" s="399"/>
      <c r="G822" s="399"/>
      <c r="H822" s="301"/>
      <c r="I822" s="301"/>
      <c r="J822" s="301"/>
      <c r="K822" s="301"/>
      <c r="L822" s="301"/>
      <c r="M822" s="301"/>
      <c r="N822" s="301"/>
    </row>
    <row r="823" spans="1:14" ht="14" x14ac:dyDescent="0.25">
      <c r="A823" s="299"/>
      <c r="B823" s="18"/>
      <c r="C823" s="398"/>
      <c r="D823" s="301"/>
      <c r="E823" s="399"/>
      <c r="F823" s="399"/>
      <c r="G823" s="399"/>
      <c r="H823" s="301"/>
      <c r="I823" s="301"/>
      <c r="J823" s="301"/>
      <c r="K823" s="301"/>
      <c r="L823" s="301"/>
      <c r="M823" s="301"/>
      <c r="N823" s="301"/>
    </row>
    <row r="824" spans="1:14" ht="14" x14ac:dyDescent="0.25">
      <c r="A824" s="299"/>
      <c r="B824" s="18"/>
      <c r="C824" s="398"/>
      <c r="D824" s="301"/>
      <c r="E824" s="399"/>
      <c r="F824" s="399"/>
      <c r="G824" s="399"/>
      <c r="H824" s="301"/>
      <c r="I824" s="301"/>
      <c r="J824" s="301"/>
      <c r="K824" s="301"/>
      <c r="L824" s="301"/>
      <c r="M824" s="301"/>
      <c r="N824" s="301"/>
    </row>
    <row r="825" spans="1:14" ht="14" x14ac:dyDescent="0.25">
      <c r="A825" s="299"/>
      <c r="B825" s="18"/>
      <c r="C825" s="398"/>
      <c r="D825" s="301"/>
      <c r="E825" s="399"/>
      <c r="F825" s="399"/>
      <c r="G825" s="399"/>
      <c r="H825" s="301"/>
      <c r="I825" s="301"/>
      <c r="J825" s="301"/>
      <c r="K825" s="301"/>
      <c r="L825" s="301"/>
      <c r="M825" s="301"/>
      <c r="N825" s="301"/>
    </row>
    <row r="826" spans="1:14" ht="14" x14ac:dyDescent="0.25">
      <c r="A826" s="299"/>
      <c r="B826" s="18"/>
      <c r="C826" s="398"/>
      <c r="D826" s="301"/>
      <c r="E826" s="399"/>
      <c r="F826" s="399"/>
      <c r="G826" s="399"/>
      <c r="H826" s="301"/>
      <c r="I826" s="301"/>
      <c r="J826" s="301"/>
      <c r="K826" s="301"/>
      <c r="L826" s="301"/>
      <c r="M826" s="301"/>
      <c r="N826" s="301"/>
    </row>
    <row r="827" spans="1:14" ht="14" x14ac:dyDescent="0.25">
      <c r="A827" s="299"/>
      <c r="B827" s="18"/>
      <c r="C827" s="398"/>
      <c r="D827" s="301"/>
      <c r="E827" s="399"/>
      <c r="F827" s="399"/>
      <c r="G827" s="399"/>
      <c r="H827" s="301"/>
      <c r="I827" s="301"/>
      <c r="J827" s="301"/>
      <c r="K827" s="301"/>
      <c r="L827" s="301"/>
      <c r="M827" s="301"/>
      <c r="N827" s="301"/>
    </row>
    <row r="828" spans="1:14" ht="14" x14ac:dyDescent="0.25">
      <c r="A828" s="299"/>
      <c r="B828" s="18"/>
      <c r="C828" s="398"/>
      <c r="D828" s="301"/>
      <c r="E828" s="399"/>
      <c r="F828" s="399"/>
      <c r="G828" s="399"/>
      <c r="H828" s="301"/>
      <c r="I828" s="301"/>
      <c r="J828" s="301"/>
      <c r="K828" s="301"/>
      <c r="L828" s="301"/>
      <c r="M828" s="301"/>
      <c r="N828" s="301"/>
    </row>
    <row r="829" spans="1:14" ht="14" x14ac:dyDescent="0.25">
      <c r="A829" s="299"/>
      <c r="B829" s="18"/>
      <c r="C829" s="398"/>
      <c r="D829" s="301"/>
      <c r="E829" s="399"/>
      <c r="F829" s="399"/>
      <c r="G829" s="399"/>
      <c r="H829" s="301"/>
      <c r="I829" s="301"/>
      <c r="J829" s="301"/>
      <c r="K829" s="301"/>
      <c r="L829" s="301"/>
      <c r="M829" s="301"/>
      <c r="N829" s="301"/>
    </row>
    <row r="830" spans="1:14" ht="14" x14ac:dyDescent="0.25">
      <c r="A830" s="299"/>
      <c r="B830" s="18"/>
      <c r="C830" s="398"/>
      <c r="D830" s="301"/>
      <c r="E830" s="399"/>
      <c r="F830" s="399"/>
      <c r="G830" s="399"/>
      <c r="H830" s="301"/>
      <c r="I830" s="301"/>
      <c r="J830" s="301"/>
      <c r="K830" s="301"/>
      <c r="L830" s="301"/>
      <c r="M830" s="301"/>
      <c r="N830" s="301"/>
    </row>
    <row r="831" spans="1:14" ht="14" x14ac:dyDescent="0.25">
      <c r="A831" s="299"/>
      <c r="B831" s="18"/>
      <c r="C831" s="398"/>
      <c r="D831" s="301"/>
      <c r="E831" s="399"/>
      <c r="F831" s="399"/>
      <c r="G831" s="399"/>
      <c r="H831" s="301"/>
      <c r="I831" s="301"/>
      <c r="J831" s="301"/>
      <c r="K831" s="301"/>
      <c r="L831" s="301"/>
      <c r="M831" s="301"/>
      <c r="N831" s="301"/>
    </row>
    <row r="832" spans="1:14" ht="14" x14ac:dyDescent="0.25">
      <c r="A832" s="299"/>
      <c r="B832" s="18"/>
      <c r="C832" s="398"/>
      <c r="D832" s="301"/>
      <c r="E832" s="399"/>
      <c r="F832" s="399"/>
      <c r="G832" s="399"/>
      <c r="H832" s="301"/>
      <c r="I832" s="301"/>
      <c r="J832" s="301"/>
      <c r="K832" s="301"/>
      <c r="L832" s="301"/>
      <c r="M832" s="301"/>
      <c r="N832" s="301"/>
    </row>
    <row r="833" spans="1:14" ht="14" x14ac:dyDescent="0.25">
      <c r="A833" s="299"/>
      <c r="B833" s="18"/>
      <c r="C833" s="398"/>
      <c r="D833" s="301"/>
      <c r="E833" s="399"/>
      <c r="F833" s="399"/>
      <c r="G833" s="399"/>
      <c r="H833" s="301"/>
      <c r="I833" s="301"/>
      <c r="J833" s="301"/>
      <c r="K833" s="301"/>
      <c r="L833" s="301"/>
      <c r="M833" s="301"/>
      <c r="N833" s="301"/>
    </row>
    <row r="834" spans="1:14" ht="14" x14ac:dyDescent="0.25">
      <c r="A834" s="299"/>
      <c r="B834" s="18"/>
      <c r="C834" s="398"/>
      <c r="D834" s="301"/>
      <c r="E834" s="399"/>
      <c r="F834" s="399"/>
      <c r="G834" s="399"/>
      <c r="H834" s="301"/>
      <c r="I834" s="301"/>
      <c r="J834" s="301"/>
      <c r="K834" s="301"/>
      <c r="L834" s="301"/>
      <c r="M834" s="301"/>
      <c r="N834" s="301"/>
    </row>
    <row r="835" spans="1:14" ht="14" x14ac:dyDescent="0.25">
      <c r="A835" s="299"/>
      <c r="B835" s="18"/>
      <c r="C835" s="398"/>
      <c r="D835" s="301"/>
      <c r="E835" s="399"/>
      <c r="F835" s="399"/>
      <c r="G835" s="399"/>
      <c r="H835" s="301"/>
      <c r="I835" s="301"/>
      <c r="J835" s="301"/>
      <c r="K835" s="301"/>
      <c r="L835" s="301"/>
      <c r="M835" s="301"/>
      <c r="N835" s="301"/>
    </row>
    <row r="836" spans="1:14" ht="14" x14ac:dyDescent="0.25">
      <c r="A836" s="299"/>
      <c r="B836" s="18"/>
      <c r="C836" s="398"/>
      <c r="D836" s="301"/>
      <c r="E836" s="399"/>
      <c r="F836" s="399"/>
      <c r="G836" s="399"/>
      <c r="H836" s="301"/>
      <c r="I836" s="301"/>
      <c r="J836" s="301"/>
      <c r="K836" s="301"/>
      <c r="L836" s="301"/>
      <c r="M836" s="301"/>
      <c r="N836" s="301"/>
    </row>
    <row r="837" spans="1:14" ht="14" x14ac:dyDescent="0.25">
      <c r="A837" s="299"/>
      <c r="B837" s="18"/>
      <c r="C837" s="398"/>
      <c r="D837" s="301"/>
      <c r="E837" s="399"/>
      <c r="F837" s="399"/>
      <c r="G837" s="399"/>
      <c r="H837" s="301"/>
      <c r="I837" s="301"/>
      <c r="J837" s="301"/>
      <c r="K837" s="301"/>
      <c r="L837" s="301"/>
      <c r="M837" s="301"/>
      <c r="N837" s="301"/>
    </row>
    <row r="838" spans="1:14" ht="14" x14ac:dyDescent="0.25">
      <c r="A838" s="299"/>
      <c r="B838" s="18"/>
      <c r="C838" s="398"/>
      <c r="D838" s="301"/>
      <c r="E838" s="399"/>
      <c r="F838" s="399"/>
      <c r="G838" s="399"/>
      <c r="H838" s="301"/>
      <c r="I838" s="301"/>
      <c r="J838" s="301"/>
      <c r="K838" s="301"/>
      <c r="L838" s="301"/>
      <c r="M838" s="301"/>
      <c r="N838" s="301"/>
    </row>
    <row r="839" spans="1:14" ht="14" x14ac:dyDescent="0.25">
      <c r="A839" s="299"/>
      <c r="B839" s="18"/>
      <c r="C839" s="398"/>
      <c r="D839" s="301"/>
      <c r="E839" s="399"/>
      <c r="F839" s="399"/>
      <c r="G839" s="399"/>
      <c r="H839" s="301"/>
      <c r="I839" s="301"/>
      <c r="J839" s="301"/>
      <c r="K839" s="301"/>
      <c r="L839" s="301"/>
      <c r="M839" s="301"/>
      <c r="N839" s="301"/>
    </row>
    <row r="840" spans="1:14" ht="14" x14ac:dyDescent="0.25">
      <c r="A840" s="299"/>
      <c r="B840" s="18"/>
      <c r="C840" s="398"/>
      <c r="D840" s="301"/>
      <c r="E840" s="399"/>
      <c r="F840" s="399"/>
      <c r="G840" s="399"/>
      <c r="H840" s="301"/>
      <c r="I840" s="301"/>
      <c r="J840" s="301"/>
      <c r="K840" s="301"/>
      <c r="L840" s="301"/>
      <c r="M840" s="301"/>
      <c r="N840" s="301"/>
    </row>
    <row r="841" spans="1:14" ht="14" x14ac:dyDescent="0.25">
      <c r="A841" s="299"/>
      <c r="B841" s="18"/>
      <c r="C841" s="398"/>
      <c r="D841" s="301"/>
      <c r="E841" s="399"/>
      <c r="F841" s="399"/>
      <c r="G841" s="399"/>
      <c r="H841" s="301"/>
      <c r="I841" s="301"/>
      <c r="J841" s="301"/>
      <c r="K841" s="301"/>
      <c r="L841" s="301"/>
      <c r="M841" s="301"/>
      <c r="N841" s="301"/>
    </row>
    <row r="842" spans="1:14" ht="14" x14ac:dyDescent="0.25">
      <c r="A842" s="299"/>
      <c r="B842" s="18"/>
      <c r="C842" s="398"/>
      <c r="D842" s="301"/>
      <c r="E842" s="399"/>
      <c r="F842" s="399"/>
      <c r="G842" s="399"/>
      <c r="H842" s="301"/>
      <c r="I842" s="301"/>
      <c r="J842" s="301"/>
      <c r="K842" s="301"/>
      <c r="L842" s="301"/>
      <c r="M842" s="301"/>
      <c r="N842" s="301"/>
    </row>
    <row r="843" spans="1:14" ht="14" x14ac:dyDescent="0.25">
      <c r="A843" s="299"/>
      <c r="B843" s="18"/>
      <c r="C843" s="398"/>
      <c r="D843" s="301"/>
      <c r="E843" s="399"/>
      <c r="F843" s="399"/>
      <c r="G843" s="399"/>
      <c r="H843" s="301"/>
      <c r="I843" s="301"/>
      <c r="J843" s="301"/>
      <c r="K843" s="301"/>
      <c r="L843" s="301"/>
      <c r="M843" s="301"/>
      <c r="N843" s="301"/>
    </row>
    <row r="844" spans="1:14" ht="14" x14ac:dyDescent="0.25">
      <c r="A844" s="299"/>
      <c r="B844" s="18"/>
      <c r="C844" s="398"/>
      <c r="D844" s="301"/>
      <c r="E844" s="399"/>
      <c r="F844" s="399"/>
      <c r="G844" s="399"/>
      <c r="H844" s="301"/>
      <c r="I844" s="301"/>
      <c r="J844" s="301"/>
      <c r="K844" s="301"/>
      <c r="L844" s="301"/>
      <c r="M844" s="301"/>
      <c r="N844" s="301"/>
    </row>
    <row r="845" spans="1:14" ht="14" x14ac:dyDescent="0.25">
      <c r="A845" s="299"/>
      <c r="B845" s="18"/>
      <c r="C845" s="398"/>
      <c r="D845" s="301"/>
      <c r="E845" s="399"/>
      <c r="F845" s="399"/>
      <c r="G845" s="399"/>
      <c r="H845" s="301"/>
      <c r="I845" s="301"/>
      <c r="J845" s="301"/>
      <c r="K845" s="301"/>
      <c r="L845" s="301"/>
      <c r="M845" s="301"/>
      <c r="N845" s="301"/>
    </row>
    <row r="846" spans="1:14" ht="14" x14ac:dyDescent="0.25">
      <c r="A846" s="299"/>
      <c r="B846" s="18"/>
      <c r="C846" s="398"/>
      <c r="D846" s="301"/>
      <c r="E846" s="399"/>
      <c r="F846" s="399"/>
      <c r="G846" s="399"/>
      <c r="H846" s="301"/>
      <c r="I846" s="301"/>
      <c r="J846" s="301"/>
      <c r="K846" s="301"/>
      <c r="L846" s="301"/>
      <c r="M846" s="301"/>
      <c r="N846" s="301"/>
    </row>
    <row r="847" spans="1:14" ht="14" x14ac:dyDescent="0.25">
      <c r="A847" s="299"/>
      <c r="B847" s="18"/>
      <c r="C847" s="398"/>
      <c r="D847" s="301"/>
      <c r="E847" s="399"/>
      <c r="F847" s="399"/>
      <c r="G847" s="399"/>
      <c r="H847" s="301"/>
      <c r="I847" s="301"/>
      <c r="J847" s="301"/>
      <c r="K847" s="301"/>
      <c r="L847" s="301"/>
      <c r="M847" s="301"/>
      <c r="N847" s="301"/>
    </row>
    <row r="848" spans="1:14" ht="14" x14ac:dyDescent="0.25">
      <c r="A848" s="299"/>
      <c r="B848" s="18"/>
      <c r="C848" s="398"/>
      <c r="D848" s="301"/>
      <c r="E848" s="399"/>
      <c r="F848" s="399"/>
      <c r="G848" s="399"/>
      <c r="H848" s="301"/>
      <c r="I848" s="301"/>
      <c r="J848" s="301"/>
      <c r="K848" s="301"/>
      <c r="L848" s="301"/>
      <c r="M848" s="301"/>
      <c r="N848" s="301"/>
    </row>
    <row r="849" spans="1:14" ht="14" x14ac:dyDescent="0.25">
      <c r="A849" s="299"/>
      <c r="B849" s="18"/>
      <c r="C849" s="398"/>
      <c r="D849" s="301"/>
      <c r="E849" s="399"/>
      <c r="F849" s="399"/>
      <c r="G849" s="399"/>
      <c r="H849" s="301"/>
      <c r="I849" s="301"/>
      <c r="J849" s="301"/>
      <c r="K849" s="301"/>
      <c r="L849" s="301"/>
      <c r="M849" s="301"/>
      <c r="N849" s="301"/>
    </row>
    <row r="850" spans="1:14" ht="14" x14ac:dyDescent="0.25">
      <c r="A850" s="299"/>
      <c r="B850" s="18"/>
      <c r="C850" s="398"/>
      <c r="D850" s="301"/>
      <c r="E850" s="399"/>
      <c r="F850" s="399"/>
      <c r="G850" s="399"/>
      <c r="H850" s="301"/>
      <c r="I850" s="301"/>
      <c r="J850" s="301"/>
      <c r="K850" s="301"/>
      <c r="L850" s="301"/>
      <c r="M850" s="301"/>
      <c r="N850" s="301"/>
    </row>
    <row r="851" spans="1:14" ht="14" x14ac:dyDescent="0.25">
      <c r="A851" s="299"/>
      <c r="B851" s="18"/>
      <c r="C851" s="398"/>
      <c r="D851" s="301"/>
      <c r="E851" s="399"/>
      <c r="F851" s="399"/>
      <c r="G851" s="399"/>
      <c r="H851" s="301"/>
      <c r="I851" s="301"/>
      <c r="J851" s="301"/>
      <c r="K851" s="301"/>
      <c r="L851" s="301"/>
      <c r="M851" s="301"/>
      <c r="N851" s="301"/>
    </row>
    <row r="852" spans="1:14" ht="14" x14ac:dyDescent="0.25">
      <c r="A852" s="299"/>
      <c r="B852" s="18"/>
      <c r="C852" s="398"/>
      <c r="D852" s="301"/>
      <c r="E852" s="399"/>
      <c r="F852" s="399"/>
      <c r="G852" s="399"/>
      <c r="H852" s="301"/>
      <c r="I852" s="301"/>
      <c r="J852" s="301"/>
      <c r="K852" s="301"/>
      <c r="L852" s="301"/>
      <c r="M852" s="301"/>
      <c r="N852" s="301"/>
    </row>
    <row r="853" spans="1:14" ht="14" x14ac:dyDescent="0.25">
      <c r="A853" s="299"/>
      <c r="B853" s="18"/>
      <c r="C853" s="398"/>
      <c r="D853" s="301"/>
      <c r="E853" s="399"/>
      <c r="F853" s="399"/>
      <c r="G853" s="399"/>
      <c r="H853" s="301"/>
      <c r="I853" s="301"/>
      <c r="J853" s="301"/>
      <c r="K853" s="301"/>
      <c r="L853" s="301"/>
      <c r="M853" s="301"/>
      <c r="N853" s="301"/>
    </row>
    <row r="854" spans="1:14" ht="14" x14ac:dyDescent="0.25">
      <c r="A854" s="299"/>
      <c r="B854" s="18"/>
      <c r="C854" s="398"/>
      <c r="D854" s="301"/>
      <c r="E854" s="399"/>
      <c r="F854" s="399"/>
      <c r="G854" s="399"/>
      <c r="H854" s="301"/>
      <c r="I854" s="301"/>
      <c r="J854" s="301"/>
      <c r="K854" s="301"/>
      <c r="L854" s="301"/>
      <c r="M854" s="301"/>
      <c r="N854" s="301"/>
    </row>
    <row r="855" spans="1:14" ht="14" x14ac:dyDescent="0.25">
      <c r="A855" s="299"/>
      <c r="B855" s="18"/>
      <c r="C855" s="398"/>
      <c r="D855" s="301"/>
      <c r="E855" s="399"/>
      <c r="F855" s="399"/>
      <c r="G855" s="399"/>
      <c r="H855" s="301"/>
      <c r="I855" s="301"/>
      <c r="J855" s="301"/>
      <c r="K855" s="301"/>
      <c r="L855" s="301"/>
      <c r="M855" s="301"/>
      <c r="N855" s="301"/>
    </row>
    <row r="856" spans="1:14" ht="14" x14ac:dyDescent="0.25">
      <c r="A856" s="299"/>
      <c r="B856" s="18"/>
      <c r="C856" s="398"/>
      <c r="D856" s="301"/>
      <c r="E856" s="399"/>
      <c r="F856" s="399"/>
      <c r="G856" s="399"/>
      <c r="H856" s="301"/>
      <c r="I856" s="301"/>
      <c r="J856" s="301"/>
      <c r="K856" s="301"/>
      <c r="L856" s="301"/>
      <c r="M856" s="301"/>
      <c r="N856" s="301"/>
    </row>
    <row r="857" spans="1:14" ht="14" x14ac:dyDescent="0.25">
      <c r="A857" s="299"/>
      <c r="B857" s="18"/>
      <c r="C857" s="398"/>
      <c r="D857" s="301"/>
      <c r="E857" s="399"/>
      <c r="F857" s="399"/>
      <c r="G857" s="399"/>
      <c r="H857" s="301"/>
      <c r="I857" s="301"/>
      <c r="J857" s="301"/>
      <c r="K857" s="301"/>
      <c r="L857" s="301"/>
      <c r="M857" s="301"/>
      <c r="N857" s="301"/>
    </row>
    <row r="858" spans="1:14" ht="14" x14ac:dyDescent="0.25">
      <c r="A858" s="299"/>
      <c r="B858" s="18"/>
      <c r="C858" s="398"/>
      <c r="D858" s="301"/>
      <c r="E858" s="399"/>
      <c r="F858" s="399"/>
      <c r="G858" s="399"/>
      <c r="H858" s="301"/>
      <c r="I858" s="301"/>
      <c r="J858" s="301"/>
      <c r="K858" s="301"/>
      <c r="L858" s="301"/>
      <c r="M858" s="301"/>
      <c r="N858" s="301"/>
    </row>
    <row r="859" spans="1:14" ht="14" x14ac:dyDescent="0.25">
      <c r="A859" s="299"/>
      <c r="B859" s="18"/>
      <c r="C859" s="398"/>
      <c r="D859" s="301"/>
      <c r="E859" s="399"/>
      <c r="F859" s="399"/>
      <c r="G859" s="399"/>
      <c r="H859" s="301"/>
      <c r="I859" s="301"/>
      <c r="J859" s="301"/>
      <c r="K859" s="301"/>
      <c r="L859" s="301"/>
      <c r="M859" s="301"/>
      <c r="N859" s="301"/>
    </row>
    <row r="860" spans="1:14" ht="14" x14ac:dyDescent="0.25">
      <c r="A860" s="299"/>
      <c r="B860" s="18"/>
      <c r="C860" s="398"/>
      <c r="D860" s="301"/>
      <c r="E860" s="399"/>
      <c r="F860" s="399"/>
      <c r="G860" s="399"/>
      <c r="H860" s="301"/>
      <c r="I860" s="301"/>
      <c r="J860" s="301"/>
      <c r="K860" s="301"/>
      <c r="L860" s="301"/>
      <c r="M860" s="301"/>
      <c r="N860" s="301"/>
    </row>
    <row r="861" spans="1:14" ht="14" x14ac:dyDescent="0.25">
      <c r="A861" s="299"/>
      <c r="B861" s="18"/>
      <c r="C861" s="398"/>
      <c r="D861" s="301"/>
      <c r="E861" s="399"/>
      <c r="F861" s="399"/>
      <c r="G861" s="399"/>
      <c r="H861" s="301"/>
      <c r="I861" s="301"/>
      <c r="J861" s="301"/>
      <c r="K861" s="301"/>
      <c r="L861" s="301"/>
      <c r="M861" s="301"/>
      <c r="N861" s="301"/>
    </row>
    <row r="862" spans="1:14" ht="14" x14ac:dyDescent="0.25">
      <c r="A862" s="299"/>
      <c r="B862" s="18"/>
      <c r="C862" s="398"/>
      <c r="D862" s="301"/>
      <c r="E862" s="399"/>
      <c r="F862" s="399"/>
      <c r="G862" s="399"/>
      <c r="H862" s="301"/>
      <c r="I862" s="301"/>
      <c r="J862" s="301"/>
      <c r="K862" s="301"/>
      <c r="L862" s="301"/>
      <c r="M862" s="301"/>
      <c r="N862" s="301"/>
    </row>
    <row r="863" spans="1:14" ht="14" x14ac:dyDescent="0.25">
      <c r="A863" s="299"/>
      <c r="B863" s="18"/>
      <c r="C863" s="398"/>
      <c r="D863" s="301"/>
      <c r="E863" s="399"/>
      <c r="F863" s="399"/>
      <c r="G863" s="399"/>
      <c r="H863" s="301"/>
      <c r="I863" s="301"/>
      <c r="J863" s="301"/>
      <c r="K863" s="301"/>
      <c r="L863" s="301"/>
      <c r="M863" s="301"/>
      <c r="N863" s="301"/>
    </row>
    <row r="864" spans="1:14" ht="14" x14ac:dyDescent="0.25">
      <c r="A864" s="299"/>
      <c r="B864" s="18"/>
      <c r="C864" s="398"/>
      <c r="D864" s="301"/>
      <c r="E864" s="399"/>
      <c r="F864" s="399"/>
      <c r="G864" s="399"/>
      <c r="H864" s="301"/>
      <c r="I864" s="301"/>
      <c r="J864" s="301"/>
      <c r="K864" s="301"/>
      <c r="L864" s="301"/>
      <c r="M864" s="301"/>
      <c r="N864" s="301"/>
    </row>
    <row r="865" spans="1:14" ht="14" x14ac:dyDescent="0.25">
      <c r="A865" s="299"/>
      <c r="B865" s="18"/>
      <c r="C865" s="398"/>
      <c r="D865" s="301"/>
      <c r="E865" s="399"/>
      <c r="F865" s="399"/>
      <c r="G865" s="399"/>
      <c r="H865" s="301"/>
      <c r="I865" s="301"/>
      <c r="J865" s="301"/>
      <c r="K865" s="301"/>
      <c r="L865" s="301"/>
      <c r="M865" s="301"/>
      <c r="N865" s="301"/>
    </row>
    <row r="866" spans="1:14" ht="14" x14ac:dyDescent="0.25">
      <c r="A866" s="299"/>
      <c r="B866" s="18"/>
      <c r="C866" s="398"/>
      <c r="D866" s="301"/>
      <c r="E866" s="399"/>
      <c r="F866" s="399"/>
      <c r="G866" s="399"/>
      <c r="H866" s="301"/>
      <c r="I866" s="301"/>
      <c r="J866" s="301"/>
      <c r="K866" s="301"/>
      <c r="L866" s="301"/>
      <c r="M866" s="301"/>
      <c r="N866" s="301"/>
    </row>
    <row r="867" spans="1:14" ht="14" x14ac:dyDescent="0.25">
      <c r="A867" s="299"/>
      <c r="B867" s="18"/>
      <c r="C867" s="398"/>
      <c r="D867" s="301"/>
      <c r="E867" s="399"/>
      <c r="F867" s="399"/>
      <c r="G867" s="399"/>
      <c r="H867" s="301"/>
      <c r="I867" s="301"/>
      <c r="J867" s="301"/>
      <c r="K867" s="301"/>
      <c r="L867" s="301"/>
      <c r="M867" s="301"/>
      <c r="N867" s="301"/>
    </row>
    <row r="868" spans="1:14" ht="14" x14ac:dyDescent="0.25">
      <c r="A868" s="299"/>
      <c r="B868" s="18"/>
      <c r="C868" s="398"/>
      <c r="D868" s="301"/>
      <c r="E868" s="399"/>
      <c r="F868" s="399"/>
      <c r="G868" s="399"/>
      <c r="H868" s="301"/>
      <c r="I868" s="301"/>
      <c r="J868" s="301"/>
      <c r="K868" s="301"/>
      <c r="L868" s="301"/>
      <c r="M868" s="301"/>
      <c r="N868" s="301"/>
    </row>
    <row r="869" spans="1:14" ht="14" x14ac:dyDescent="0.25">
      <c r="A869" s="299"/>
      <c r="B869" s="18"/>
      <c r="C869" s="398"/>
      <c r="D869" s="301"/>
      <c r="E869" s="399"/>
      <c r="F869" s="399"/>
      <c r="G869" s="399"/>
      <c r="H869" s="301"/>
      <c r="I869" s="301"/>
      <c r="J869" s="301"/>
      <c r="K869" s="301"/>
      <c r="L869" s="301"/>
      <c r="M869" s="301"/>
      <c r="N869" s="301"/>
    </row>
    <row r="870" spans="1:14" ht="14" x14ac:dyDescent="0.25">
      <c r="A870" s="299"/>
      <c r="B870" s="18"/>
      <c r="C870" s="398"/>
      <c r="D870" s="301"/>
      <c r="E870" s="399"/>
      <c r="F870" s="399"/>
      <c r="G870" s="399"/>
      <c r="H870" s="301"/>
      <c r="I870" s="301"/>
      <c r="J870" s="301"/>
      <c r="K870" s="301"/>
      <c r="L870" s="301"/>
      <c r="M870" s="301"/>
      <c r="N870" s="301"/>
    </row>
    <row r="871" spans="1:14" ht="14" x14ac:dyDescent="0.25">
      <c r="A871" s="299"/>
      <c r="B871" s="18"/>
      <c r="C871" s="398"/>
      <c r="D871" s="301"/>
      <c r="E871" s="399"/>
      <c r="F871" s="399"/>
      <c r="G871" s="399"/>
      <c r="H871" s="301"/>
      <c r="I871" s="301"/>
      <c r="J871" s="301"/>
      <c r="K871" s="301"/>
      <c r="L871" s="301"/>
      <c r="M871" s="301"/>
      <c r="N871" s="301"/>
    </row>
    <row r="872" spans="1:14" ht="14" x14ac:dyDescent="0.25">
      <c r="A872" s="299"/>
      <c r="B872" s="18"/>
      <c r="C872" s="398"/>
      <c r="D872" s="301"/>
      <c r="E872" s="399"/>
      <c r="F872" s="399"/>
      <c r="G872" s="399"/>
      <c r="H872" s="301"/>
      <c r="I872" s="301"/>
      <c r="J872" s="301"/>
      <c r="K872" s="301"/>
      <c r="L872" s="301"/>
      <c r="M872" s="301"/>
      <c r="N872" s="301"/>
    </row>
    <row r="873" spans="1:14" ht="14" x14ac:dyDescent="0.25">
      <c r="A873" s="299"/>
      <c r="B873" s="18"/>
      <c r="C873" s="398"/>
      <c r="D873" s="301"/>
      <c r="E873" s="399"/>
      <c r="F873" s="399"/>
      <c r="G873" s="399"/>
      <c r="H873" s="301"/>
      <c r="I873" s="301"/>
      <c r="J873" s="301"/>
      <c r="K873" s="301"/>
      <c r="L873" s="301"/>
      <c r="M873" s="301"/>
      <c r="N873" s="301"/>
    </row>
    <row r="874" spans="1:14" ht="14" x14ac:dyDescent="0.25">
      <c r="A874" s="299"/>
      <c r="B874" s="18"/>
      <c r="C874" s="398"/>
      <c r="D874" s="301"/>
      <c r="E874" s="399"/>
      <c r="F874" s="399"/>
      <c r="G874" s="399"/>
      <c r="H874" s="301"/>
      <c r="I874" s="301"/>
      <c r="J874" s="301"/>
      <c r="K874" s="301"/>
      <c r="L874" s="301"/>
      <c r="M874" s="301"/>
      <c r="N874" s="301"/>
    </row>
    <row r="875" spans="1:14" ht="14" x14ac:dyDescent="0.25">
      <c r="A875" s="299"/>
      <c r="B875" s="18"/>
      <c r="C875" s="398"/>
      <c r="D875" s="301"/>
      <c r="E875" s="399"/>
      <c r="F875" s="399"/>
      <c r="G875" s="399"/>
      <c r="H875" s="301"/>
      <c r="I875" s="301"/>
      <c r="J875" s="301"/>
      <c r="K875" s="301"/>
      <c r="L875" s="301"/>
      <c r="M875" s="301"/>
      <c r="N875" s="301"/>
    </row>
    <row r="876" spans="1:14" ht="14" x14ac:dyDescent="0.25">
      <c r="A876" s="299"/>
      <c r="B876" s="18"/>
      <c r="C876" s="398"/>
      <c r="D876" s="301"/>
      <c r="E876" s="399"/>
      <c r="F876" s="399"/>
      <c r="G876" s="399"/>
      <c r="H876" s="301"/>
      <c r="I876" s="301"/>
      <c r="J876" s="301"/>
      <c r="K876" s="301"/>
      <c r="L876" s="301"/>
      <c r="M876" s="301"/>
      <c r="N876" s="301"/>
    </row>
    <row r="877" spans="1:14" ht="14" x14ac:dyDescent="0.25">
      <c r="A877" s="299"/>
      <c r="B877" s="18"/>
      <c r="C877" s="398"/>
      <c r="D877" s="301"/>
      <c r="E877" s="399"/>
      <c r="F877" s="399"/>
      <c r="G877" s="399"/>
      <c r="H877" s="301"/>
      <c r="I877" s="301"/>
      <c r="J877" s="301"/>
      <c r="K877" s="301"/>
      <c r="L877" s="301"/>
      <c r="M877" s="301"/>
      <c r="N877" s="301"/>
    </row>
    <row r="878" spans="1:14" ht="14" x14ac:dyDescent="0.25">
      <c r="A878" s="299"/>
      <c r="B878" s="18"/>
      <c r="C878" s="398"/>
      <c r="D878" s="301"/>
      <c r="E878" s="399"/>
      <c r="F878" s="399"/>
      <c r="G878" s="399"/>
      <c r="H878" s="301"/>
      <c r="I878" s="301"/>
      <c r="J878" s="301"/>
      <c r="K878" s="301"/>
      <c r="L878" s="301"/>
      <c r="M878" s="301"/>
      <c r="N878" s="301"/>
    </row>
    <row r="879" spans="1:14" ht="14" x14ac:dyDescent="0.25">
      <c r="A879" s="299"/>
      <c r="B879" s="18"/>
      <c r="C879" s="398"/>
      <c r="D879" s="301"/>
      <c r="E879" s="399"/>
      <c r="F879" s="399"/>
      <c r="G879" s="399"/>
      <c r="H879" s="301"/>
      <c r="I879" s="301"/>
      <c r="J879" s="301"/>
      <c r="K879" s="301"/>
      <c r="L879" s="301"/>
      <c r="M879" s="301"/>
      <c r="N879" s="301"/>
    </row>
    <row r="880" spans="1:14" ht="14" x14ac:dyDescent="0.25">
      <c r="A880" s="299"/>
      <c r="B880" s="18"/>
      <c r="C880" s="398"/>
      <c r="D880" s="301"/>
      <c r="E880" s="399"/>
      <c r="F880" s="399"/>
      <c r="G880" s="399"/>
      <c r="H880" s="301"/>
      <c r="I880" s="301"/>
      <c r="J880" s="301"/>
      <c r="K880" s="301"/>
      <c r="L880" s="301"/>
      <c r="M880" s="301"/>
      <c r="N880" s="301"/>
    </row>
    <row r="881" spans="1:14" ht="14" x14ac:dyDescent="0.25">
      <c r="A881" s="299"/>
      <c r="B881" s="18"/>
      <c r="C881" s="398"/>
      <c r="D881" s="301"/>
      <c r="E881" s="399"/>
      <c r="F881" s="399"/>
      <c r="G881" s="399"/>
      <c r="H881" s="301"/>
      <c r="I881" s="301"/>
      <c r="J881" s="301"/>
      <c r="K881" s="301"/>
      <c r="L881" s="301"/>
      <c r="M881" s="301"/>
      <c r="N881" s="301"/>
    </row>
    <row r="882" spans="1:14" ht="14" x14ac:dyDescent="0.25">
      <c r="A882" s="299"/>
      <c r="B882" s="18"/>
      <c r="C882" s="398"/>
      <c r="D882" s="301"/>
      <c r="E882" s="399"/>
      <c r="F882" s="399"/>
      <c r="G882" s="399"/>
      <c r="H882" s="301"/>
      <c r="I882" s="301"/>
      <c r="J882" s="301"/>
      <c r="K882" s="301"/>
      <c r="L882" s="301"/>
      <c r="M882" s="301"/>
      <c r="N882" s="301"/>
    </row>
    <row r="883" spans="1:14" ht="14" x14ac:dyDescent="0.25">
      <c r="A883" s="299"/>
      <c r="B883" s="18"/>
      <c r="C883" s="398"/>
      <c r="D883" s="301"/>
      <c r="E883" s="399"/>
      <c r="F883" s="399"/>
      <c r="G883" s="399"/>
      <c r="H883" s="301"/>
      <c r="I883" s="301"/>
      <c r="J883" s="301"/>
      <c r="K883" s="301"/>
      <c r="L883" s="301"/>
      <c r="M883" s="301"/>
      <c r="N883" s="301"/>
    </row>
    <row r="884" spans="1:14" ht="14" x14ac:dyDescent="0.25">
      <c r="A884" s="299"/>
      <c r="B884" s="18"/>
      <c r="C884" s="398"/>
      <c r="D884" s="301"/>
      <c r="E884" s="399"/>
      <c r="F884" s="399"/>
      <c r="G884" s="399"/>
      <c r="H884" s="301"/>
      <c r="I884" s="301"/>
      <c r="J884" s="301"/>
      <c r="K884" s="301"/>
      <c r="L884" s="301"/>
      <c r="M884" s="301"/>
      <c r="N884" s="301"/>
    </row>
    <row r="885" spans="1:14" ht="14" x14ac:dyDescent="0.25">
      <c r="A885" s="299"/>
      <c r="B885" s="18"/>
      <c r="C885" s="398"/>
      <c r="D885" s="301"/>
      <c r="E885" s="399"/>
      <c r="F885" s="399"/>
      <c r="G885" s="399"/>
      <c r="H885" s="301"/>
      <c r="I885" s="301"/>
      <c r="J885" s="301"/>
      <c r="K885" s="301"/>
      <c r="L885" s="301"/>
      <c r="M885" s="301"/>
      <c r="N885" s="301"/>
    </row>
    <row r="886" spans="1:14" ht="14" x14ac:dyDescent="0.25">
      <c r="A886" s="299"/>
      <c r="B886" s="18"/>
      <c r="C886" s="398"/>
      <c r="D886" s="301"/>
      <c r="E886" s="399"/>
      <c r="F886" s="399"/>
      <c r="G886" s="399"/>
      <c r="H886" s="301"/>
      <c r="I886" s="301"/>
      <c r="J886" s="301"/>
      <c r="K886" s="301"/>
      <c r="L886" s="301"/>
      <c r="M886" s="301"/>
      <c r="N886" s="301"/>
    </row>
    <row r="887" spans="1:14" ht="14" x14ac:dyDescent="0.25">
      <c r="A887" s="299"/>
      <c r="B887" s="18"/>
      <c r="C887" s="398"/>
      <c r="D887" s="301"/>
      <c r="E887" s="399"/>
      <c r="F887" s="399"/>
      <c r="G887" s="399"/>
      <c r="H887" s="301"/>
      <c r="I887" s="301"/>
      <c r="J887" s="301"/>
      <c r="K887" s="301"/>
      <c r="L887" s="301"/>
      <c r="M887" s="301"/>
      <c r="N887" s="301"/>
    </row>
    <row r="888" spans="1:14" ht="14" x14ac:dyDescent="0.25">
      <c r="A888" s="299"/>
      <c r="B888" s="18"/>
      <c r="C888" s="398"/>
      <c r="D888" s="301"/>
      <c r="E888" s="399"/>
      <c r="F888" s="399"/>
      <c r="G888" s="399"/>
      <c r="H888" s="301"/>
      <c r="I888" s="301"/>
      <c r="J888" s="301"/>
      <c r="K888" s="301"/>
      <c r="L888" s="301"/>
      <c r="M888" s="301"/>
      <c r="N888" s="301"/>
    </row>
    <row r="889" spans="1:14" ht="14" x14ac:dyDescent="0.25">
      <c r="A889" s="299"/>
      <c r="B889" s="18"/>
      <c r="C889" s="398"/>
      <c r="D889" s="301"/>
      <c r="E889" s="399"/>
      <c r="F889" s="399"/>
      <c r="G889" s="399"/>
      <c r="H889" s="301"/>
      <c r="I889" s="301"/>
      <c r="J889" s="301"/>
      <c r="K889" s="301"/>
      <c r="L889" s="301"/>
      <c r="M889" s="301"/>
      <c r="N889" s="301"/>
    </row>
    <row r="890" spans="1:14" ht="14" x14ac:dyDescent="0.25">
      <c r="A890" s="299"/>
      <c r="B890" s="18"/>
      <c r="C890" s="398"/>
      <c r="D890" s="301"/>
      <c r="E890" s="399"/>
      <c r="F890" s="399"/>
      <c r="G890" s="399"/>
      <c r="H890" s="301"/>
      <c r="I890" s="301"/>
      <c r="J890" s="301"/>
      <c r="K890" s="301"/>
      <c r="L890" s="301"/>
      <c r="M890" s="301"/>
      <c r="N890" s="301"/>
    </row>
    <row r="891" spans="1:14" ht="14" x14ac:dyDescent="0.25">
      <c r="A891" s="299"/>
      <c r="B891" s="18"/>
      <c r="C891" s="398"/>
      <c r="D891" s="301"/>
      <c r="E891" s="399"/>
      <c r="F891" s="399"/>
      <c r="G891" s="399"/>
      <c r="H891" s="301"/>
      <c r="I891" s="301"/>
      <c r="J891" s="301"/>
      <c r="K891" s="301"/>
      <c r="L891" s="301"/>
      <c r="M891" s="301"/>
      <c r="N891" s="301"/>
    </row>
    <row r="892" spans="1:14" ht="14" x14ac:dyDescent="0.25">
      <c r="A892" s="299"/>
      <c r="B892" s="18"/>
      <c r="C892" s="398"/>
      <c r="D892" s="301"/>
      <c r="E892" s="399"/>
      <c r="F892" s="399"/>
      <c r="G892" s="399"/>
      <c r="H892" s="301"/>
      <c r="I892" s="301"/>
      <c r="J892" s="301"/>
      <c r="K892" s="301"/>
      <c r="L892" s="301"/>
      <c r="M892" s="301"/>
      <c r="N892" s="301"/>
    </row>
    <row r="893" spans="1:14" ht="14" x14ac:dyDescent="0.25">
      <c r="A893" s="299"/>
      <c r="B893" s="18"/>
      <c r="C893" s="398"/>
      <c r="D893" s="301"/>
      <c r="E893" s="399"/>
      <c r="F893" s="399"/>
      <c r="G893" s="399"/>
      <c r="H893" s="301"/>
      <c r="I893" s="301"/>
      <c r="J893" s="301"/>
      <c r="K893" s="301"/>
      <c r="L893" s="301"/>
      <c r="M893" s="301"/>
      <c r="N893" s="301"/>
    </row>
    <row r="894" spans="1:14" ht="14" x14ac:dyDescent="0.25">
      <c r="A894" s="299"/>
      <c r="B894" s="18"/>
      <c r="C894" s="398"/>
      <c r="D894" s="301"/>
      <c r="E894" s="399"/>
      <c r="F894" s="399"/>
      <c r="G894" s="399"/>
      <c r="H894" s="301"/>
      <c r="I894" s="301"/>
      <c r="J894" s="301"/>
      <c r="K894" s="301"/>
      <c r="L894" s="301"/>
      <c r="M894" s="301"/>
      <c r="N894" s="301"/>
    </row>
    <row r="895" spans="1:14" ht="14" x14ac:dyDescent="0.25">
      <c r="A895" s="299"/>
      <c r="B895" s="18"/>
      <c r="C895" s="398"/>
      <c r="D895" s="301"/>
      <c r="E895" s="399"/>
      <c r="F895" s="399"/>
      <c r="G895" s="399"/>
      <c r="H895" s="301"/>
      <c r="I895" s="301"/>
      <c r="J895" s="301"/>
      <c r="K895" s="301"/>
      <c r="L895" s="301"/>
      <c r="M895" s="301"/>
      <c r="N895" s="301"/>
    </row>
    <row r="896" spans="1:14" ht="14" x14ac:dyDescent="0.25">
      <c r="A896" s="299"/>
      <c r="B896" s="18"/>
      <c r="C896" s="398"/>
      <c r="D896" s="301"/>
      <c r="E896" s="399"/>
      <c r="F896" s="399"/>
      <c r="G896" s="399"/>
      <c r="H896" s="301"/>
      <c r="I896" s="301"/>
      <c r="J896" s="301"/>
      <c r="K896" s="301"/>
      <c r="L896" s="301"/>
      <c r="M896" s="301"/>
      <c r="N896" s="301"/>
    </row>
    <row r="897" spans="1:14" ht="14" x14ac:dyDescent="0.25">
      <c r="A897" s="299"/>
      <c r="B897" s="18"/>
      <c r="C897" s="398"/>
      <c r="D897" s="301"/>
      <c r="E897" s="399"/>
      <c r="F897" s="399"/>
      <c r="G897" s="399"/>
      <c r="H897" s="301"/>
      <c r="I897" s="301"/>
      <c r="J897" s="301"/>
      <c r="K897" s="301"/>
      <c r="L897" s="301"/>
      <c r="M897" s="301"/>
      <c r="N897" s="301"/>
    </row>
    <row r="898" spans="1:14" ht="14" x14ac:dyDescent="0.25">
      <c r="A898" s="299"/>
      <c r="B898" s="18"/>
      <c r="C898" s="398"/>
      <c r="D898" s="301"/>
      <c r="E898" s="399"/>
      <c r="F898" s="399"/>
      <c r="G898" s="399"/>
      <c r="H898" s="301"/>
      <c r="I898" s="301"/>
      <c r="J898" s="301"/>
      <c r="K898" s="301"/>
      <c r="L898" s="301"/>
      <c r="M898" s="301"/>
      <c r="N898" s="301"/>
    </row>
    <row r="899" spans="1:14" ht="14" x14ac:dyDescent="0.25">
      <c r="A899" s="299"/>
      <c r="B899" s="18"/>
      <c r="C899" s="398"/>
      <c r="D899" s="301"/>
      <c r="E899" s="399"/>
      <c r="F899" s="399"/>
      <c r="G899" s="399"/>
      <c r="H899" s="301"/>
      <c r="I899" s="301"/>
      <c r="J899" s="301"/>
      <c r="K899" s="301"/>
      <c r="L899" s="301"/>
      <c r="M899" s="301"/>
      <c r="N899" s="301"/>
    </row>
    <row r="900" spans="1:14" ht="14" x14ac:dyDescent="0.25">
      <c r="A900" s="299"/>
      <c r="B900" s="18"/>
      <c r="C900" s="398"/>
      <c r="D900" s="301"/>
      <c r="E900" s="399"/>
      <c r="F900" s="399"/>
      <c r="G900" s="399"/>
      <c r="H900" s="301"/>
      <c r="I900" s="301"/>
      <c r="J900" s="301"/>
      <c r="K900" s="301"/>
      <c r="L900" s="301"/>
      <c r="M900" s="301"/>
      <c r="N900" s="301"/>
    </row>
    <row r="901" spans="1:14" ht="14" x14ac:dyDescent="0.25">
      <c r="A901" s="299"/>
      <c r="B901" s="18"/>
      <c r="C901" s="398"/>
      <c r="D901" s="301"/>
      <c r="E901" s="399"/>
      <c r="F901" s="399"/>
      <c r="G901" s="399"/>
      <c r="H901" s="301"/>
      <c r="I901" s="301"/>
      <c r="J901" s="301"/>
      <c r="K901" s="301"/>
      <c r="L901" s="301"/>
      <c r="M901" s="301"/>
      <c r="N901" s="301"/>
    </row>
    <row r="902" spans="1:14" ht="14" x14ac:dyDescent="0.25">
      <c r="A902" s="299"/>
      <c r="B902" s="18"/>
      <c r="C902" s="398"/>
      <c r="D902" s="301"/>
      <c r="E902" s="399"/>
      <c r="F902" s="399"/>
      <c r="G902" s="399"/>
      <c r="H902" s="301"/>
      <c r="I902" s="301"/>
      <c r="J902" s="301"/>
      <c r="K902" s="301"/>
      <c r="L902" s="301"/>
      <c r="M902" s="301"/>
      <c r="N902" s="301"/>
    </row>
    <row r="903" spans="1:14" ht="14" x14ac:dyDescent="0.25">
      <c r="A903" s="299"/>
      <c r="B903" s="18"/>
      <c r="C903" s="398"/>
      <c r="D903" s="301"/>
      <c r="E903" s="399"/>
      <c r="F903" s="399"/>
      <c r="G903" s="399"/>
      <c r="H903" s="301"/>
      <c r="I903" s="301"/>
      <c r="J903" s="301"/>
      <c r="K903" s="301"/>
      <c r="L903" s="301"/>
      <c r="M903" s="301"/>
      <c r="N903" s="301"/>
    </row>
    <row r="904" spans="1:14" ht="14" x14ac:dyDescent="0.25">
      <c r="A904" s="299"/>
      <c r="B904" s="18"/>
      <c r="C904" s="398"/>
      <c r="D904" s="301"/>
      <c r="E904" s="399"/>
      <c r="F904" s="399"/>
      <c r="G904" s="399"/>
      <c r="H904" s="301"/>
      <c r="I904" s="301"/>
      <c r="J904" s="301"/>
      <c r="K904" s="301"/>
      <c r="L904" s="301"/>
      <c r="M904" s="301"/>
      <c r="N904" s="301"/>
    </row>
    <row r="905" spans="1:14" ht="14" x14ac:dyDescent="0.25">
      <c r="A905" s="299"/>
      <c r="B905" s="18"/>
      <c r="C905" s="398"/>
      <c r="D905" s="301"/>
      <c r="E905" s="399"/>
      <c r="F905" s="399"/>
      <c r="G905" s="399"/>
      <c r="H905" s="301"/>
      <c r="I905" s="301"/>
      <c r="J905" s="301"/>
      <c r="K905" s="301"/>
      <c r="L905" s="301"/>
      <c r="M905" s="301"/>
      <c r="N905" s="301"/>
    </row>
    <row r="906" spans="1:14" ht="14" x14ac:dyDescent="0.25">
      <c r="A906" s="299"/>
      <c r="B906" s="18"/>
      <c r="C906" s="398"/>
      <c r="D906" s="301"/>
      <c r="E906" s="399"/>
      <c r="F906" s="399"/>
      <c r="G906" s="399"/>
      <c r="H906" s="301"/>
      <c r="I906" s="301"/>
      <c r="J906" s="301"/>
      <c r="K906" s="301"/>
      <c r="L906" s="301"/>
      <c r="M906" s="301"/>
      <c r="N906" s="301"/>
    </row>
    <row r="907" spans="1:14" ht="14" x14ac:dyDescent="0.25">
      <c r="A907" s="299"/>
      <c r="B907" s="18"/>
      <c r="C907" s="398"/>
      <c r="D907" s="301"/>
      <c r="E907" s="399"/>
      <c r="F907" s="399"/>
      <c r="G907" s="399"/>
      <c r="H907" s="301"/>
      <c r="I907" s="301"/>
      <c r="J907" s="301"/>
      <c r="K907" s="301"/>
      <c r="L907" s="301"/>
      <c r="M907" s="301"/>
      <c r="N907" s="301"/>
    </row>
    <row r="908" spans="1:14" ht="14" x14ac:dyDescent="0.25">
      <c r="A908" s="299"/>
      <c r="B908" s="18"/>
      <c r="C908" s="398"/>
      <c r="D908" s="301"/>
      <c r="E908" s="399"/>
      <c r="F908" s="399"/>
      <c r="G908" s="399"/>
      <c r="H908" s="301"/>
      <c r="I908" s="301"/>
      <c r="J908" s="301"/>
      <c r="K908" s="301"/>
      <c r="L908" s="301"/>
      <c r="M908" s="301"/>
      <c r="N908" s="301"/>
    </row>
    <row r="909" spans="1:14" ht="14" x14ac:dyDescent="0.25">
      <c r="A909" s="299"/>
      <c r="B909" s="18"/>
      <c r="C909" s="398"/>
      <c r="D909" s="301"/>
      <c r="E909" s="399"/>
      <c r="F909" s="399"/>
      <c r="G909" s="399"/>
      <c r="H909" s="301"/>
      <c r="I909" s="301"/>
      <c r="J909" s="301"/>
      <c r="K909" s="301"/>
      <c r="L909" s="301"/>
      <c r="M909" s="301"/>
      <c r="N909" s="301"/>
    </row>
    <row r="910" spans="1:14" ht="14" x14ac:dyDescent="0.25">
      <c r="A910" s="299"/>
      <c r="B910" s="18"/>
      <c r="C910" s="398"/>
      <c r="D910" s="301"/>
      <c r="E910" s="399"/>
      <c r="F910" s="399"/>
      <c r="G910" s="399"/>
      <c r="H910" s="301"/>
      <c r="I910" s="301"/>
      <c r="J910" s="301"/>
      <c r="K910" s="301"/>
      <c r="L910" s="301"/>
      <c r="M910" s="301"/>
      <c r="N910" s="301"/>
    </row>
    <row r="911" spans="1:14" ht="14" x14ac:dyDescent="0.25">
      <c r="A911" s="299"/>
      <c r="B911" s="18"/>
      <c r="C911" s="398"/>
      <c r="D911" s="301"/>
      <c r="E911" s="399"/>
      <c r="F911" s="399"/>
      <c r="G911" s="399"/>
      <c r="H911" s="301"/>
      <c r="I911" s="301"/>
      <c r="J911" s="301"/>
      <c r="K911" s="301"/>
      <c r="L911" s="301"/>
      <c r="M911" s="301"/>
      <c r="N911" s="301"/>
    </row>
    <row r="912" spans="1:14" ht="14" x14ac:dyDescent="0.25">
      <c r="A912" s="299"/>
      <c r="B912" s="18"/>
      <c r="C912" s="398"/>
      <c r="D912" s="301"/>
      <c r="E912" s="399"/>
      <c r="F912" s="399"/>
      <c r="G912" s="399"/>
      <c r="H912" s="301"/>
      <c r="I912" s="301"/>
      <c r="J912" s="301"/>
      <c r="K912" s="301"/>
      <c r="L912" s="301"/>
      <c r="M912" s="301"/>
      <c r="N912" s="301"/>
    </row>
    <row r="913" spans="1:14" ht="14" x14ac:dyDescent="0.25">
      <c r="A913" s="299"/>
      <c r="B913" s="18"/>
      <c r="C913" s="398"/>
      <c r="D913" s="301"/>
      <c r="E913" s="399"/>
      <c r="F913" s="399"/>
      <c r="G913" s="399"/>
      <c r="H913" s="301"/>
      <c r="I913" s="301"/>
      <c r="J913" s="301"/>
      <c r="K913" s="301"/>
      <c r="L913" s="301"/>
      <c r="M913" s="301"/>
      <c r="N913" s="301"/>
    </row>
    <row r="914" spans="1:14" ht="14" x14ac:dyDescent="0.25">
      <c r="A914" s="299"/>
      <c r="B914" s="18"/>
      <c r="C914" s="398"/>
      <c r="D914" s="301"/>
      <c r="E914" s="399"/>
      <c r="F914" s="399"/>
      <c r="G914" s="399"/>
      <c r="H914" s="301"/>
      <c r="I914" s="301"/>
      <c r="J914" s="301"/>
      <c r="K914" s="301"/>
      <c r="L914" s="301"/>
      <c r="M914" s="301"/>
      <c r="N914" s="301"/>
    </row>
    <row r="915" spans="1:14" ht="14" x14ac:dyDescent="0.25">
      <c r="A915" s="299"/>
      <c r="B915" s="18"/>
      <c r="C915" s="398"/>
      <c r="D915" s="301"/>
      <c r="E915" s="399"/>
      <c r="F915" s="399"/>
      <c r="G915" s="399"/>
      <c r="H915" s="301"/>
      <c r="I915" s="301"/>
      <c r="J915" s="301"/>
      <c r="K915" s="301"/>
      <c r="L915" s="301"/>
      <c r="M915" s="301"/>
      <c r="N915" s="301"/>
    </row>
    <row r="916" spans="1:14" ht="14" x14ac:dyDescent="0.25">
      <c r="A916" s="299"/>
      <c r="B916" s="18"/>
      <c r="C916" s="398"/>
      <c r="D916" s="301"/>
      <c r="E916" s="399"/>
      <c r="F916" s="399"/>
      <c r="G916" s="399"/>
      <c r="H916" s="301"/>
      <c r="I916" s="301"/>
      <c r="J916" s="301"/>
      <c r="K916" s="301"/>
      <c r="L916" s="301"/>
      <c r="M916" s="301"/>
      <c r="N916" s="301"/>
    </row>
    <row r="917" spans="1:14" ht="14" x14ac:dyDescent="0.25">
      <c r="A917" s="299"/>
      <c r="B917" s="18"/>
      <c r="C917" s="398"/>
      <c r="D917" s="301"/>
      <c r="E917" s="399"/>
      <c r="F917" s="399"/>
      <c r="G917" s="399"/>
      <c r="H917" s="301"/>
      <c r="I917" s="301"/>
      <c r="J917" s="301"/>
      <c r="K917" s="301"/>
      <c r="L917" s="301"/>
      <c r="M917" s="301"/>
      <c r="N917" s="301"/>
    </row>
    <row r="918" spans="1:14" ht="14" x14ac:dyDescent="0.25">
      <c r="A918" s="299"/>
      <c r="B918" s="18"/>
      <c r="C918" s="398"/>
      <c r="D918" s="301"/>
      <c r="E918" s="399"/>
      <c r="F918" s="399"/>
      <c r="G918" s="399"/>
      <c r="H918" s="301"/>
      <c r="I918" s="301"/>
      <c r="J918" s="301"/>
      <c r="K918" s="301"/>
      <c r="L918" s="301"/>
      <c r="M918" s="301"/>
      <c r="N918" s="301"/>
    </row>
    <row r="919" spans="1:14" ht="14" x14ac:dyDescent="0.25">
      <c r="A919" s="299"/>
      <c r="B919" s="18"/>
      <c r="C919" s="398"/>
      <c r="D919" s="301"/>
      <c r="E919" s="399"/>
      <c r="F919" s="399"/>
      <c r="G919" s="399"/>
      <c r="H919" s="301"/>
      <c r="I919" s="301"/>
      <c r="J919" s="301"/>
      <c r="K919" s="301"/>
      <c r="L919" s="301"/>
      <c r="M919" s="301"/>
      <c r="N919" s="301"/>
    </row>
    <row r="920" spans="1:14" ht="14" x14ac:dyDescent="0.25">
      <c r="A920" s="299"/>
      <c r="B920" s="18"/>
      <c r="C920" s="398"/>
      <c r="D920" s="301"/>
      <c r="E920" s="399"/>
      <c r="F920" s="399"/>
      <c r="G920" s="399"/>
      <c r="H920" s="301"/>
      <c r="I920" s="301"/>
      <c r="J920" s="301"/>
      <c r="K920" s="301"/>
      <c r="L920" s="301"/>
      <c r="M920" s="301"/>
      <c r="N920" s="301"/>
    </row>
    <row r="921" spans="1:14" ht="14" x14ac:dyDescent="0.25">
      <c r="A921" s="299"/>
      <c r="B921" s="18"/>
      <c r="C921" s="398"/>
      <c r="D921" s="301"/>
      <c r="E921" s="399"/>
      <c r="F921" s="399"/>
      <c r="G921" s="399"/>
      <c r="H921" s="301"/>
      <c r="I921" s="301"/>
      <c r="J921" s="301"/>
      <c r="K921" s="301"/>
      <c r="L921" s="301"/>
      <c r="M921" s="301"/>
      <c r="N921" s="301"/>
    </row>
    <row r="922" spans="1:14" ht="14" x14ac:dyDescent="0.25">
      <c r="A922" s="299"/>
      <c r="B922" s="18"/>
      <c r="C922" s="398"/>
      <c r="D922" s="301"/>
      <c r="E922" s="399"/>
      <c r="F922" s="399"/>
      <c r="G922" s="399"/>
      <c r="H922" s="301"/>
      <c r="I922" s="301"/>
      <c r="J922" s="301"/>
      <c r="K922" s="301"/>
      <c r="L922" s="301"/>
      <c r="M922" s="301"/>
      <c r="N922" s="301"/>
    </row>
    <row r="923" spans="1:14" ht="14" x14ac:dyDescent="0.25">
      <c r="A923" s="299"/>
      <c r="B923" s="18"/>
      <c r="C923" s="398"/>
      <c r="D923" s="301"/>
      <c r="E923" s="399"/>
      <c r="F923" s="399"/>
      <c r="G923" s="399"/>
      <c r="H923" s="301"/>
      <c r="I923" s="301"/>
      <c r="J923" s="301"/>
      <c r="K923" s="301"/>
      <c r="L923" s="301"/>
      <c r="M923" s="301"/>
      <c r="N923" s="301"/>
    </row>
    <row r="924" spans="1:14" ht="14" x14ac:dyDescent="0.25">
      <c r="A924" s="299"/>
      <c r="B924" s="18"/>
      <c r="C924" s="398"/>
      <c r="D924" s="301"/>
      <c r="E924" s="399"/>
      <c r="F924" s="399"/>
      <c r="G924" s="399"/>
      <c r="H924" s="301"/>
      <c r="I924" s="301"/>
      <c r="J924" s="301"/>
      <c r="K924" s="301"/>
      <c r="L924" s="301"/>
      <c r="M924" s="301"/>
      <c r="N924" s="301"/>
    </row>
    <row r="925" spans="1:14" ht="14" x14ac:dyDescent="0.25">
      <c r="A925" s="299"/>
      <c r="B925" s="18"/>
      <c r="C925" s="398"/>
      <c r="D925" s="301"/>
      <c r="E925" s="399"/>
      <c r="F925" s="399"/>
      <c r="G925" s="399"/>
      <c r="H925" s="301"/>
      <c r="I925" s="301"/>
      <c r="J925" s="301"/>
      <c r="K925" s="301"/>
      <c r="L925" s="301"/>
      <c r="M925" s="301"/>
      <c r="N925" s="301"/>
    </row>
    <row r="926" spans="1:14" ht="14" x14ac:dyDescent="0.25">
      <c r="A926" s="299"/>
      <c r="B926" s="18"/>
      <c r="C926" s="398"/>
      <c r="D926" s="301"/>
      <c r="E926" s="399"/>
      <c r="F926" s="399"/>
      <c r="G926" s="399"/>
      <c r="H926" s="301"/>
      <c r="I926" s="301"/>
      <c r="J926" s="301"/>
      <c r="K926" s="301"/>
      <c r="L926" s="301"/>
      <c r="M926" s="301"/>
      <c r="N926" s="301"/>
    </row>
    <row r="927" spans="1:14" ht="14" x14ac:dyDescent="0.25">
      <c r="A927" s="299"/>
      <c r="B927" s="18"/>
      <c r="C927" s="398"/>
      <c r="D927" s="301"/>
      <c r="E927" s="399"/>
      <c r="F927" s="399"/>
      <c r="G927" s="399"/>
      <c r="H927" s="301"/>
      <c r="I927" s="301"/>
      <c r="J927" s="301"/>
      <c r="K927" s="301"/>
      <c r="L927" s="301"/>
      <c r="M927" s="301"/>
      <c r="N927" s="301"/>
    </row>
    <row r="928" spans="1:14" ht="14" x14ac:dyDescent="0.25">
      <c r="A928" s="299"/>
      <c r="B928" s="18"/>
      <c r="C928" s="398"/>
      <c r="D928" s="301"/>
      <c r="E928" s="399"/>
      <c r="F928" s="399"/>
      <c r="G928" s="399"/>
      <c r="H928" s="301"/>
      <c r="I928" s="301"/>
      <c r="J928" s="301"/>
      <c r="K928" s="301"/>
      <c r="L928" s="301"/>
      <c r="M928" s="301"/>
      <c r="N928" s="301"/>
    </row>
    <row r="929" spans="1:14" ht="14" x14ac:dyDescent="0.25">
      <c r="A929" s="299"/>
      <c r="B929" s="18"/>
      <c r="C929" s="398"/>
      <c r="D929" s="301"/>
      <c r="E929" s="399"/>
      <c r="F929" s="399"/>
      <c r="G929" s="399"/>
      <c r="H929" s="301"/>
      <c r="I929" s="301"/>
      <c r="J929" s="301"/>
      <c r="K929" s="301"/>
      <c r="L929" s="301"/>
      <c r="M929" s="301"/>
      <c r="N929" s="301"/>
    </row>
    <row r="930" spans="1:14" ht="14" x14ac:dyDescent="0.25">
      <c r="A930" s="299"/>
      <c r="B930" s="18"/>
      <c r="C930" s="398"/>
      <c r="D930" s="301"/>
      <c r="E930" s="399"/>
      <c r="F930" s="399"/>
      <c r="G930" s="399"/>
      <c r="H930" s="301"/>
      <c r="I930" s="301"/>
      <c r="J930" s="301"/>
      <c r="K930" s="301"/>
      <c r="L930" s="301"/>
      <c r="M930" s="301"/>
      <c r="N930" s="301"/>
    </row>
    <row r="931" spans="1:14" ht="14" x14ac:dyDescent="0.25">
      <c r="A931" s="299"/>
      <c r="B931" s="18"/>
      <c r="C931" s="398"/>
      <c r="D931" s="301"/>
      <c r="E931" s="399"/>
      <c r="F931" s="399"/>
      <c r="G931" s="399"/>
      <c r="H931" s="301"/>
      <c r="I931" s="301"/>
      <c r="J931" s="301"/>
      <c r="K931" s="301"/>
      <c r="L931" s="301"/>
      <c r="M931" s="301"/>
      <c r="N931" s="301"/>
    </row>
    <row r="932" spans="1:14" ht="14" x14ac:dyDescent="0.25">
      <c r="A932" s="299"/>
      <c r="B932" s="18"/>
      <c r="C932" s="398"/>
      <c r="D932" s="301"/>
      <c r="E932" s="399"/>
      <c r="F932" s="399"/>
      <c r="G932" s="399"/>
      <c r="H932" s="301"/>
      <c r="I932" s="301"/>
      <c r="J932" s="301"/>
      <c r="K932" s="301"/>
      <c r="L932" s="301"/>
      <c r="M932" s="301"/>
      <c r="N932" s="301"/>
    </row>
    <row r="933" spans="1:14" ht="14" x14ac:dyDescent="0.25">
      <c r="A933" s="299"/>
      <c r="B933" s="18"/>
      <c r="C933" s="398"/>
      <c r="D933" s="301"/>
      <c r="E933" s="399"/>
      <c r="F933" s="399"/>
      <c r="G933" s="399"/>
      <c r="H933" s="301"/>
      <c r="I933" s="301"/>
      <c r="J933" s="301"/>
      <c r="K933" s="301"/>
      <c r="L933" s="301"/>
      <c r="M933" s="301"/>
      <c r="N933" s="301"/>
    </row>
    <row r="934" spans="1:14" ht="14" x14ac:dyDescent="0.25">
      <c r="A934" s="299"/>
      <c r="B934" s="18"/>
      <c r="C934" s="398"/>
      <c r="D934" s="301"/>
      <c r="E934" s="399"/>
      <c r="F934" s="399"/>
      <c r="G934" s="399"/>
      <c r="H934" s="301"/>
      <c r="I934" s="301"/>
      <c r="J934" s="301"/>
      <c r="K934" s="301"/>
      <c r="L934" s="301"/>
      <c r="M934" s="301"/>
      <c r="N934" s="301"/>
    </row>
    <row r="935" spans="1:14" ht="14" x14ac:dyDescent="0.25">
      <c r="A935" s="299"/>
      <c r="B935" s="18"/>
      <c r="C935" s="398"/>
      <c r="D935" s="301"/>
      <c r="E935" s="399"/>
      <c r="F935" s="399"/>
      <c r="G935" s="399"/>
      <c r="H935" s="301"/>
      <c r="I935" s="301"/>
      <c r="J935" s="301"/>
      <c r="K935" s="301"/>
      <c r="L935" s="301"/>
      <c r="M935" s="301"/>
      <c r="N935" s="301"/>
    </row>
    <row r="936" spans="1:14" ht="14" x14ac:dyDescent="0.25">
      <c r="A936" s="299"/>
      <c r="B936" s="18"/>
      <c r="C936" s="398"/>
      <c r="D936" s="301"/>
      <c r="E936" s="399"/>
      <c r="F936" s="399"/>
      <c r="G936" s="399"/>
      <c r="H936" s="301"/>
      <c r="I936" s="301"/>
      <c r="J936" s="301"/>
      <c r="K936" s="301"/>
      <c r="L936" s="301"/>
      <c r="M936" s="301"/>
      <c r="N936" s="301"/>
    </row>
    <row r="937" spans="1:14" ht="14" x14ac:dyDescent="0.25">
      <c r="A937" s="299"/>
      <c r="B937" s="18"/>
      <c r="C937" s="398"/>
      <c r="D937" s="301"/>
      <c r="E937" s="399"/>
      <c r="F937" s="399"/>
      <c r="G937" s="399"/>
      <c r="H937" s="301"/>
      <c r="I937" s="301"/>
      <c r="J937" s="301"/>
      <c r="K937" s="301"/>
      <c r="L937" s="301"/>
      <c r="M937" s="301"/>
      <c r="N937" s="301"/>
    </row>
    <row r="938" spans="1:14" ht="14" x14ac:dyDescent="0.25">
      <c r="A938" s="299"/>
      <c r="B938" s="18"/>
      <c r="C938" s="398"/>
      <c r="D938" s="301"/>
      <c r="E938" s="399"/>
      <c r="F938" s="399"/>
      <c r="G938" s="399"/>
      <c r="H938" s="301"/>
      <c r="I938" s="301"/>
      <c r="J938" s="301"/>
      <c r="K938" s="301"/>
      <c r="L938" s="301"/>
      <c r="M938" s="301"/>
      <c r="N938" s="301"/>
    </row>
    <row r="939" spans="1:14" ht="14" x14ac:dyDescent="0.25">
      <c r="A939" s="299"/>
      <c r="B939" s="18"/>
      <c r="C939" s="398"/>
      <c r="D939" s="301"/>
      <c r="E939" s="399"/>
      <c r="F939" s="399"/>
      <c r="G939" s="399"/>
      <c r="H939" s="301"/>
      <c r="I939" s="301"/>
      <c r="J939" s="301"/>
      <c r="K939" s="301"/>
      <c r="L939" s="301"/>
      <c r="M939" s="301"/>
      <c r="N939" s="301"/>
    </row>
    <row r="940" spans="1:14" ht="14" x14ac:dyDescent="0.25">
      <c r="A940" s="299"/>
      <c r="B940" s="18"/>
      <c r="C940" s="398"/>
      <c r="D940" s="301"/>
      <c r="E940" s="399"/>
      <c r="F940" s="399"/>
      <c r="G940" s="399"/>
      <c r="H940" s="301"/>
      <c r="I940" s="301"/>
      <c r="J940" s="301"/>
      <c r="K940" s="301"/>
      <c r="L940" s="301"/>
      <c r="M940" s="301"/>
      <c r="N940" s="301"/>
    </row>
    <row r="941" spans="1:14" ht="14" x14ac:dyDescent="0.25">
      <c r="A941" s="299"/>
      <c r="B941" s="18"/>
      <c r="C941" s="398"/>
      <c r="D941" s="301"/>
      <c r="E941" s="399"/>
      <c r="F941" s="399"/>
      <c r="G941" s="399"/>
      <c r="H941" s="301"/>
      <c r="I941" s="301"/>
      <c r="J941" s="301"/>
      <c r="K941" s="301"/>
      <c r="L941" s="301"/>
      <c r="M941" s="301"/>
      <c r="N941" s="301"/>
    </row>
    <row r="942" spans="1:14" ht="14" x14ac:dyDescent="0.25">
      <c r="A942" s="299"/>
      <c r="B942" s="18"/>
      <c r="C942" s="398"/>
      <c r="D942" s="301"/>
      <c r="E942" s="399"/>
      <c r="F942" s="399"/>
      <c r="G942" s="399"/>
      <c r="H942" s="301"/>
      <c r="I942" s="301"/>
      <c r="J942" s="301"/>
      <c r="K942" s="301"/>
      <c r="L942" s="301"/>
      <c r="M942" s="301"/>
      <c r="N942" s="301"/>
    </row>
    <row r="943" spans="1:14" ht="14" x14ac:dyDescent="0.25">
      <c r="A943" s="299"/>
      <c r="B943" s="18"/>
      <c r="C943" s="398"/>
      <c r="D943" s="301"/>
      <c r="E943" s="399"/>
      <c r="F943" s="399"/>
      <c r="G943" s="399"/>
      <c r="H943" s="301"/>
      <c r="I943" s="301"/>
      <c r="J943" s="301"/>
      <c r="K943" s="301"/>
      <c r="L943" s="301"/>
      <c r="M943" s="301"/>
      <c r="N943" s="301"/>
    </row>
    <row r="944" spans="1:14" ht="14" x14ac:dyDescent="0.25">
      <c r="A944" s="299"/>
      <c r="B944" s="18"/>
      <c r="C944" s="398"/>
      <c r="D944" s="301"/>
      <c r="E944" s="399"/>
      <c r="F944" s="399"/>
      <c r="G944" s="399"/>
      <c r="H944" s="301"/>
      <c r="I944" s="301"/>
      <c r="J944" s="301"/>
      <c r="K944" s="301"/>
      <c r="L944" s="301"/>
      <c r="M944" s="301"/>
      <c r="N944" s="301"/>
    </row>
    <row r="945" spans="1:14" ht="14" x14ac:dyDescent="0.25">
      <c r="A945" s="299"/>
      <c r="B945" s="18"/>
      <c r="C945" s="398"/>
      <c r="D945" s="301"/>
      <c r="E945" s="399"/>
      <c r="F945" s="399"/>
      <c r="G945" s="399"/>
      <c r="H945" s="301"/>
      <c r="I945" s="301"/>
      <c r="J945" s="301"/>
      <c r="K945" s="301"/>
      <c r="L945" s="301"/>
      <c r="M945" s="301"/>
      <c r="N945" s="301"/>
    </row>
    <row r="946" spans="1:14" ht="14" x14ac:dyDescent="0.25">
      <c r="A946" s="299"/>
      <c r="B946" s="18"/>
      <c r="C946" s="398"/>
      <c r="D946" s="301"/>
      <c r="E946" s="399"/>
      <c r="F946" s="399"/>
      <c r="G946" s="399"/>
      <c r="H946" s="301"/>
      <c r="I946" s="301"/>
      <c r="J946" s="301"/>
      <c r="K946" s="301"/>
      <c r="L946" s="301"/>
      <c r="M946" s="301"/>
      <c r="N946" s="301"/>
    </row>
    <row r="947" spans="1:14" ht="14" x14ac:dyDescent="0.25">
      <c r="A947" s="299"/>
      <c r="B947" s="18"/>
      <c r="C947" s="398"/>
      <c r="D947" s="301"/>
      <c r="E947" s="399"/>
      <c r="F947" s="399"/>
      <c r="G947" s="399"/>
      <c r="H947" s="301"/>
      <c r="I947" s="301"/>
      <c r="J947" s="301"/>
      <c r="K947" s="301"/>
      <c r="L947" s="301"/>
      <c r="M947" s="301"/>
      <c r="N947" s="301"/>
    </row>
    <row r="948" spans="1:14" ht="14" x14ac:dyDescent="0.25">
      <c r="A948" s="299"/>
      <c r="B948" s="18"/>
      <c r="C948" s="398"/>
      <c r="D948" s="301"/>
      <c r="E948" s="399"/>
      <c r="F948" s="399"/>
      <c r="G948" s="399"/>
      <c r="H948" s="301"/>
      <c r="I948" s="301"/>
      <c r="J948" s="301"/>
      <c r="K948" s="301"/>
      <c r="L948" s="301"/>
      <c r="M948" s="301"/>
      <c r="N948" s="301"/>
    </row>
    <row r="949" spans="1:14" ht="14" x14ac:dyDescent="0.25">
      <c r="A949" s="299"/>
      <c r="B949" s="18"/>
      <c r="C949" s="398"/>
      <c r="D949" s="301"/>
      <c r="E949" s="399"/>
      <c r="F949" s="399"/>
      <c r="G949" s="399"/>
      <c r="H949" s="301"/>
      <c r="I949" s="301"/>
      <c r="J949" s="301"/>
      <c r="K949" s="301"/>
      <c r="L949" s="301"/>
      <c r="M949" s="301"/>
      <c r="N949" s="301"/>
    </row>
    <row r="950" spans="1:14" ht="14" x14ac:dyDescent="0.25">
      <c r="A950" s="299"/>
      <c r="B950" s="18"/>
      <c r="C950" s="398"/>
      <c r="D950" s="301"/>
      <c r="E950" s="399"/>
      <c r="F950" s="399"/>
      <c r="G950" s="399"/>
      <c r="H950" s="301"/>
      <c r="I950" s="301"/>
      <c r="J950" s="301"/>
      <c r="K950" s="301"/>
      <c r="L950" s="301"/>
      <c r="M950" s="301"/>
      <c r="N950" s="301"/>
    </row>
    <row r="951" spans="1:14" ht="14" x14ac:dyDescent="0.25">
      <c r="A951" s="299"/>
      <c r="B951" s="18"/>
      <c r="C951" s="398"/>
      <c r="D951" s="301"/>
      <c r="E951" s="399"/>
      <c r="F951" s="399"/>
      <c r="G951" s="399"/>
      <c r="H951" s="301"/>
      <c r="I951" s="301"/>
      <c r="J951" s="301"/>
      <c r="K951" s="301"/>
      <c r="L951" s="301"/>
      <c r="M951" s="301"/>
      <c r="N951" s="301"/>
    </row>
    <row r="952" spans="1:14" ht="14" x14ac:dyDescent="0.25">
      <c r="A952" s="299"/>
      <c r="B952" s="18"/>
      <c r="C952" s="398"/>
      <c r="D952" s="301"/>
      <c r="E952" s="399"/>
      <c r="F952" s="399"/>
      <c r="G952" s="399"/>
      <c r="H952" s="301"/>
      <c r="I952" s="301"/>
      <c r="J952" s="301"/>
      <c r="K952" s="301"/>
      <c r="L952" s="301"/>
      <c r="M952" s="301"/>
      <c r="N952" s="301"/>
    </row>
    <row r="953" spans="1:14" ht="14" x14ac:dyDescent="0.25">
      <c r="A953" s="299"/>
      <c r="B953" s="18"/>
      <c r="C953" s="398"/>
      <c r="D953" s="301"/>
      <c r="E953" s="399"/>
      <c r="F953" s="399"/>
      <c r="G953" s="399"/>
      <c r="H953" s="301"/>
      <c r="I953" s="301"/>
      <c r="J953" s="301"/>
      <c r="K953" s="301"/>
      <c r="L953" s="301"/>
      <c r="M953" s="301"/>
      <c r="N953" s="301"/>
    </row>
    <row r="954" spans="1:14" ht="14" x14ac:dyDescent="0.25">
      <c r="A954" s="299"/>
      <c r="B954" s="18"/>
      <c r="C954" s="398"/>
      <c r="D954" s="301"/>
      <c r="E954" s="399"/>
      <c r="F954" s="399"/>
      <c r="G954" s="399"/>
      <c r="H954" s="301"/>
      <c r="I954" s="301"/>
      <c r="J954" s="301"/>
      <c r="K954" s="301"/>
      <c r="L954" s="301"/>
      <c r="M954" s="301"/>
      <c r="N954" s="301"/>
    </row>
    <row r="955" spans="1:14" ht="14" x14ac:dyDescent="0.25">
      <c r="A955" s="299"/>
      <c r="B955" s="18"/>
      <c r="C955" s="398"/>
      <c r="D955" s="301"/>
      <c r="E955" s="399"/>
      <c r="F955" s="399"/>
      <c r="G955" s="399"/>
      <c r="H955" s="301"/>
      <c r="I955" s="301"/>
      <c r="J955" s="301"/>
      <c r="K955" s="301"/>
      <c r="L955" s="301"/>
      <c r="M955" s="301"/>
      <c r="N955" s="301"/>
    </row>
    <row r="956" spans="1:14" ht="14" x14ac:dyDescent="0.25">
      <c r="A956" s="299"/>
      <c r="B956" s="18"/>
      <c r="C956" s="398"/>
      <c r="D956" s="301"/>
      <c r="E956" s="399"/>
      <c r="F956" s="399"/>
      <c r="G956" s="399"/>
      <c r="H956" s="301"/>
      <c r="I956" s="301"/>
      <c r="J956" s="301"/>
      <c r="K956" s="301"/>
      <c r="L956" s="301"/>
      <c r="M956" s="301"/>
      <c r="N956" s="301"/>
    </row>
    <row r="957" spans="1:14" ht="14" x14ac:dyDescent="0.25">
      <c r="A957" s="299"/>
      <c r="B957" s="18"/>
      <c r="C957" s="398"/>
      <c r="D957" s="301"/>
      <c r="E957" s="399"/>
      <c r="F957" s="399"/>
      <c r="G957" s="399"/>
      <c r="H957" s="301"/>
      <c r="I957" s="301"/>
      <c r="J957" s="301"/>
      <c r="K957" s="301"/>
      <c r="L957" s="301"/>
      <c r="M957" s="301"/>
      <c r="N957" s="301"/>
    </row>
    <row r="958" spans="1:14" ht="14" x14ac:dyDescent="0.25">
      <c r="A958" s="299"/>
      <c r="B958" s="18"/>
      <c r="C958" s="398"/>
      <c r="D958" s="301"/>
      <c r="E958" s="399"/>
      <c r="F958" s="399"/>
      <c r="G958" s="399"/>
      <c r="H958" s="301"/>
      <c r="I958" s="301"/>
      <c r="J958" s="301"/>
      <c r="K958" s="301"/>
      <c r="L958" s="301"/>
      <c r="M958" s="301"/>
      <c r="N958" s="301"/>
    </row>
    <row r="959" spans="1:14" ht="14" x14ac:dyDescent="0.25">
      <c r="A959" s="299"/>
      <c r="B959" s="18"/>
      <c r="C959" s="398"/>
      <c r="D959" s="301"/>
      <c r="E959" s="399"/>
      <c r="F959" s="399"/>
      <c r="G959" s="399"/>
      <c r="H959" s="301"/>
      <c r="I959" s="301"/>
      <c r="J959" s="301"/>
      <c r="K959" s="301"/>
      <c r="L959" s="301"/>
      <c r="M959" s="301"/>
      <c r="N959" s="301"/>
    </row>
    <row r="960" spans="1:14" ht="14" x14ac:dyDescent="0.25">
      <c r="A960" s="299"/>
      <c r="B960" s="18"/>
      <c r="C960" s="398"/>
      <c r="D960" s="301"/>
      <c r="E960" s="399"/>
      <c r="F960" s="399"/>
      <c r="G960" s="399"/>
      <c r="H960" s="301"/>
      <c r="I960" s="301"/>
      <c r="J960" s="301"/>
      <c r="K960" s="301"/>
      <c r="L960" s="301"/>
      <c r="M960" s="301"/>
      <c r="N960" s="301"/>
    </row>
    <row r="961" spans="1:14" ht="14" x14ac:dyDescent="0.25">
      <c r="A961" s="299"/>
      <c r="B961" s="18"/>
      <c r="C961" s="398"/>
      <c r="D961" s="301"/>
      <c r="E961" s="399"/>
      <c r="F961" s="399"/>
      <c r="G961" s="399"/>
      <c r="H961" s="301"/>
      <c r="I961" s="301"/>
      <c r="J961" s="301"/>
      <c r="K961" s="301"/>
      <c r="L961" s="301"/>
      <c r="M961" s="301"/>
      <c r="N961" s="301"/>
    </row>
    <row r="962" spans="1:14" ht="14" x14ac:dyDescent="0.25">
      <c r="A962" s="299"/>
      <c r="B962" s="18"/>
      <c r="C962" s="398"/>
      <c r="D962" s="301"/>
      <c r="E962" s="399"/>
      <c r="F962" s="399"/>
      <c r="G962" s="399"/>
      <c r="H962" s="301"/>
      <c r="I962" s="301"/>
      <c r="J962" s="301"/>
      <c r="K962" s="301"/>
      <c r="L962" s="301"/>
      <c r="M962" s="301"/>
      <c r="N962" s="301"/>
    </row>
    <row r="963" spans="1:14" ht="14" x14ac:dyDescent="0.25">
      <c r="A963" s="299"/>
      <c r="B963" s="18"/>
      <c r="C963" s="398"/>
      <c r="D963" s="301"/>
      <c r="E963" s="399"/>
      <c r="F963" s="399"/>
      <c r="G963" s="399"/>
      <c r="H963" s="301"/>
      <c r="I963" s="301"/>
      <c r="J963" s="301"/>
      <c r="K963" s="301"/>
      <c r="L963" s="301"/>
      <c r="M963" s="301"/>
      <c r="N963" s="301"/>
    </row>
    <row r="964" spans="1:14" ht="14" x14ac:dyDescent="0.25">
      <c r="A964" s="299"/>
      <c r="B964" s="18"/>
      <c r="C964" s="398"/>
      <c r="D964" s="301"/>
      <c r="E964" s="399"/>
      <c r="F964" s="399"/>
      <c r="G964" s="399"/>
      <c r="H964" s="301"/>
      <c r="I964" s="301"/>
      <c r="J964" s="301"/>
      <c r="K964" s="301"/>
      <c r="L964" s="301"/>
      <c r="M964" s="301"/>
      <c r="N964" s="301"/>
    </row>
    <row r="965" spans="1:14" ht="14" x14ac:dyDescent="0.25">
      <c r="A965" s="299"/>
      <c r="B965" s="18"/>
      <c r="C965" s="398"/>
      <c r="D965" s="301"/>
      <c r="E965" s="399"/>
      <c r="F965" s="399"/>
      <c r="G965" s="399"/>
      <c r="H965" s="301"/>
      <c r="I965" s="301"/>
      <c r="J965" s="301"/>
      <c r="K965" s="301"/>
      <c r="L965" s="301"/>
      <c r="M965" s="301"/>
      <c r="N965" s="301"/>
    </row>
    <row r="966" spans="1:14" ht="14" x14ac:dyDescent="0.25">
      <c r="A966" s="299"/>
      <c r="B966" s="18"/>
      <c r="C966" s="398"/>
      <c r="D966" s="301"/>
      <c r="E966" s="399"/>
      <c r="F966" s="399"/>
      <c r="G966" s="399"/>
      <c r="H966" s="301"/>
      <c r="I966" s="301"/>
      <c r="J966" s="301"/>
      <c r="K966" s="301"/>
      <c r="L966" s="301"/>
      <c r="M966" s="301"/>
      <c r="N966" s="301"/>
    </row>
    <row r="967" spans="1:14" ht="14" x14ac:dyDescent="0.25">
      <c r="A967" s="299"/>
      <c r="B967" s="18"/>
      <c r="C967" s="398"/>
      <c r="D967" s="301"/>
      <c r="E967" s="399"/>
      <c r="F967" s="399"/>
      <c r="G967" s="399"/>
      <c r="H967" s="301"/>
      <c r="I967" s="301"/>
      <c r="J967" s="301"/>
      <c r="K967" s="301"/>
      <c r="L967" s="301"/>
      <c r="M967" s="301"/>
      <c r="N967" s="301"/>
    </row>
    <row r="968" spans="1:14" ht="14" x14ac:dyDescent="0.25">
      <c r="A968" s="299"/>
      <c r="B968" s="18"/>
      <c r="C968" s="398"/>
      <c r="D968" s="301"/>
      <c r="E968" s="399"/>
      <c r="F968" s="399"/>
      <c r="G968" s="399"/>
      <c r="H968" s="301"/>
      <c r="I968" s="301"/>
      <c r="J968" s="301"/>
      <c r="K968" s="301"/>
      <c r="L968" s="301"/>
      <c r="M968" s="301"/>
      <c r="N968" s="301"/>
    </row>
    <row r="969" spans="1:14" ht="14" x14ac:dyDescent="0.25">
      <c r="A969" s="299"/>
      <c r="B969" s="18"/>
      <c r="C969" s="398"/>
      <c r="D969" s="301"/>
      <c r="E969" s="399"/>
      <c r="F969" s="399"/>
      <c r="G969" s="399"/>
      <c r="H969" s="301"/>
      <c r="I969" s="301"/>
      <c r="J969" s="301"/>
      <c r="K969" s="301"/>
      <c r="L969" s="301"/>
      <c r="M969" s="301"/>
      <c r="N969" s="301"/>
    </row>
    <row r="970" spans="1:14" ht="14" x14ac:dyDescent="0.25">
      <c r="A970" s="299"/>
      <c r="B970" s="18"/>
      <c r="C970" s="398"/>
      <c r="D970" s="301"/>
      <c r="E970" s="399"/>
      <c r="F970" s="399"/>
      <c r="G970" s="399"/>
      <c r="H970" s="301"/>
      <c r="I970" s="301"/>
      <c r="J970" s="301"/>
      <c r="K970" s="301"/>
      <c r="L970" s="301"/>
      <c r="M970" s="301"/>
      <c r="N970" s="301"/>
    </row>
    <row r="971" spans="1:14" ht="14" x14ac:dyDescent="0.25">
      <c r="A971" s="299"/>
      <c r="B971" s="18"/>
      <c r="C971" s="398"/>
      <c r="D971" s="301"/>
      <c r="E971" s="399"/>
      <c r="F971" s="399"/>
      <c r="G971" s="399"/>
      <c r="H971" s="301"/>
      <c r="I971" s="301"/>
      <c r="J971" s="301"/>
      <c r="K971" s="301"/>
      <c r="L971" s="301"/>
      <c r="M971" s="301"/>
      <c r="N971" s="301"/>
    </row>
    <row r="972" spans="1:14" ht="14" x14ac:dyDescent="0.25">
      <c r="A972" s="299"/>
      <c r="B972" s="18"/>
      <c r="C972" s="398"/>
      <c r="D972" s="301"/>
      <c r="E972" s="399"/>
      <c r="F972" s="399"/>
      <c r="G972" s="399"/>
      <c r="H972" s="301"/>
      <c r="I972" s="301"/>
      <c r="J972" s="301"/>
      <c r="K972" s="301"/>
      <c r="L972" s="301"/>
      <c r="M972" s="301"/>
      <c r="N972" s="301"/>
    </row>
    <row r="973" spans="1:14" ht="14" x14ac:dyDescent="0.25">
      <c r="A973" s="299"/>
      <c r="B973" s="18"/>
      <c r="C973" s="398"/>
      <c r="D973" s="301"/>
      <c r="E973" s="399"/>
      <c r="F973" s="399"/>
      <c r="G973" s="399"/>
      <c r="H973" s="301"/>
      <c r="I973" s="301"/>
      <c r="J973" s="301"/>
      <c r="K973" s="301"/>
      <c r="L973" s="301"/>
      <c r="M973" s="301"/>
      <c r="N973" s="301"/>
    </row>
    <row r="974" spans="1:14" ht="14" x14ac:dyDescent="0.25">
      <c r="A974" s="299"/>
      <c r="B974" s="18"/>
      <c r="C974" s="398"/>
      <c r="D974" s="301"/>
      <c r="E974" s="399"/>
      <c r="F974" s="399"/>
      <c r="G974" s="399"/>
      <c r="H974" s="301"/>
      <c r="I974" s="301"/>
      <c r="J974" s="301"/>
      <c r="K974" s="301"/>
      <c r="L974" s="301"/>
      <c r="M974" s="301"/>
      <c r="N974" s="301"/>
    </row>
    <row r="975" spans="1:14" ht="14" x14ac:dyDescent="0.25">
      <c r="A975" s="299"/>
      <c r="B975" s="18"/>
      <c r="C975" s="398"/>
      <c r="D975" s="301"/>
      <c r="E975" s="399"/>
      <c r="F975" s="399"/>
      <c r="G975" s="399"/>
      <c r="H975" s="301"/>
      <c r="I975" s="301"/>
      <c r="J975" s="301"/>
      <c r="K975" s="301"/>
      <c r="L975" s="301"/>
      <c r="M975" s="301"/>
      <c r="N975" s="301"/>
    </row>
    <row r="976" spans="1:14" ht="14" x14ac:dyDescent="0.25">
      <c r="A976" s="299"/>
      <c r="B976" s="18"/>
      <c r="C976" s="398"/>
      <c r="D976" s="301"/>
      <c r="E976" s="399"/>
      <c r="F976" s="399"/>
      <c r="G976" s="399"/>
      <c r="H976" s="301"/>
      <c r="I976" s="301"/>
      <c r="J976" s="301"/>
      <c r="K976" s="301"/>
      <c r="L976" s="301"/>
      <c r="M976" s="301"/>
      <c r="N976" s="301"/>
    </row>
    <row r="977" spans="1:14" ht="14" x14ac:dyDescent="0.25">
      <c r="A977" s="299"/>
      <c r="B977" s="18"/>
      <c r="C977" s="398"/>
      <c r="D977" s="301"/>
      <c r="E977" s="399"/>
      <c r="F977" s="399"/>
      <c r="G977" s="399"/>
      <c r="H977" s="301"/>
      <c r="I977" s="301"/>
      <c r="J977" s="301"/>
      <c r="K977" s="301"/>
      <c r="L977" s="301"/>
      <c r="M977" s="301"/>
      <c r="N977" s="301"/>
    </row>
    <row r="978" spans="1:14" ht="14" x14ac:dyDescent="0.25">
      <c r="A978" s="299"/>
      <c r="B978" s="18"/>
      <c r="C978" s="398"/>
      <c r="D978" s="301"/>
      <c r="E978" s="399"/>
      <c r="F978" s="399"/>
      <c r="G978" s="399"/>
      <c r="H978" s="301"/>
      <c r="I978" s="301"/>
      <c r="J978" s="301"/>
      <c r="K978" s="301"/>
      <c r="L978" s="301"/>
      <c r="M978" s="301"/>
      <c r="N978" s="301"/>
    </row>
    <row r="979" spans="1:14" ht="14" x14ac:dyDescent="0.25">
      <c r="A979" s="299"/>
      <c r="B979" s="18"/>
      <c r="C979" s="398"/>
      <c r="D979" s="301"/>
      <c r="E979" s="399"/>
      <c r="F979" s="399"/>
      <c r="G979" s="399"/>
      <c r="H979" s="301"/>
      <c r="I979" s="301"/>
      <c r="J979" s="301"/>
      <c r="K979" s="301"/>
      <c r="L979" s="301"/>
      <c r="M979" s="301"/>
      <c r="N979" s="301"/>
    </row>
    <row r="980" spans="1:14" ht="14" x14ac:dyDescent="0.25">
      <c r="A980" s="299"/>
      <c r="B980" s="18"/>
      <c r="C980" s="398"/>
      <c r="D980" s="301"/>
      <c r="E980" s="399"/>
      <c r="F980" s="399"/>
      <c r="G980" s="399"/>
      <c r="H980" s="301"/>
      <c r="I980" s="301"/>
      <c r="J980" s="301"/>
      <c r="K980" s="301"/>
      <c r="L980" s="301"/>
      <c r="M980" s="301"/>
      <c r="N980" s="301"/>
    </row>
    <row r="981" spans="1:14" ht="14" x14ac:dyDescent="0.25">
      <c r="A981" s="299"/>
      <c r="B981" s="18"/>
      <c r="C981" s="398"/>
      <c r="D981" s="301"/>
      <c r="E981" s="399"/>
      <c r="F981" s="399"/>
      <c r="G981" s="399"/>
      <c r="H981" s="301"/>
      <c r="I981" s="301"/>
      <c r="J981" s="301"/>
      <c r="K981" s="301"/>
      <c r="L981" s="301"/>
      <c r="M981" s="301"/>
      <c r="N981" s="301"/>
    </row>
    <row r="982" spans="1:14" ht="14" x14ac:dyDescent="0.25">
      <c r="A982" s="299"/>
      <c r="B982" s="18"/>
      <c r="C982" s="398"/>
      <c r="D982" s="301"/>
      <c r="E982" s="399"/>
      <c r="F982" s="399"/>
      <c r="G982" s="399"/>
      <c r="H982" s="301"/>
      <c r="I982" s="301"/>
      <c r="J982" s="301"/>
      <c r="K982" s="301"/>
      <c r="L982" s="301"/>
      <c r="M982" s="301"/>
      <c r="N982" s="301"/>
    </row>
    <row r="983" spans="1:14" ht="14" x14ac:dyDescent="0.25">
      <c r="A983" s="299"/>
      <c r="B983" s="18"/>
      <c r="C983" s="398"/>
      <c r="D983" s="301"/>
      <c r="E983" s="399"/>
      <c r="F983" s="399"/>
      <c r="G983" s="399"/>
      <c r="H983" s="301"/>
      <c r="I983" s="301"/>
      <c r="J983" s="301"/>
      <c r="K983" s="301"/>
      <c r="L983" s="301"/>
      <c r="M983" s="301"/>
      <c r="N983" s="301"/>
    </row>
    <row r="984" spans="1:14" ht="14" x14ac:dyDescent="0.25">
      <c r="A984" s="299"/>
      <c r="B984" s="18"/>
      <c r="C984" s="398"/>
      <c r="D984" s="301"/>
      <c r="E984" s="399"/>
      <c r="F984" s="399"/>
      <c r="G984" s="399"/>
      <c r="H984" s="301"/>
      <c r="I984" s="301"/>
      <c r="J984" s="301"/>
      <c r="K984" s="301"/>
      <c r="L984" s="301"/>
      <c r="M984" s="301"/>
      <c r="N984" s="301"/>
    </row>
    <row r="985" spans="1:14" ht="14" x14ac:dyDescent="0.25">
      <c r="A985" s="299"/>
      <c r="B985" s="18"/>
      <c r="C985" s="398"/>
      <c r="D985" s="301"/>
      <c r="E985" s="399"/>
      <c r="F985" s="399"/>
      <c r="G985" s="399"/>
      <c r="H985" s="301"/>
      <c r="I985" s="301"/>
      <c r="J985" s="301"/>
      <c r="K985" s="301"/>
      <c r="L985" s="301"/>
      <c r="M985" s="301"/>
      <c r="N985" s="301"/>
    </row>
    <row r="986" spans="1:14" ht="14" x14ac:dyDescent="0.25">
      <c r="A986" s="299"/>
      <c r="B986" s="18"/>
      <c r="C986" s="398"/>
      <c r="D986" s="301"/>
      <c r="E986" s="399"/>
      <c r="F986" s="399"/>
      <c r="G986" s="399"/>
      <c r="H986" s="301"/>
      <c r="I986" s="301"/>
      <c r="J986" s="301"/>
      <c r="K986" s="301"/>
      <c r="L986" s="301"/>
      <c r="M986" s="301"/>
      <c r="N986" s="301"/>
    </row>
    <row r="987" spans="1:14" ht="14" x14ac:dyDescent="0.25">
      <c r="A987" s="299"/>
      <c r="B987" s="18"/>
      <c r="C987" s="398"/>
      <c r="D987" s="301"/>
      <c r="E987" s="399"/>
      <c r="F987" s="399"/>
      <c r="G987" s="399"/>
      <c r="H987" s="301"/>
      <c r="I987" s="301"/>
      <c r="J987" s="301"/>
      <c r="K987" s="301"/>
      <c r="L987" s="301"/>
      <c r="M987" s="301"/>
      <c r="N987" s="301"/>
    </row>
    <row r="988" spans="1:14" ht="14" x14ac:dyDescent="0.25">
      <c r="A988" s="299"/>
      <c r="B988" s="18"/>
      <c r="C988" s="398"/>
      <c r="D988" s="301"/>
      <c r="E988" s="399"/>
      <c r="F988" s="399"/>
      <c r="G988" s="399"/>
      <c r="H988" s="301"/>
      <c r="I988" s="301"/>
      <c r="J988" s="301"/>
      <c r="K988" s="301"/>
      <c r="L988" s="301"/>
      <c r="M988" s="301"/>
      <c r="N988" s="301"/>
    </row>
    <row r="989" spans="1:14" ht="14" x14ac:dyDescent="0.25">
      <c r="A989" s="299"/>
      <c r="B989" s="18"/>
      <c r="C989" s="398"/>
      <c r="D989" s="301"/>
      <c r="E989" s="399"/>
      <c r="F989" s="399"/>
      <c r="G989" s="399"/>
      <c r="H989" s="301"/>
      <c r="I989" s="301"/>
      <c r="J989" s="301"/>
      <c r="K989" s="301"/>
      <c r="L989" s="301"/>
      <c r="M989" s="301"/>
      <c r="N989" s="301"/>
    </row>
    <row r="990" spans="1:14" ht="14" x14ac:dyDescent="0.25">
      <c r="A990" s="299"/>
      <c r="B990" s="18"/>
      <c r="C990" s="398"/>
      <c r="D990" s="301"/>
      <c r="E990" s="399"/>
      <c r="F990" s="399"/>
      <c r="G990" s="399"/>
      <c r="H990" s="301"/>
      <c r="I990" s="301"/>
      <c r="J990" s="301"/>
      <c r="K990" s="301"/>
      <c r="L990" s="301"/>
      <c r="M990" s="301"/>
      <c r="N990" s="301"/>
    </row>
    <row r="991" spans="1:14" ht="14" x14ac:dyDescent="0.25">
      <c r="A991" s="299"/>
      <c r="B991" s="18"/>
      <c r="C991" s="398"/>
      <c r="D991" s="301"/>
      <c r="E991" s="399"/>
      <c r="F991" s="399"/>
      <c r="G991" s="399"/>
      <c r="H991" s="301"/>
      <c r="I991" s="301"/>
      <c r="J991" s="301"/>
      <c r="K991" s="301"/>
      <c r="L991" s="301"/>
      <c r="M991" s="301"/>
      <c r="N991" s="301"/>
    </row>
    <row r="992" spans="1:14" ht="14" x14ac:dyDescent="0.25">
      <c r="A992" s="299"/>
      <c r="B992" s="18"/>
      <c r="C992" s="398"/>
      <c r="D992" s="301"/>
      <c r="E992" s="399"/>
      <c r="F992" s="399"/>
      <c r="G992" s="399"/>
      <c r="H992" s="301"/>
      <c r="I992" s="301"/>
      <c r="J992" s="301"/>
      <c r="K992" s="301"/>
      <c r="L992" s="301"/>
      <c r="M992" s="301"/>
      <c r="N992" s="301"/>
    </row>
    <row r="993" spans="1:14" ht="14" x14ac:dyDescent="0.25">
      <c r="A993" s="299"/>
      <c r="B993" s="18"/>
      <c r="C993" s="398"/>
      <c r="D993" s="301"/>
      <c r="E993" s="399"/>
      <c r="F993" s="399"/>
      <c r="G993" s="399"/>
      <c r="H993" s="301"/>
      <c r="I993" s="301"/>
      <c r="J993" s="301"/>
      <c r="K993" s="301"/>
      <c r="L993" s="301"/>
      <c r="M993" s="301"/>
      <c r="N993" s="301"/>
    </row>
    <row r="994" spans="1:14" ht="14" x14ac:dyDescent="0.25">
      <c r="A994" s="299"/>
      <c r="B994" s="18"/>
      <c r="C994" s="398"/>
      <c r="D994" s="301"/>
      <c r="E994" s="399"/>
      <c r="F994" s="399"/>
      <c r="G994" s="399"/>
      <c r="H994" s="301"/>
      <c r="I994" s="301"/>
      <c r="J994" s="301"/>
      <c r="K994" s="301"/>
      <c r="L994" s="301"/>
      <c r="M994" s="301"/>
      <c r="N994" s="301"/>
    </row>
    <row r="995" spans="1:14" ht="14" x14ac:dyDescent="0.25">
      <c r="A995" s="299"/>
      <c r="B995" s="18"/>
      <c r="C995" s="398"/>
      <c r="D995" s="301"/>
      <c r="E995" s="399"/>
      <c r="F995" s="399"/>
      <c r="G995" s="399"/>
      <c r="H995" s="301"/>
      <c r="I995" s="301"/>
      <c r="J995" s="301"/>
      <c r="K995" s="301"/>
      <c r="L995" s="301"/>
      <c r="M995" s="301"/>
      <c r="N995" s="301"/>
    </row>
    <row r="996" spans="1:14" ht="14" x14ac:dyDescent="0.25">
      <c r="A996" s="299"/>
      <c r="B996" s="18"/>
      <c r="C996" s="398"/>
      <c r="D996" s="301"/>
      <c r="E996" s="399"/>
      <c r="F996" s="399"/>
      <c r="G996" s="399"/>
      <c r="H996" s="301"/>
      <c r="I996" s="301"/>
      <c r="J996" s="301"/>
      <c r="K996" s="301"/>
      <c r="L996" s="301"/>
      <c r="M996" s="301"/>
      <c r="N996" s="301"/>
    </row>
    <row r="997" spans="1:14" ht="14" x14ac:dyDescent="0.25">
      <c r="A997" s="299"/>
      <c r="B997" s="18"/>
      <c r="C997" s="398"/>
      <c r="D997" s="301"/>
      <c r="E997" s="399"/>
      <c r="F997" s="399"/>
      <c r="G997" s="399"/>
      <c r="H997" s="301"/>
      <c r="I997" s="301"/>
      <c r="J997" s="301"/>
      <c r="K997" s="301"/>
      <c r="L997" s="301"/>
      <c r="M997" s="301"/>
      <c r="N997" s="301"/>
    </row>
    <row r="998" spans="1:14" ht="14" x14ac:dyDescent="0.25">
      <c r="A998" s="299"/>
      <c r="B998" s="18"/>
      <c r="C998" s="398"/>
      <c r="D998" s="301"/>
      <c r="E998" s="399"/>
      <c r="F998" s="399"/>
      <c r="G998" s="399"/>
      <c r="H998" s="301"/>
      <c r="I998" s="301"/>
      <c r="J998" s="301"/>
      <c r="K998" s="301"/>
      <c r="L998" s="301"/>
      <c r="M998" s="301"/>
      <c r="N998" s="301"/>
    </row>
    <row r="999" spans="1:14" ht="14" x14ac:dyDescent="0.25">
      <c r="A999" s="299"/>
      <c r="B999" s="18"/>
      <c r="C999" s="398"/>
      <c r="D999" s="301"/>
      <c r="E999" s="399"/>
      <c r="F999" s="399"/>
      <c r="G999" s="399"/>
      <c r="H999" s="301"/>
      <c r="I999" s="301"/>
      <c r="J999" s="301"/>
      <c r="K999" s="301"/>
      <c r="L999" s="301"/>
      <c r="M999" s="301"/>
      <c r="N999" s="301"/>
    </row>
    <row r="1000" spans="1:14" ht="14" x14ac:dyDescent="0.25">
      <c r="A1000" s="299"/>
      <c r="B1000" s="18"/>
      <c r="C1000" s="398"/>
      <c r="D1000" s="301"/>
      <c r="E1000" s="399"/>
      <c r="F1000" s="399"/>
      <c r="G1000" s="399"/>
      <c r="H1000" s="301"/>
      <c r="I1000" s="301"/>
      <c r="J1000" s="301"/>
      <c r="K1000" s="301"/>
      <c r="L1000" s="301"/>
      <c r="M1000" s="301"/>
      <c r="N1000" s="301"/>
    </row>
    <row r="1001" spans="1:14" ht="14" x14ac:dyDescent="0.25">
      <c r="A1001" s="299"/>
      <c r="B1001" s="18"/>
      <c r="C1001" s="398"/>
      <c r="D1001" s="301"/>
      <c r="E1001" s="399"/>
      <c r="F1001" s="399"/>
      <c r="G1001" s="399"/>
      <c r="H1001" s="301"/>
      <c r="I1001" s="301"/>
      <c r="J1001" s="301"/>
      <c r="K1001" s="301"/>
      <c r="L1001" s="301"/>
      <c r="M1001" s="301"/>
      <c r="N1001" s="301"/>
    </row>
    <row r="1002" spans="1:14" ht="14" x14ac:dyDescent="0.25">
      <c r="A1002" s="299"/>
      <c r="B1002" s="18"/>
      <c r="C1002" s="398"/>
      <c r="D1002" s="301"/>
      <c r="E1002" s="399"/>
      <c r="F1002" s="399"/>
      <c r="G1002" s="399"/>
      <c r="H1002" s="301"/>
      <c r="I1002" s="301"/>
      <c r="J1002" s="301"/>
      <c r="K1002" s="301"/>
      <c r="L1002" s="301"/>
      <c r="M1002" s="301"/>
      <c r="N1002" s="301"/>
    </row>
    <row r="1003" spans="1:14" ht="14" x14ac:dyDescent="0.25">
      <c r="A1003" s="299"/>
      <c r="B1003" s="18"/>
      <c r="C1003" s="398"/>
      <c r="D1003" s="301"/>
      <c r="E1003" s="399"/>
      <c r="F1003" s="399"/>
      <c r="G1003" s="399"/>
      <c r="H1003" s="301"/>
      <c r="I1003" s="301"/>
      <c r="J1003" s="301"/>
      <c r="K1003" s="301"/>
      <c r="L1003" s="301"/>
      <c r="M1003" s="301"/>
      <c r="N1003" s="301"/>
    </row>
    <row r="1004" spans="1:14" ht="14" x14ac:dyDescent="0.25">
      <c r="A1004" s="299"/>
      <c r="B1004" s="18"/>
      <c r="C1004" s="398"/>
      <c r="D1004" s="301"/>
      <c r="E1004" s="399"/>
      <c r="F1004" s="399"/>
      <c r="G1004" s="399"/>
      <c r="H1004" s="301"/>
      <c r="I1004" s="301"/>
      <c r="J1004" s="301"/>
      <c r="K1004" s="301"/>
      <c r="L1004" s="301"/>
      <c r="M1004" s="301"/>
      <c r="N1004" s="301"/>
    </row>
    <row r="1005" spans="1:14" ht="14" x14ac:dyDescent="0.25">
      <c r="A1005" s="299"/>
      <c r="B1005" s="18"/>
      <c r="C1005" s="398"/>
      <c r="D1005" s="301"/>
      <c r="E1005" s="399"/>
      <c r="F1005" s="399"/>
      <c r="G1005" s="399"/>
      <c r="H1005" s="301"/>
      <c r="I1005" s="301"/>
      <c r="J1005" s="301"/>
      <c r="K1005" s="301"/>
      <c r="L1005" s="301"/>
      <c r="M1005" s="301"/>
      <c r="N1005" s="301"/>
    </row>
    <row r="1006" spans="1:14" ht="14" x14ac:dyDescent="0.25">
      <c r="A1006" s="299"/>
      <c r="B1006" s="18"/>
      <c r="C1006" s="398"/>
      <c r="D1006" s="301"/>
      <c r="E1006" s="399"/>
      <c r="F1006" s="399"/>
      <c r="G1006" s="399"/>
      <c r="H1006" s="301"/>
      <c r="I1006" s="301"/>
      <c r="J1006" s="301"/>
      <c r="K1006" s="301"/>
      <c r="L1006" s="301"/>
      <c r="M1006" s="301"/>
      <c r="N1006" s="301"/>
    </row>
    <row r="1007" spans="1:14" ht="14" x14ac:dyDescent="0.25">
      <c r="A1007" s="299"/>
      <c r="B1007" s="18"/>
      <c r="C1007" s="398"/>
      <c r="D1007" s="301"/>
      <c r="E1007" s="399"/>
      <c r="F1007" s="399"/>
      <c r="G1007" s="399"/>
      <c r="H1007" s="301"/>
      <c r="I1007" s="301"/>
      <c r="J1007" s="301"/>
      <c r="K1007" s="301"/>
      <c r="L1007" s="301"/>
      <c r="M1007" s="301"/>
      <c r="N1007" s="301"/>
    </row>
    <row r="1008" spans="1:14" ht="14" x14ac:dyDescent="0.25">
      <c r="A1008" s="299"/>
      <c r="B1008" s="18"/>
      <c r="C1008" s="398"/>
      <c r="D1008" s="301"/>
      <c r="E1008" s="399"/>
      <c r="F1008" s="399"/>
      <c r="G1008" s="399"/>
      <c r="H1008" s="301"/>
      <c r="I1008" s="301"/>
      <c r="J1008" s="301"/>
      <c r="K1008" s="301"/>
      <c r="L1008" s="301"/>
      <c r="M1008" s="301"/>
      <c r="N1008" s="301"/>
    </row>
    <row r="1009" spans="1:14" ht="14" x14ac:dyDescent="0.25">
      <c r="A1009" s="299"/>
      <c r="B1009" s="18"/>
      <c r="C1009" s="398"/>
      <c r="D1009" s="301"/>
      <c r="E1009" s="399"/>
      <c r="F1009" s="399"/>
      <c r="G1009" s="399"/>
      <c r="H1009" s="301"/>
      <c r="I1009" s="301"/>
      <c r="J1009" s="301"/>
      <c r="K1009" s="301"/>
      <c r="L1009" s="301"/>
      <c r="M1009" s="301"/>
      <c r="N1009" s="301"/>
    </row>
    <row r="1010" spans="1:14" ht="14" x14ac:dyDescent="0.25">
      <c r="A1010" s="299"/>
      <c r="B1010" s="18"/>
      <c r="C1010" s="398"/>
      <c r="D1010" s="301"/>
      <c r="E1010" s="399"/>
      <c r="F1010" s="399"/>
      <c r="G1010" s="399"/>
      <c r="H1010" s="301"/>
      <c r="I1010" s="301"/>
      <c r="J1010" s="301"/>
      <c r="K1010" s="301"/>
      <c r="L1010" s="301"/>
      <c r="M1010" s="301"/>
      <c r="N1010" s="301"/>
    </row>
    <row r="1011" spans="1:14" ht="14" x14ac:dyDescent="0.25">
      <c r="A1011" s="299"/>
      <c r="B1011" s="18"/>
      <c r="C1011" s="398"/>
      <c r="D1011" s="301"/>
      <c r="E1011" s="399"/>
      <c r="F1011" s="399"/>
      <c r="G1011" s="399"/>
      <c r="H1011" s="301"/>
      <c r="I1011" s="301"/>
      <c r="J1011" s="301"/>
      <c r="K1011" s="301"/>
      <c r="L1011" s="301"/>
      <c r="M1011" s="301"/>
      <c r="N1011" s="301"/>
    </row>
    <row r="1012" spans="1:14" ht="14" x14ac:dyDescent="0.25">
      <c r="A1012" s="299"/>
      <c r="B1012" s="18"/>
      <c r="C1012" s="398"/>
      <c r="D1012" s="301"/>
      <c r="E1012" s="399"/>
      <c r="F1012" s="399"/>
      <c r="G1012" s="399"/>
      <c r="H1012" s="301"/>
      <c r="I1012" s="301"/>
      <c r="J1012" s="301"/>
      <c r="K1012" s="301"/>
      <c r="L1012" s="301"/>
      <c r="M1012" s="301"/>
      <c r="N1012" s="301"/>
    </row>
    <row r="1013" spans="1:14" ht="14" x14ac:dyDescent="0.25">
      <c r="A1013" s="299"/>
      <c r="B1013" s="18"/>
      <c r="C1013" s="398"/>
      <c r="D1013" s="301"/>
      <c r="E1013" s="399"/>
      <c r="F1013" s="399"/>
      <c r="G1013" s="399"/>
      <c r="H1013" s="301"/>
      <c r="I1013" s="301"/>
      <c r="J1013" s="301"/>
      <c r="K1013" s="301"/>
      <c r="L1013" s="301"/>
      <c r="M1013" s="301"/>
      <c r="N1013" s="301"/>
    </row>
    <row r="1014" spans="1:14" ht="14" x14ac:dyDescent="0.25">
      <c r="A1014" s="299"/>
      <c r="B1014" s="18"/>
      <c r="C1014" s="398"/>
      <c r="D1014" s="301"/>
      <c r="E1014" s="399"/>
      <c r="F1014" s="399"/>
      <c r="G1014" s="399"/>
      <c r="H1014" s="301"/>
      <c r="I1014" s="301"/>
      <c r="J1014" s="301"/>
      <c r="K1014" s="301"/>
      <c r="L1014" s="301"/>
      <c r="M1014" s="301"/>
      <c r="N1014" s="301"/>
    </row>
    <row r="1015" spans="1:14" ht="14" x14ac:dyDescent="0.25">
      <c r="A1015" s="299"/>
      <c r="B1015" s="18"/>
      <c r="C1015" s="398"/>
      <c r="D1015" s="301"/>
      <c r="E1015" s="399"/>
      <c r="F1015" s="399"/>
      <c r="G1015" s="399"/>
      <c r="H1015" s="301"/>
      <c r="I1015" s="301"/>
      <c r="J1015" s="301"/>
      <c r="K1015" s="301"/>
      <c r="L1015" s="301"/>
      <c r="M1015" s="301"/>
      <c r="N1015" s="301"/>
    </row>
    <row r="1016" spans="1:14" ht="14" x14ac:dyDescent="0.25">
      <c r="A1016" s="299"/>
      <c r="B1016" s="18"/>
      <c r="C1016" s="398"/>
      <c r="D1016" s="301"/>
      <c r="E1016" s="399"/>
      <c r="F1016" s="399"/>
      <c r="G1016" s="399"/>
      <c r="H1016" s="301"/>
      <c r="I1016" s="301"/>
      <c r="J1016" s="301"/>
      <c r="K1016" s="301"/>
      <c r="L1016" s="301"/>
      <c r="M1016" s="301"/>
      <c r="N1016" s="301"/>
    </row>
    <row r="1017" spans="1:14" ht="14" x14ac:dyDescent="0.25">
      <c r="A1017" s="299"/>
      <c r="B1017" s="18"/>
      <c r="C1017" s="398"/>
      <c r="D1017" s="301"/>
      <c r="E1017" s="399"/>
      <c r="F1017" s="399"/>
      <c r="G1017" s="399"/>
      <c r="H1017" s="301"/>
      <c r="I1017" s="301"/>
      <c r="J1017" s="301"/>
      <c r="K1017" s="301"/>
      <c r="L1017" s="301"/>
      <c r="M1017" s="301"/>
      <c r="N1017" s="301"/>
    </row>
    <row r="1018" spans="1:14" ht="14" x14ac:dyDescent="0.25">
      <c r="A1018" s="299"/>
      <c r="B1018" s="18"/>
      <c r="C1018" s="398"/>
      <c r="D1018" s="301"/>
      <c r="E1018" s="399"/>
      <c r="F1018" s="399"/>
      <c r="G1018" s="399"/>
      <c r="H1018" s="301"/>
      <c r="I1018" s="301"/>
      <c r="J1018" s="301"/>
      <c r="K1018" s="301"/>
      <c r="L1018" s="301"/>
      <c r="M1018" s="301"/>
      <c r="N1018" s="301"/>
    </row>
    <row r="1019" spans="1:14" ht="14" x14ac:dyDescent="0.25">
      <c r="A1019" s="299"/>
      <c r="B1019" s="18"/>
      <c r="C1019" s="398"/>
      <c r="D1019" s="301"/>
      <c r="E1019" s="399"/>
      <c r="F1019" s="399"/>
      <c r="G1019" s="399"/>
      <c r="H1019" s="301"/>
      <c r="I1019" s="301"/>
      <c r="J1019" s="301"/>
      <c r="K1019" s="301"/>
      <c r="L1019" s="301"/>
      <c r="M1019" s="301"/>
      <c r="N1019" s="301"/>
    </row>
    <row r="1020" spans="1:14" ht="14" x14ac:dyDescent="0.25">
      <c r="A1020" s="299"/>
      <c r="B1020" s="18"/>
      <c r="C1020" s="398"/>
      <c r="D1020" s="301"/>
      <c r="E1020" s="399"/>
      <c r="F1020" s="399"/>
      <c r="G1020" s="399"/>
      <c r="H1020" s="301"/>
      <c r="I1020" s="301"/>
      <c r="J1020" s="301"/>
      <c r="K1020" s="301"/>
      <c r="L1020" s="301"/>
      <c r="M1020" s="301"/>
      <c r="N1020" s="301"/>
    </row>
    <row r="1021" spans="1:14" ht="14" x14ac:dyDescent="0.25">
      <c r="A1021" s="299"/>
      <c r="B1021" s="18"/>
      <c r="C1021" s="398"/>
      <c r="D1021" s="301"/>
      <c r="E1021" s="399"/>
      <c r="F1021" s="399"/>
      <c r="G1021" s="399"/>
      <c r="H1021" s="301"/>
      <c r="I1021" s="301"/>
      <c r="J1021" s="301"/>
      <c r="K1021" s="301"/>
      <c r="L1021" s="301"/>
      <c r="M1021" s="301"/>
      <c r="N1021" s="301"/>
    </row>
    <row r="1022" spans="1:14" ht="14" x14ac:dyDescent="0.25">
      <c r="A1022" s="299"/>
      <c r="B1022" s="18"/>
      <c r="C1022" s="398"/>
      <c r="D1022" s="301"/>
      <c r="E1022" s="399"/>
      <c r="F1022" s="399"/>
      <c r="G1022" s="399"/>
      <c r="H1022" s="301"/>
      <c r="I1022" s="301"/>
      <c r="J1022" s="301"/>
      <c r="K1022" s="301"/>
      <c r="L1022" s="301"/>
      <c r="M1022" s="301"/>
      <c r="N1022" s="301"/>
    </row>
    <row r="1023" spans="1:14" ht="14" x14ac:dyDescent="0.25">
      <c r="A1023" s="299"/>
      <c r="B1023" s="18"/>
      <c r="C1023" s="398"/>
      <c r="D1023" s="301"/>
      <c r="E1023" s="399"/>
      <c r="F1023" s="399"/>
      <c r="G1023" s="399"/>
      <c r="H1023" s="301"/>
      <c r="I1023" s="301"/>
      <c r="J1023" s="301"/>
      <c r="K1023" s="301"/>
      <c r="L1023" s="301"/>
      <c r="M1023" s="301"/>
      <c r="N1023" s="301"/>
    </row>
    <row r="1024" spans="1:14" ht="14" x14ac:dyDescent="0.25">
      <c r="A1024" s="299"/>
      <c r="B1024" s="18"/>
      <c r="C1024" s="398"/>
      <c r="D1024" s="301"/>
      <c r="E1024" s="399"/>
      <c r="F1024" s="399"/>
      <c r="G1024" s="399"/>
      <c r="H1024" s="301"/>
      <c r="I1024" s="301"/>
      <c r="J1024" s="301"/>
      <c r="K1024" s="301"/>
      <c r="L1024" s="301"/>
      <c r="M1024" s="301"/>
      <c r="N1024" s="301"/>
    </row>
    <row r="1025" spans="1:14" ht="14" x14ac:dyDescent="0.25">
      <c r="A1025" s="299"/>
      <c r="B1025" s="18"/>
      <c r="C1025" s="398"/>
      <c r="D1025" s="301"/>
      <c r="E1025" s="399"/>
      <c r="F1025" s="399"/>
      <c r="G1025" s="399"/>
      <c r="H1025" s="301"/>
      <c r="I1025" s="301"/>
      <c r="J1025" s="301"/>
      <c r="K1025" s="301"/>
      <c r="L1025" s="301"/>
      <c r="M1025" s="301"/>
      <c r="N1025" s="301"/>
    </row>
    <row r="1026" spans="1:14" ht="14" x14ac:dyDescent="0.25">
      <c r="A1026" s="299"/>
      <c r="B1026" s="18"/>
      <c r="C1026" s="398"/>
      <c r="D1026" s="301"/>
      <c r="E1026" s="399"/>
      <c r="F1026" s="399"/>
      <c r="G1026" s="399"/>
      <c r="H1026" s="301"/>
      <c r="I1026" s="301"/>
      <c r="J1026" s="301"/>
      <c r="K1026" s="301"/>
      <c r="L1026" s="301"/>
      <c r="M1026" s="301"/>
      <c r="N1026" s="301"/>
    </row>
    <row r="1027" spans="1:14" ht="14" x14ac:dyDescent="0.25">
      <c r="A1027" s="299"/>
      <c r="B1027" s="18"/>
      <c r="C1027" s="398"/>
      <c r="D1027" s="301"/>
      <c r="E1027" s="399"/>
      <c r="F1027" s="399"/>
      <c r="G1027" s="399"/>
      <c r="H1027" s="301"/>
      <c r="I1027" s="301"/>
      <c r="J1027" s="301"/>
      <c r="K1027" s="301"/>
      <c r="L1027" s="301"/>
      <c r="M1027" s="301"/>
      <c r="N1027" s="301"/>
    </row>
    <row r="1028" spans="1:14" ht="14" x14ac:dyDescent="0.25">
      <c r="A1028" s="299"/>
      <c r="B1028" s="18"/>
      <c r="C1028" s="398"/>
      <c r="D1028" s="301"/>
      <c r="E1028" s="399"/>
      <c r="F1028" s="399"/>
      <c r="G1028" s="399"/>
      <c r="H1028" s="301"/>
      <c r="I1028" s="301"/>
      <c r="J1028" s="301"/>
      <c r="K1028" s="301"/>
      <c r="L1028" s="301"/>
      <c r="M1028" s="301"/>
      <c r="N1028" s="301"/>
    </row>
    <row r="1029" spans="1:14" ht="14" x14ac:dyDescent="0.25">
      <c r="A1029" s="299"/>
      <c r="B1029" s="18"/>
      <c r="C1029" s="398"/>
      <c r="D1029" s="301"/>
      <c r="E1029" s="399"/>
      <c r="F1029" s="399"/>
      <c r="G1029" s="399"/>
      <c r="H1029" s="301"/>
      <c r="I1029" s="301"/>
      <c r="J1029" s="301"/>
      <c r="K1029" s="301"/>
      <c r="L1029" s="301"/>
      <c r="M1029" s="301"/>
      <c r="N1029" s="301"/>
    </row>
    <row r="1030" spans="1:14" ht="14" x14ac:dyDescent="0.25">
      <c r="A1030" s="299"/>
      <c r="B1030" s="18"/>
      <c r="C1030" s="398"/>
      <c r="D1030" s="301"/>
      <c r="E1030" s="399"/>
      <c r="F1030" s="399"/>
      <c r="G1030" s="399"/>
      <c r="H1030" s="301"/>
      <c r="I1030" s="301"/>
      <c r="J1030" s="301"/>
      <c r="K1030" s="301"/>
      <c r="L1030" s="301"/>
      <c r="M1030" s="301"/>
      <c r="N1030" s="301"/>
    </row>
    <row r="1031" spans="1:14" ht="14" x14ac:dyDescent="0.25">
      <c r="A1031" s="299"/>
      <c r="B1031" s="18"/>
      <c r="C1031" s="398"/>
      <c r="D1031" s="301"/>
      <c r="E1031" s="399"/>
      <c r="F1031" s="399"/>
      <c r="G1031" s="399"/>
      <c r="H1031" s="301"/>
      <c r="I1031" s="301"/>
      <c r="J1031" s="301"/>
      <c r="K1031" s="301"/>
      <c r="L1031" s="301"/>
      <c r="M1031" s="301"/>
      <c r="N1031" s="301"/>
    </row>
    <row r="1032" spans="1:14" ht="14" x14ac:dyDescent="0.25">
      <c r="A1032" s="299"/>
      <c r="B1032" s="18"/>
      <c r="C1032" s="398"/>
      <c r="D1032" s="301"/>
      <c r="E1032" s="399"/>
      <c r="F1032" s="399"/>
      <c r="G1032" s="399"/>
      <c r="H1032" s="301"/>
      <c r="I1032" s="301"/>
      <c r="J1032" s="301"/>
      <c r="K1032" s="301"/>
      <c r="L1032" s="301"/>
      <c r="M1032" s="301"/>
      <c r="N1032" s="301"/>
    </row>
    <row r="1033" spans="1:14" ht="14" x14ac:dyDescent="0.25">
      <c r="A1033" s="299"/>
      <c r="B1033" s="18"/>
      <c r="C1033" s="398"/>
      <c r="D1033" s="301"/>
      <c r="E1033" s="399"/>
      <c r="F1033" s="399"/>
      <c r="G1033" s="399"/>
      <c r="H1033" s="301"/>
      <c r="I1033" s="301"/>
      <c r="J1033" s="301"/>
      <c r="K1033" s="301"/>
      <c r="L1033" s="301"/>
      <c r="M1033" s="301"/>
      <c r="N1033" s="301"/>
    </row>
    <row r="1034" spans="1:14" ht="14" x14ac:dyDescent="0.25">
      <c r="A1034" s="299"/>
      <c r="B1034" s="18"/>
      <c r="C1034" s="398"/>
      <c r="D1034" s="301"/>
      <c r="E1034" s="399"/>
      <c r="F1034" s="399"/>
      <c r="G1034" s="399"/>
      <c r="H1034" s="301"/>
      <c r="I1034" s="301"/>
      <c r="J1034" s="301"/>
      <c r="K1034" s="301"/>
      <c r="L1034" s="301"/>
      <c r="M1034" s="301"/>
      <c r="N1034" s="301"/>
    </row>
    <row r="1035" spans="1:14" ht="14" x14ac:dyDescent="0.25">
      <c r="A1035" s="299"/>
      <c r="B1035" s="18"/>
      <c r="C1035" s="398"/>
      <c r="D1035" s="301"/>
      <c r="E1035" s="399"/>
      <c r="F1035" s="399"/>
      <c r="G1035" s="399"/>
      <c r="H1035" s="301"/>
      <c r="I1035" s="301"/>
      <c r="J1035" s="301"/>
      <c r="K1035" s="301"/>
      <c r="L1035" s="301"/>
      <c r="M1035" s="301"/>
      <c r="N1035" s="301"/>
    </row>
    <row r="1036" spans="1:14" ht="14" x14ac:dyDescent="0.25">
      <c r="A1036" s="299"/>
      <c r="B1036" s="18"/>
      <c r="C1036" s="398"/>
      <c r="D1036" s="301"/>
      <c r="E1036" s="399"/>
      <c r="F1036" s="399"/>
      <c r="G1036" s="399"/>
      <c r="H1036" s="301"/>
      <c r="I1036" s="301"/>
      <c r="J1036" s="301"/>
      <c r="K1036" s="301"/>
      <c r="L1036" s="301"/>
      <c r="M1036" s="301"/>
      <c r="N1036" s="301"/>
    </row>
    <row r="1037" spans="1:14" ht="14" x14ac:dyDescent="0.25">
      <c r="A1037" s="299"/>
      <c r="B1037" s="18"/>
      <c r="C1037" s="398"/>
      <c r="D1037" s="301"/>
      <c r="E1037" s="399"/>
      <c r="F1037" s="399"/>
      <c r="G1037" s="399"/>
      <c r="H1037" s="301"/>
      <c r="I1037" s="301"/>
      <c r="J1037" s="301"/>
      <c r="K1037" s="301"/>
      <c r="L1037" s="301"/>
      <c r="M1037" s="301"/>
      <c r="N1037" s="301"/>
    </row>
    <row r="1038" spans="1:14" ht="14" x14ac:dyDescent="0.25">
      <c r="A1038" s="299"/>
      <c r="B1038" s="18"/>
      <c r="C1038" s="398"/>
      <c r="D1038" s="301"/>
      <c r="E1038" s="399"/>
      <c r="F1038" s="399"/>
      <c r="G1038" s="399"/>
      <c r="H1038" s="301"/>
      <c r="I1038" s="301"/>
      <c r="J1038" s="301"/>
      <c r="K1038" s="301"/>
      <c r="L1038" s="301"/>
      <c r="M1038" s="301"/>
      <c r="N1038" s="301"/>
    </row>
    <row r="1039" spans="1:14" ht="14" x14ac:dyDescent="0.25">
      <c r="A1039" s="299"/>
      <c r="B1039" s="18"/>
      <c r="C1039" s="398"/>
      <c r="D1039" s="301"/>
      <c r="E1039" s="399"/>
      <c r="F1039" s="399"/>
      <c r="G1039" s="399"/>
      <c r="H1039" s="301"/>
      <c r="I1039" s="301"/>
      <c r="J1039" s="301"/>
      <c r="K1039" s="301"/>
      <c r="L1039" s="301"/>
      <c r="M1039" s="301"/>
      <c r="N1039" s="301"/>
    </row>
    <row r="1040" spans="1:14" ht="14" x14ac:dyDescent="0.25">
      <c r="A1040" s="299"/>
      <c r="B1040" s="18"/>
      <c r="C1040" s="398"/>
      <c r="D1040" s="301"/>
      <c r="E1040" s="399"/>
      <c r="F1040" s="399"/>
      <c r="G1040" s="399"/>
      <c r="H1040" s="301"/>
      <c r="I1040" s="301"/>
      <c r="J1040" s="301"/>
      <c r="K1040" s="301"/>
      <c r="L1040" s="301"/>
      <c r="M1040" s="301"/>
      <c r="N1040" s="301"/>
    </row>
    <row r="1041" spans="1:14" ht="14" x14ac:dyDescent="0.25">
      <c r="A1041" s="299"/>
      <c r="B1041" s="18"/>
      <c r="C1041" s="398"/>
      <c r="D1041" s="301"/>
      <c r="E1041" s="399"/>
      <c r="F1041" s="399"/>
      <c r="G1041" s="399"/>
      <c r="H1041" s="301"/>
      <c r="I1041" s="301"/>
      <c r="J1041" s="301"/>
      <c r="K1041" s="301"/>
      <c r="L1041" s="301"/>
      <c r="M1041" s="301"/>
      <c r="N1041" s="301"/>
    </row>
    <row r="1042" spans="1:14" ht="14" x14ac:dyDescent="0.25">
      <c r="A1042" s="299"/>
      <c r="B1042" s="18"/>
      <c r="C1042" s="398"/>
      <c r="D1042" s="301"/>
      <c r="E1042" s="399"/>
      <c r="F1042" s="399"/>
      <c r="G1042" s="399"/>
      <c r="H1042" s="301"/>
      <c r="I1042" s="301"/>
      <c r="J1042" s="301"/>
      <c r="K1042" s="301"/>
      <c r="L1042" s="301"/>
      <c r="M1042" s="301"/>
      <c r="N1042" s="301"/>
    </row>
    <row r="1043" spans="1:14" ht="14" x14ac:dyDescent="0.25">
      <c r="A1043" s="299"/>
      <c r="B1043" s="18"/>
      <c r="C1043" s="398"/>
      <c r="D1043" s="301"/>
      <c r="E1043" s="399"/>
      <c r="F1043" s="399"/>
      <c r="G1043" s="399"/>
      <c r="H1043" s="301"/>
      <c r="I1043" s="301"/>
      <c r="J1043" s="301"/>
      <c r="K1043" s="301"/>
      <c r="L1043" s="301"/>
      <c r="M1043" s="301"/>
      <c r="N1043" s="301"/>
    </row>
    <row r="1044" spans="1:14" ht="14" x14ac:dyDescent="0.25">
      <c r="A1044" s="299"/>
      <c r="B1044" s="18"/>
      <c r="C1044" s="398"/>
      <c r="D1044" s="301"/>
      <c r="E1044" s="399"/>
      <c r="F1044" s="399"/>
      <c r="G1044" s="399"/>
      <c r="H1044" s="301"/>
      <c r="I1044" s="301"/>
      <c r="J1044" s="301"/>
      <c r="K1044" s="301"/>
      <c r="L1044" s="301"/>
      <c r="M1044" s="301"/>
      <c r="N1044" s="301"/>
    </row>
    <row r="1045" spans="1:14" ht="14" x14ac:dyDescent="0.25">
      <c r="A1045" s="299"/>
      <c r="B1045" s="18"/>
      <c r="C1045" s="398"/>
      <c r="D1045" s="301"/>
      <c r="E1045" s="399"/>
      <c r="F1045" s="399"/>
      <c r="G1045" s="399"/>
      <c r="H1045" s="301"/>
      <c r="I1045" s="301"/>
      <c r="J1045" s="301"/>
      <c r="K1045" s="301"/>
      <c r="L1045" s="301"/>
      <c r="M1045" s="301"/>
      <c r="N1045" s="301"/>
    </row>
    <row r="1046" spans="1:14" ht="14" x14ac:dyDescent="0.25">
      <c r="A1046" s="299"/>
      <c r="B1046" s="18"/>
      <c r="C1046" s="398"/>
      <c r="D1046" s="301"/>
      <c r="E1046" s="399"/>
      <c r="F1046" s="399"/>
      <c r="G1046" s="399"/>
      <c r="H1046" s="301"/>
      <c r="I1046" s="301"/>
      <c r="J1046" s="301"/>
      <c r="K1046" s="301"/>
      <c r="L1046" s="301"/>
      <c r="M1046" s="301"/>
      <c r="N1046" s="301"/>
    </row>
    <row r="1047" spans="1:14" ht="14" x14ac:dyDescent="0.25">
      <c r="A1047" s="299"/>
      <c r="B1047" s="18"/>
      <c r="C1047" s="398"/>
      <c r="D1047" s="301"/>
      <c r="E1047" s="399"/>
      <c r="F1047" s="399"/>
      <c r="G1047" s="399"/>
      <c r="H1047" s="301"/>
      <c r="I1047" s="301"/>
      <c r="J1047" s="301"/>
      <c r="K1047" s="301"/>
      <c r="L1047" s="301"/>
      <c r="M1047" s="301"/>
      <c r="N1047" s="301"/>
    </row>
    <row r="1048" spans="1:14" ht="14" x14ac:dyDescent="0.25">
      <c r="A1048" s="299"/>
      <c r="B1048" s="18"/>
      <c r="C1048" s="398"/>
      <c r="D1048" s="301"/>
      <c r="E1048" s="399"/>
      <c r="F1048" s="399"/>
      <c r="G1048" s="399"/>
      <c r="H1048" s="301"/>
      <c r="I1048" s="301"/>
      <c r="J1048" s="301"/>
      <c r="K1048" s="301"/>
      <c r="L1048" s="301"/>
      <c r="M1048" s="301"/>
      <c r="N1048" s="301"/>
    </row>
    <row r="1049" spans="1:14" ht="14" x14ac:dyDescent="0.25">
      <c r="A1049" s="299"/>
      <c r="B1049" s="18"/>
      <c r="C1049" s="398"/>
      <c r="D1049" s="301"/>
      <c r="E1049" s="399"/>
      <c r="F1049" s="399"/>
      <c r="G1049" s="399"/>
      <c r="H1049" s="301"/>
      <c r="I1049" s="301"/>
      <c r="J1049" s="301"/>
      <c r="K1049" s="301"/>
      <c r="L1049" s="301"/>
      <c r="M1049" s="301"/>
      <c r="N1049" s="301"/>
    </row>
    <row r="1050" spans="1:14" ht="14" x14ac:dyDescent="0.25">
      <c r="A1050" s="299"/>
      <c r="B1050" s="18"/>
      <c r="C1050" s="398"/>
      <c r="D1050" s="301"/>
      <c r="E1050" s="399"/>
      <c r="F1050" s="399"/>
      <c r="G1050" s="399"/>
      <c r="H1050" s="301"/>
      <c r="I1050" s="301"/>
      <c r="J1050" s="301"/>
      <c r="K1050" s="301"/>
      <c r="L1050" s="301"/>
      <c r="M1050" s="301"/>
      <c r="N1050" s="301"/>
    </row>
    <row r="1051" spans="1:14" ht="14" x14ac:dyDescent="0.25">
      <c r="A1051" s="299"/>
      <c r="B1051" s="18"/>
      <c r="C1051" s="398"/>
      <c r="D1051" s="301"/>
      <c r="E1051" s="399"/>
      <c r="F1051" s="399"/>
      <c r="G1051" s="399"/>
      <c r="H1051" s="301"/>
      <c r="I1051" s="301"/>
      <c r="J1051" s="301"/>
      <c r="K1051" s="301"/>
      <c r="L1051" s="301"/>
      <c r="M1051" s="301"/>
      <c r="N1051" s="301"/>
    </row>
    <row r="1052" spans="1:14" ht="14" x14ac:dyDescent="0.25">
      <c r="A1052" s="299"/>
      <c r="B1052" s="18"/>
      <c r="C1052" s="398"/>
      <c r="D1052" s="301"/>
      <c r="E1052" s="399"/>
      <c r="F1052" s="399"/>
      <c r="G1052" s="399"/>
      <c r="H1052" s="301"/>
      <c r="I1052" s="301"/>
      <c r="J1052" s="301"/>
      <c r="K1052" s="301"/>
      <c r="L1052" s="301"/>
      <c r="M1052" s="301"/>
      <c r="N1052" s="301"/>
    </row>
    <row r="1053" spans="1:14" ht="14" x14ac:dyDescent="0.25">
      <c r="A1053" s="299"/>
      <c r="B1053" s="18"/>
      <c r="C1053" s="398"/>
      <c r="D1053" s="301"/>
      <c r="E1053" s="399"/>
      <c r="F1053" s="399"/>
      <c r="G1053" s="399"/>
      <c r="H1053" s="301"/>
      <c r="I1053" s="301"/>
      <c r="J1053" s="301"/>
      <c r="K1053" s="301"/>
      <c r="L1053" s="301"/>
      <c r="M1053" s="301"/>
      <c r="N1053" s="301"/>
    </row>
    <row r="1054" spans="1:14" ht="14" x14ac:dyDescent="0.25">
      <c r="A1054" s="299"/>
      <c r="B1054" s="18"/>
      <c r="C1054" s="398"/>
      <c r="D1054" s="301"/>
      <c r="E1054" s="399"/>
      <c r="F1054" s="399"/>
      <c r="G1054" s="399"/>
      <c r="H1054" s="301"/>
      <c r="I1054" s="301"/>
      <c r="J1054" s="301"/>
      <c r="K1054" s="301"/>
      <c r="L1054" s="301"/>
      <c r="M1054" s="301"/>
      <c r="N1054" s="301"/>
    </row>
    <row r="1055" spans="1:14" ht="14" x14ac:dyDescent="0.25">
      <c r="A1055" s="299"/>
      <c r="B1055" s="18"/>
      <c r="C1055" s="398"/>
      <c r="D1055" s="301"/>
      <c r="E1055" s="399"/>
      <c r="F1055" s="399"/>
      <c r="G1055" s="399"/>
      <c r="H1055" s="301"/>
      <c r="I1055" s="301"/>
      <c r="J1055" s="301"/>
      <c r="K1055" s="301"/>
      <c r="L1055" s="301"/>
      <c r="M1055" s="301"/>
      <c r="N1055" s="301"/>
    </row>
    <row r="1056" spans="1:14" ht="14" x14ac:dyDescent="0.25">
      <c r="A1056" s="299"/>
      <c r="B1056" s="18"/>
      <c r="C1056" s="398"/>
      <c r="D1056" s="301"/>
      <c r="E1056" s="399"/>
      <c r="F1056" s="399"/>
      <c r="G1056" s="399"/>
      <c r="H1056" s="301"/>
      <c r="I1056" s="301"/>
      <c r="J1056" s="301"/>
      <c r="K1056" s="301"/>
      <c r="L1056" s="301"/>
      <c r="M1056" s="301"/>
      <c r="N1056" s="301"/>
    </row>
    <row r="1057" spans="1:14" ht="14" x14ac:dyDescent="0.25">
      <c r="A1057" s="299"/>
      <c r="B1057" s="18"/>
      <c r="C1057" s="398"/>
      <c r="D1057" s="301"/>
      <c r="E1057" s="399"/>
      <c r="F1057" s="399"/>
      <c r="G1057" s="399"/>
      <c r="H1057" s="301"/>
      <c r="I1057" s="301"/>
      <c r="J1057" s="301"/>
      <c r="K1057" s="301"/>
      <c r="L1057" s="301"/>
      <c r="M1057" s="301"/>
      <c r="N1057" s="301"/>
    </row>
  </sheetData>
  <autoFilter ref="A5:N134" xr:uid="{00000000-0009-0000-0000-000006000000}"/>
  <mergeCells count="12">
    <mergeCell ref="B165:C165"/>
    <mergeCell ref="B172:C172"/>
    <mergeCell ref="I143:N143"/>
    <mergeCell ref="I144:L144"/>
    <mergeCell ref="I145:J145"/>
    <mergeCell ref="I146:J146"/>
    <mergeCell ref="I147:J147"/>
    <mergeCell ref="A4:G4"/>
    <mergeCell ref="I4:M4"/>
    <mergeCell ref="N4:O4"/>
    <mergeCell ref="A136:N141"/>
    <mergeCell ref="I142:K142"/>
  </mergeCells>
  <dataValidations count="7">
    <dataValidation type="list" allowBlank="1" showInputMessage="1" showErrorMessage="1" prompt="Clique e insira um valor de a lista de itens" sqref="E6:E134 E136" xr:uid="{00000000-0002-0000-0600-000000000000}">
      <formula1>"ADMINISTRATIVA,JUDICIÁRIA"</formula1>
      <formula2>0</formula2>
    </dataValidation>
    <dataValidation type="list" allowBlank="1" showInputMessage="1" showErrorMessage="1" prompt="Clique e insira um valor de a lista de itens" sqref="D6:D40 D42:D134 D136" xr:uid="{00000000-0002-0000-0600-000001000000}">
      <formula1>"AJAJ,AJ-BIBLIOTECONOMIA,TJAA,AJAA,TJAS,AJOJ,AJEC,AJ-INFORMATICA,AJ-DESENVOLVIMENTO,TJ-INFORMÁTICA,AJ-INFRAESTRUTURA,AJ-MEDICINA,AJ-CONTADORIA,AJAE"</formula1>
      <formula2>0</formula2>
    </dataValidation>
    <dataValidation type="list" allowBlank="1" showInputMessage="1" showErrorMessage="1" prompt="Clique e digite um valor da lista de itens" sqref="F6:F134 F136" xr:uid="{00000000-0002-0000-0600-000002000000}">
      <formula1>"FORTALEZA,ITAPIPOCA,LIMOEIRO DO NORTE,QUIXADÁ,IGUATU,CRATEÚS,JUAZEIRO DO NORTE,TAUÁ,SOBRAL,MARACANAÚ"</formula1>
      <formula2>0</formula2>
    </dataValidation>
    <dataValidation type="list" allowBlank="1" showInputMessage="1" showErrorMessage="1" prompt="Clique e insira um valor de a lista de itens" sqref="K6:K134 K136" xr:uid="{00000000-0002-0000-0600-000003000000}">
      <formula1>"VAGO,A SER PROVIDO,PROVIDO,INCORPORADO AO TRF5"</formula1>
      <formula2>0</formula2>
    </dataValidation>
    <dataValidation type="list" allowBlank="1" showInputMessage="1" showErrorMessage="1" prompt="Clique e digite um valor da lista de itens" sqref="J6:J134 J136" xr:uid="{00000000-0002-0000-0600-000004000000}">
      <formula1>"EXONERAÇÃO,DEMISSÃO,READAPTAÇÃO,APOSENTADORIA,POSSE EM OUTRO CARGO INACUMULÁVEL,FALECIMENTO,REDISTRIBUIÇÃO CARGO VAGO"</formula1>
      <formula2>0</formula2>
    </dataValidation>
    <dataValidation type="list" allowBlank="1" showInputMessage="1" showErrorMessage="1" prompt="Clique e digite um valor da lista de itens" sqref="G6:G20 G29:G108 G112:G113" xr:uid="{00000000-0002-0000-0600-000005000000}">
      <formula1>"SECAD,NUJUD,NUGEP,NUFICOP,NIST,DTI,NI,NIAP,NUAUD,NEGI,DIRFORO,1ª Vara,2ª Vara,3ª Vara,4ª Vara,5ª Vara,6ª Vara,7ª Vara,8ª Vara,9ª Vara,10ª Vara,11ª Vara,12ª Vara,13ª Vara,14ª Vara,15ª Vara,16ª Vara,17ª Vara,18ª Vara,19ª Vara,20ª Vara,21ª Vara,22ª Vara,23ª "&amp;"Vara,24ª Vara,25ª Vara,26ª Vara,27ª Vara,28ª Vara,29ª Vara,30ª Vara,31ª Vara,32ª Vara,33ª Vara,1ª TR,2ª TR,3ª TR,35ª Vara"</formula1>
      <formula2>0</formula2>
    </dataValidation>
    <dataValidation type="list" allowBlank="1" showInputMessage="1" showErrorMessage="1" prompt="Clique e insira um valor de a lista de itens" sqref="G21:G28" xr:uid="{00000000-0002-0000-0600-000006000000}">
      <formula1>"SECAD,NUJUD,NUGEP,NUFICOP,NIST,DTI,NI,NIAP,NUAUD,NEGI,DIRFORO,1ª Vara,2ª Vara,3ª Vara,4ª Vara,5ª Vara,6ª Vara,7ª Vara,8ª Vara,9ª Vara,10ª Vara,11ª Vara,12ª Vara,13ª Vara,14ª Vara,15ª Vara,16ª Vara,17ª Vara,18ª Vara,19ª Vara,20ª Vara,21ª Vara,22ª Vara,23ª "&amp;"Vara,24ª Vara,25ª Vara,26ª Vara,27ª Vara,28ª Vara,29ª Vara,30ª Vara,31ª Vara,32ª Vara,33ª Vara"</formula1>
      <formula2>0</formula2>
    </dataValidation>
  </dataValidations>
  <hyperlinks>
    <hyperlink ref="N13" r:id="rId1" xr:uid="{00000000-0004-0000-0600-000000000000}"/>
    <hyperlink ref="N14" r:id="rId2" xr:uid="{00000000-0004-0000-0600-000001000000}"/>
    <hyperlink ref="N15" r:id="rId3" xr:uid="{00000000-0004-0000-0600-000002000000}"/>
    <hyperlink ref="N16" r:id="rId4" xr:uid="{00000000-0004-0000-0600-000003000000}"/>
    <hyperlink ref="N17" r:id="rId5" xr:uid="{00000000-0004-0000-0600-000004000000}"/>
    <hyperlink ref="N18" r:id="rId6" xr:uid="{00000000-0004-0000-0600-000005000000}"/>
    <hyperlink ref="N22" r:id="rId7" xr:uid="{00000000-0004-0000-0600-000006000000}"/>
    <hyperlink ref="C29" r:id="rId8" xr:uid="{00000000-0004-0000-0600-000007000000}"/>
    <hyperlink ref="C30" r:id="rId9" xr:uid="{00000000-0004-0000-0600-000008000000}"/>
    <hyperlink ref="C31" r:id="rId10" xr:uid="{00000000-0004-0000-0600-000009000000}"/>
    <hyperlink ref="N33" r:id="rId11" xr:uid="{00000000-0004-0000-0600-00000A000000}"/>
    <hyperlink ref="N34" r:id="rId12" xr:uid="{00000000-0004-0000-0600-00000B000000}"/>
    <hyperlink ref="N38" r:id="rId13" xr:uid="{00000000-0004-0000-0600-00000C000000}"/>
    <hyperlink ref="N40" r:id="rId14" xr:uid="{00000000-0004-0000-0600-00000D000000}"/>
    <hyperlink ref="C42" r:id="rId15" xr:uid="{00000000-0004-0000-0600-00000E000000}"/>
    <hyperlink ref="N43" r:id="rId16" xr:uid="{00000000-0004-0000-0600-00000F000000}"/>
    <hyperlink ref="N62" r:id="rId17" xr:uid="{00000000-0004-0000-0600-000010000000}"/>
    <hyperlink ref="C64" r:id="rId18" xr:uid="{00000000-0004-0000-0600-000011000000}"/>
    <hyperlink ref="N64" r:id="rId19" xr:uid="{00000000-0004-0000-0600-000012000000}"/>
    <hyperlink ref="C65" r:id="rId20" xr:uid="{00000000-0004-0000-0600-000013000000}"/>
    <hyperlink ref="N65" r:id="rId21" xr:uid="{00000000-0004-0000-0600-000014000000}"/>
    <hyperlink ref="C66" r:id="rId22" xr:uid="{00000000-0004-0000-0600-000015000000}"/>
    <hyperlink ref="N66" r:id="rId23" xr:uid="{00000000-0004-0000-0600-000016000000}"/>
    <hyperlink ref="C67" r:id="rId24" xr:uid="{00000000-0004-0000-0600-000017000000}"/>
    <hyperlink ref="N67" r:id="rId25" xr:uid="{00000000-0004-0000-0600-000018000000}"/>
    <hyperlink ref="C68" r:id="rId26" xr:uid="{00000000-0004-0000-0600-000019000000}"/>
    <hyperlink ref="N68" r:id="rId27" xr:uid="{00000000-0004-0000-0600-00001A000000}"/>
    <hyperlink ref="C69" r:id="rId28" xr:uid="{00000000-0004-0000-0600-00001B000000}"/>
    <hyperlink ref="N69" r:id="rId29" xr:uid="{00000000-0004-0000-0600-00001C000000}"/>
    <hyperlink ref="C70" r:id="rId30" xr:uid="{00000000-0004-0000-0600-00001D000000}"/>
    <hyperlink ref="N70" r:id="rId31" xr:uid="{00000000-0004-0000-0600-00001E000000}"/>
    <hyperlink ref="C71" r:id="rId32" xr:uid="{00000000-0004-0000-0600-00001F000000}"/>
    <hyperlink ref="C72" r:id="rId33" xr:uid="{00000000-0004-0000-0600-000020000000}"/>
    <hyperlink ref="C73" r:id="rId34" xr:uid="{00000000-0004-0000-0600-000021000000}"/>
    <hyperlink ref="C74" r:id="rId35" xr:uid="{00000000-0004-0000-0600-000022000000}"/>
    <hyperlink ref="N74" r:id="rId36" xr:uid="{00000000-0004-0000-0600-000023000000}"/>
    <hyperlink ref="C75" r:id="rId37" xr:uid="{00000000-0004-0000-0600-000024000000}"/>
    <hyperlink ref="C76" r:id="rId38" xr:uid="{00000000-0004-0000-0600-000025000000}"/>
    <hyperlink ref="C77" r:id="rId39" xr:uid="{00000000-0004-0000-0600-000026000000}"/>
    <hyperlink ref="C78" r:id="rId40" xr:uid="{00000000-0004-0000-0600-000027000000}"/>
    <hyperlink ref="C79" r:id="rId41" xr:uid="{00000000-0004-0000-0600-000028000000}"/>
    <hyperlink ref="C80" r:id="rId42" xr:uid="{00000000-0004-0000-0600-000029000000}"/>
    <hyperlink ref="N80" r:id="rId43" xr:uid="{00000000-0004-0000-0600-00002A000000}"/>
    <hyperlink ref="C81" r:id="rId44" xr:uid="{00000000-0004-0000-0600-00002B000000}"/>
    <hyperlink ref="C82" r:id="rId45" xr:uid="{00000000-0004-0000-0600-00002C000000}"/>
    <hyperlink ref="C83" r:id="rId46" xr:uid="{00000000-0004-0000-0600-00002D000000}"/>
    <hyperlink ref="C84" r:id="rId47" xr:uid="{00000000-0004-0000-0600-00002E000000}"/>
    <hyperlink ref="C85" r:id="rId48" xr:uid="{00000000-0004-0000-0600-00002F000000}"/>
    <hyperlink ref="N85" r:id="rId49" xr:uid="{00000000-0004-0000-0600-000030000000}"/>
    <hyperlink ref="C86" r:id="rId50" xr:uid="{00000000-0004-0000-0600-000031000000}"/>
    <hyperlink ref="N86" r:id="rId51" xr:uid="{00000000-0004-0000-0600-000032000000}"/>
    <hyperlink ref="C87" r:id="rId52" xr:uid="{00000000-0004-0000-0600-000033000000}"/>
    <hyperlink ref="C88" r:id="rId53" xr:uid="{00000000-0004-0000-0600-000034000000}"/>
    <hyperlink ref="N88" r:id="rId54" xr:uid="{00000000-0004-0000-0600-000035000000}"/>
    <hyperlink ref="C89" r:id="rId55" xr:uid="{00000000-0004-0000-0600-000036000000}"/>
    <hyperlink ref="C90" r:id="rId56" xr:uid="{00000000-0004-0000-0600-000037000000}"/>
    <hyperlink ref="N90" r:id="rId57" xr:uid="{00000000-0004-0000-0600-000038000000}"/>
    <hyperlink ref="C91" r:id="rId58" xr:uid="{00000000-0004-0000-0600-000039000000}"/>
    <hyperlink ref="C92" r:id="rId59" xr:uid="{00000000-0004-0000-0600-00003A000000}"/>
    <hyperlink ref="C93" r:id="rId60" xr:uid="{00000000-0004-0000-0600-00003B000000}"/>
    <hyperlink ref="N93" r:id="rId61" xr:uid="{00000000-0004-0000-0600-00003C000000}"/>
    <hyperlink ref="C94" r:id="rId62" xr:uid="{00000000-0004-0000-0600-00003D000000}"/>
    <hyperlink ref="C95" r:id="rId63" xr:uid="{00000000-0004-0000-0600-00003E000000}"/>
    <hyperlink ref="C96" r:id="rId64" xr:uid="{00000000-0004-0000-0600-00003F000000}"/>
    <hyperlink ref="C97" r:id="rId65" xr:uid="{00000000-0004-0000-0600-000040000000}"/>
    <hyperlink ref="C98" r:id="rId66" xr:uid="{00000000-0004-0000-0600-000041000000}"/>
    <hyperlink ref="C99" r:id="rId67" xr:uid="{00000000-0004-0000-0600-000042000000}"/>
    <hyperlink ref="C100" r:id="rId68" xr:uid="{00000000-0004-0000-0600-000043000000}"/>
    <hyperlink ref="C101" r:id="rId69" xr:uid="{00000000-0004-0000-0600-000044000000}"/>
    <hyperlink ref="C102" r:id="rId70" xr:uid="{00000000-0004-0000-0600-000045000000}"/>
    <hyperlink ref="C103" r:id="rId71" xr:uid="{00000000-0004-0000-0600-000046000000}"/>
    <hyperlink ref="C104" r:id="rId72" xr:uid="{00000000-0004-0000-0600-000047000000}"/>
    <hyperlink ref="C105" r:id="rId73" xr:uid="{00000000-0004-0000-0600-000048000000}"/>
    <hyperlink ref="C106" r:id="rId74" xr:uid="{00000000-0004-0000-0600-000049000000}"/>
    <hyperlink ref="C107" r:id="rId75" xr:uid="{00000000-0004-0000-0600-00004A000000}"/>
    <hyperlink ref="C128" r:id="rId76" xr:uid="{00000000-0004-0000-0600-00004B000000}"/>
  </hyperlinks>
  <pageMargins left="0.51180555555555596" right="0.51180555555555596" top="0.78749999999999998" bottom="0.78749999999999998" header="0.511811023622047" footer="0.511811023622047"/>
  <pageSetup orientation="landscape" horizontalDpi="300" verticalDpi="300"/>
  <drawing r:id="rId77"/>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3:AA81"/>
  <sheetViews>
    <sheetView zoomScale="110" zoomScaleNormal="110" workbookViewId="0">
      <selection activeCellId="1" sqref="B9 A1"/>
    </sheetView>
  </sheetViews>
  <sheetFormatPr defaultColWidth="12.6328125" defaultRowHeight="14.25" customHeight="1" x14ac:dyDescent="0.25"/>
  <cols>
    <col min="4" max="4" width="37.08984375" customWidth="1"/>
    <col min="6" max="6" width="37.7265625" customWidth="1"/>
    <col min="7" max="7" width="55.453125" customWidth="1"/>
  </cols>
  <sheetData>
    <row r="3" spans="3:7" ht="15.05" customHeight="1" x14ac:dyDescent="0.25">
      <c r="C3" s="212" t="s">
        <v>149</v>
      </c>
      <c r="D3" s="212" t="s">
        <v>150</v>
      </c>
      <c r="E3" s="212" t="s">
        <v>118</v>
      </c>
      <c r="F3" s="212" t="s">
        <v>970</v>
      </c>
      <c r="G3" s="212" t="s">
        <v>1651</v>
      </c>
    </row>
    <row r="4" spans="3:7" ht="14" x14ac:dyDescent="0.3">
      <c r="C4" s="249" t="s">
        <v>1652</v>
      </c>
      <c r="D4" s="468" t="s">
        <v>1653</v>
      </c>
      <c r="E4" s="469" t="s">
        <v>290</v>
      </c>
      <c r="F4" s="470" t="s">
        <v>1654</v>
      </c>
      <c r="G4" s="468" t="s">
        <v>1655</v>
      </c>
    </row>
    <row r="5" spans="3:7" ht="27.95" x14ac:dyDescent="0.3">
      <c r="C5" s="249" t="s">
        <v>1656</v>
      </c>
      <c r="D5" s="468" t="s">
        <v>1657</v>
      </c>
      <c r="E5" s="469" t="s">
        <v>171</v>
      </c>
      <c r="F5" s="470" t="s">
        <v>1658</v>
      </c>
      <c r="G5" s="468" t="s">
        <v>1655</v>
      </c>
    </row>
    <row r="6" spans="3:7" ht="41.95" x14ac:dyDescent="0.3">
      <c r="C6" s="249" t="s">
        <v>1659</v>
      </c>
      <c r="D6" s="468" t="s">
        <v>1660</v>
      </c>
      <c r="E6" s="469" t="s">
        <v>171</v>
      </c>
      <c r="F6" s="470" t="s">
        <v>1661</v>
      </c>
      <c r="G6" s="468" t="s">
        <v>1655</v>
      </c>
    </row>
    <row r="7" spans="3:7" ht="27.95" x14ac:dyDescent="0.3">
      <c r="C7" s="249" t="s">
        <v>1662</v>
      </c>
      <c r="D7" s="468" t="s">
        <v>1663</v>
      </c>
      <c r="E7" s="469" t="s">
        <v>171</v>
      </c>
      <c r="F7" s="470" t="s">
        <v>1658</v>
      </c>
      <c r="G7" s="468" t="s">
        <v>1655</v>
      </c>
    </row>
    <row r="8" spans="3:7" ht="14" x14ac:dyDescent="0.3">
      <c r="C8" s="249" t="s">
        <v>1664</v>
      </c>
      <c r="D8" s="468" t="s">
        <v>1665</v>
      </c>
      <c r="E8" s="469" t="s">
        <v>178</v>
      </c>
      <c r="F8" s="470" t="s">
        <v>1654</v>
      </c>
      <c r="G8" s="468" t="s">
        <v>1655</v>
      </c>
    </row>
    <row r="9" spans="3:7" ht="27.95" x14ac:dyDescent="0.3">
      <c r="C9" s="249" t="s">
        <v>1666</v>
      </c>
      <c r="D9" s="468" t="s">
        <v>1667</v>
      </c>
      <c r="E9" s="469" t="s">
        <v>178</v>
      </c>
      <c r="F9" s="470" t="s">
        <v>1658</v>
      </c>
      <c r="G9" s="468" t="s">
        <v>1655</v>
      </c>
    </row>
    <row r="10" spans="3:7" ht="41.95" x14ac:dyDescent="0.3">
      <c r="C10" s="249" t="s">
        <v>1668</v>
      </c>
      <c r="D10" s="468" t="s">
        <v>1669</v>
      </c>
      <c r="E10" s="469" t="s">
        <v>171</v>
      </c>
      <c r="F10" s="470" t="s">
        <v>1661</v>
      </c>
      <c r="G10" s="468" t="s">
        <v>1655</v>
      </c>
    </row>
    <row r="11" spans="3:7" ht="41.95" x14ac:dyDescent="0.3">
      <c r="C11" s="249" t="s">
        <v>1670</v>
      </c>
      <c r="D11" s="468" t="s">
        <v>1671</v>
      </c>
      <c r="E11" s="469" t="s">
        <v>171</v>
      </c>
      <c r="F11" s="470" t="s">
        <v>1661</v>
      </c>
      <c r="G11" s="468" t="s">
        <v>1655</v>
      </c>
    </row>
    <row r="12" spans="3:7" ht="41.95" x14ac:dyDescent="0.3">
      <c r="C12" s="249" t="s">
        <v>1672</v>
      </c>
      <c r="D12" s="468" t="s">
        <v>1673</v>
      </c>
      <c r="E12" s="469" t="s">
        <v>178</v>
      </c>
      <c r="F12" s="470" t="s">
        <v>1661</v>
      </c>
      <c r="G12" s="468" t="s">
        <v>1655</v>
      </c>
    </row>
    <row r="13" spans="3:7" ht="27.95" x14ac:dyDescent="0.3">
      <c r="C13" s="249" t="s">
        <v>1674</v>
      </c>
      <c r="D13" s="468" t="s">
        <v>1675</v>
      </c>
      <c r="E13" s="469" t="s">
        <v>178</v>
      </c>
      <c r="F13" s="470" t="s">
        <v>1676</v>
      </c>
      <c r="G13" s="468" t="s">
        <v>1655</v>
      </c>
    </row>
    <row r="14" spans="3:7" ht="27.95" x14ac:dyDescent="0.3">
      <c r="C14" s="249" t="s">
        <v>1677</v>
      </c>
      <c r="D14" s="468" t="s">
        <v>1678</v>
      </c>
      <c r="E14" s="469" t="s">
        <v>290</v>
      </c>
      <c r="F14" s="470" t="s">
        <v>1658</v>
      </c>
      <c r="G14" s="468" t="s">
        <v>1655</v>
      </c>
    </row>
    <row r="15" spans="3:7" ht="27.95" x14ac:dyDescent="0.3">
      <c r="C15" s="249" t="s">
        <v>1679</v>
      </c>
      <c r="D15" s="468" t="s">
        <v>1680</v>
      </c>
      <c r="E15" s="469" t="s">
        <v>167</v>
      </c>
      <c r="F15" s="470" t="s">
        <v>1676</v>
      </c>
      <c r="G15" s="468" t="s">
        <v>1655</v>
      </c>
    </row>
    <row r="16" spans="3:7" ht="27.95" x14ac:dyDescent="0.3">
      <c r="C16" s="249" t="s">
        <v>1681</v>
      </c>
      <c r="D16" s="468" t="s">
        <v>1682</v>
      </c>
      <c r="E16" s="469" t="s">
        <v>171</v>
      </c>
      <c r="F16" s="470" t="s">
        <v>1658</v>
      </c>
      <c r="G16" s="468" t="s">
        <v>1655</v>
      </c>
    </row>
    <row r="17" spans="3:7" ht="27.95" x14ac:dyDescent="0.3">
      <c r="C17" s="249" t="s">
        <v>1683</v>
      </c>
      <c r="D17" s="468" t="s">
        <v>1684</v>
      </c>
      <c r="E17" s="469" t="s">
        <v>213</v>
      </c>
      <c r="F17" s="470" t="s">
        <v>1658</v>
      </c>
      <c r="G17" s="468" t="s">
        <v>1655</v>
      </c>
    </row>
    <row r="18" spans="3:7" ht="27.95" x14ac:dyDescent="0.3">
      <c r="C18" s="249" t="s">
        <v>1685</v>
      </c>
      <c r="D18" s="468" t="s">
        <v>1686</v>
      </c>
      <c r="E18" s="469" t="s">
        <v>213</v>
      </c>
      <c r="F18" s="470" t="s">
        <v>1658</v>
      </c>
      <c r="G18" s="468" t="s">
        <v>1655</v>
      </c>
    </row>
    <row r="19" spans="3:7" ht="27.95" x14ac:dyDescent="0.3">
      <c r="C19" s="249" t="s">
        <v>1687</v>
      </c>
      <c r="D19" s="468" t="s">
        <v>1688</v>
      </c>
      <c r="E19" s="469" t="s">
        <v>171</v>
      </c>
      <c r="F19" s="470" t="s">
        <v>1658</v>
      </c>
      <c r="G19" s="468" t="s">
        <v>1655</v>
      </c>
    </row>
    <row r="20" spans="3:7" ht="27.95" x14ac:dyDescent="0.3">
      <c r="C20" s="249" t="s">
        <v>1689</v>
      </c>
      <c r="D20" s="468" t="s">
        <v>1690</v>
      </c>
      <c r="E20" s="469" t="s">
        <v>290</v>
      </c>
      <c r="F20" s="470" t="s">
        <v>1658</v>
      </c>
      <c r="G20" s="468" t="s">
        <v>1655</v>
      </c>
    </row>
    <row r="21" spans="3:7" ht="27.95" x14ac:dyDescent="0.3">
      <c r="C21" s="249" t="s">
        <v>1691</v>
      </c>
      <c r="D21" s="468" t="s">
        <v>1692</v>
      </c>
      <c r="E21" s="469" t="s">
        <v>178</v>
      </c>
      <c r="F21" s="470" t="s">
        <v>1658</v>
      </c>
      <c r="G21" s="468" t="s">
        <v>1655</v>
      </c>
    </row>
    <row r="22" spans="3:7" ht="27.95" x14ac:dyDescent="0.3">
      <c r="C22" s="249" t="s">
        <v>1693</v>
      </c>
      <c r="D22" s="468" t="s">
        <v>1694</v>
      </c>
      <c r="E22" s="469" t="s">
        <v>178</v>
      </c>
      <c r="F22" s="470" t="s">
        <v>1658</v>
      </c>
      <c r="G22" s="468" t="s">
        <v>1655</v>
      </c>
    </row>
    <row r="23" spans="3:7" ht="27.95" x14ac:dyDescent="0.3">
      <c r="C23" s="249" t="s">
        <v>1695</v>
      </c>
      <c r="D23" s="468" t="s">
        <v>1696</v>
      </c>
      <c r="E23" s="469" t="s">
        <v>178</v>
      </c>
      <c r="F23" s="470" t="s">
        <v>1658</v>
      </c>
      <c r="G23" s="468" t="s">
        <v>1655</v>
      </c>
    </row>
    <row r="24" spans="3:7" ht="27.95" x14ac:dyDescent="0.3">
      <c r="C24" s="249" t="s">
        <v>1697</v>
      </c>
      <c r="D24" s="468" t="s">
        <v>1698</v>
      </c>
      <c r="E24" s="469" t="s">
        <v>171</v>
      </c>
      <c r="F24" s="470" t="s">
        <v>1658</v>
      </c>
      <c r="G24" s="468" t="s">
        <v>1655</v>
      </c>
    </row>
    <row r="25" spans="3:7" ht="27.95" x14ac:dyDescent="0.3">
      <c r="C25" s="249" t="s">
        <v>1699</v>
      </c>
      <c r="D25" s="468" t="s">
        <v>1700</v>
      </c>
      <c r="E25" s="469" t="s">
        <v>171</v>
      </c>
      <c r="F25" s="470" t="s">
        <v>1658</v>
      </c>
      <c r="G25" s="468" t="s">
        <v>1655</v>
      </c>
    </row>
    <row r="26" spans="3:7" ht="27.95" x14ac:dyDescent="0.3">
      <c r="C26" s="249" t="s">
        <v>1701</v>
      </c>
      <c r="D26" s="468" t="s">
        <v>1702</v>
      </c>
      <c r="E26" s="469" t="s">
        <v>178</v>
      </c>
      <c r="F26" s="470" t="s">
        <v>1658</v>
      </c>
      <c r="G26" s="468" t="s">
        <v>1655</v>
      </c>
    </row>
    <row r="27" spans="3:7" ht="27.95" x14ac:dyDescent="0.3">
      <c r="C27" s="249" t="s">
        <v>1703</v>
      </c>
      <c r="D27" s="468" t="s">
        <v>1704</v>
      </c>
      <c r="E27" s="469" t="s">
        <v>171</v>
      </c>
      <c r="F27" s="470" t="s">
        <v>1658</v>
      </c>
      <c r="G27" s="468" t="s">
        <v>1655</v>
      </c>
    </row>
    <row r="28" spans="3:7" ht="27.95" x14ac:dyDescent="0.3">
      <c r="C28" s="249" t="s">
        <v>1705</v>
      </c>
      <c r="D28" s="468" t="s">
        <v>1706</v>
      </c>
      <c r="E28" s="469" t="s">
        <v>171</v>
      </c>
      <c r="F28" s="470" t="s">
        <v>1658</v>
      </c>
      <c r="G28" s="468" t="s">
        <v>1655</v>
      </c>
    </row>
    <row r="29" spans="3:7" ht="27.95" x14ac:dyDescent="0.3">
      <c r="C29" s="249" t="s">
        <v>1707</v>
      </c>
      <c r="D29" s="468" t="s">
        <v>1708</v>
      </c>
      <c r="E29" s="469" t="s">
        <v>178</v>
      </c>
      <c r="F29" s="470" t="s">
        <v>1658</v>
      </c>
      <c r="G29" s="468" t="s">
        <v>1655</v>
      </c>
    </row>
    <row r="30" spans="3:7" ht="27.95" x14ac:dyDescent="0.3">
      <c r="C30" s="249" t="s">
        <v>1709</v>
      </c>
      <c r="D30" s="468" t="s">
        <v>1710</v>
      </c>
      <c r="E30" s="469" t="s">
        <v>290</v>
      </c>
      <c r="F30" s="470" t="s">
        <v>1658</v>
      </c>
      <c r="G30" s="468" t="s">
        <v>1655</v>
      </c>
    </row>
    <row r="31" spans="3:7" ht="27.95" x14ac:dyDescent="0.3">
      <c r="C31" s="249" t="s">
        <v>1711</v>
      </c>
      <c r="D31" s="468" t="s">
        <v>1712</v>
      </c>
      <c r="E31" s="469" t="s">
        <v>171</v>
      </c>
      <c r="F31" s="470" t="s">
        <v>1658</v>
      </c>
      <c r="G31" s="468" t="s">
        <v>1655</v>
      </c>
    </row>
    <row r="32" spans="3:7" ht="27.95" x14ac:dyDescent="0.3">
      <c r="C32" s="249" t="s">
        <v>1713</v>
      </c>
      <c r="D32" s="468" t="s">
        <v>1714</v>
      </c>
      <c r="E32" s="469" t="s">
        <v>178</v>
      </c>
      <c r="F32" s="470" t="s">
        <v>1658</v>
      </c>
      <c r="G32" s="468" t="s">
        <v>1655</v>
      </c>
    </row>
    <row r="33" spans="3:8" ht="27.95" x14ac:dyDescent="0.3">
      <c r="C33" s="249" t="s">
        <v>1715</v>
      </c>
      <c r="D33" s="468" t="s">
        <v>1716</v>
      </c>
      <c r="E33" s="469" t="s">
        <v>290</v>
      </c>
      <c r="F33" s="470" t="s">
        <v>1658</v>
      </c>
      <c r="G33" s="468" t="s">
        <v>1655</v>
      </c>
    </row>
    <row r="34" spans="3:8" ht="41.95" x14ac:dyDescent="0.3">
      <c r="C34" s="249" t="s">
        <v>1717</v>
      </c>
      <c r="D34" s="468" t="s">
        <v>1718</v>
      </c>
      <c r="E34" s="469" t="s">
        <v>178</v>
      </c>
      <c r="F34" s="470" t="s">
        <v>1661</v>
      </c>
      <c r="G34" s="468" t="s">
        <v>1655</v>
      </c>
    </row>
    <row r="35" spans="3:8" ht="41.95" x14ac:dyDescent="0.3">
      <c r="C35" s="249">
        <v>1056</v>
      </c>
      <c r="D35" s="468" t="s">
        <v>1719</v>
      </c>
      <c r="E35" s="469" t="s">
        <v>171</v>
      </c>
      <c r="F35" s="470" t="s">
        <v>1661</v>
      </c>
      <c r="G35" s="468" t="s">
        <v>1655</v>
      </c>
    </row>
    <row r="36" spans="3:8" ht="27.95" x14ac:dyDescent="0.3">
      <c r="C36" s="249" t="s">
        <v>1720</v>
      </c>
      <c r="D36" s="468" t="s">
        <v>1721</v>
      </c>
      <c r="E36" s="469" t="s">
        <v>178</v>
      </c>
      <c r="F36" s="470" t="s">
        <v>1658</v>
      </c>
      <c r="G36" s="468" t="s">
        <v>1655</v>
      </c>
    </row>
    <row r="37" spans="3:8" ht="27.95" x14ac:dyDescent="0.3">
      <c r="C37" s="249" t="s">
        <v>1722</v>
      </c>
      <c r="D37" s="468" t="s">
        <v>1723</v>
      </c>
      <c r="E37" s="469" t="s">
        <v>171</v>
      </c>
      <c r="F37" s="470" t="s">
        <v>1658</v>
      </c>
      <c r="G37" s="468" t="s">
        <v>1655</v>
      </c>
    </row>
    <row r="38" spans="3:8" ht="41.95" x14ac:dyDescent="0.3">
      <c r="C38" s="249" t="s">
        <v>1724</v>
      </c>
      <c r="D38" s="468" t="s">
        <v>1725</v>
      </c>
      <c r="E38" s="469" t="s">
        <v>178</v>
      </c>
      <c r="F38" s="470" t="s">
        <v>1661</v>
      </c>
      <c r="G38" s="468" t="s">
        <v>1655</v>
      </c>
    </row>
    <row r="39" spans="3:8" ht="27.95" x14ac:dyDescent="0.3">
      <c r="C39" s="249" t="s">
        <v>1726</v>
      </c>
      <c r="D39" s="468" t="s">
        <v>1727</v>
      </c>
      <c r="E39" s="469" t="s">
        <v>178</v>
      </c>
      <c r="F39" s="470" t="s">
        <v>1658</v>
      </c>
      <c r="G39" s="468" t="s">
        <v>1655</v>
      </c>
    </row>
    <row r="40" spans="3:8" ht="27.95" x14ac:dyDescent="0.3">
      <c r="C40" s="249" t="s">
        <v>1728</v>
      </c>
      <c r="D40" s="468" t="s">
        <v>1729</v>
      </c>
      <c r="E40" s="469" t="s">
        <v>178</v>
      </c>
      <c r="F40" s="470" t="s">
        <v>1658</v>
      </c>
      <c r="G40" s="468" t="s">
        <v>1655</v>
      </c>
    </row>
    <row r="41" spans="3:8" ht="27.95" x14ac:dyDescent="0.3">
      <c r="C41" s="249" t="s">
        <v>1730</v>
      </c>
      <c r="D41" s="468" t="s">
        <v>1731</v>
      </c>
      <c r="E41" s="469" t="s">
        <v>171</v>
      </c>
      <c r="F41" s="470" t="s">
        <v>1658</v>
      </c>
      <c r="G41" s="468" t="s">
        <v>1655</v>
      </c>
    </row>
    <row r="42" spans="3:8" ht="27.95" x14ac:dyDescent="0.3">
      <c r="C42" s="249" t="s">
        <v>1732</v>
      </c>
      <c r="D42" s="468" t="s">
        <v>1733</v>
      </c>
      <c r="E42" s="469" t="s">
        <v>178</v>
      </c>
      <c r="F42" s="470" t="s">
        <v>1658</v>
      </c>
      <c r="G42" s="468" t="s">
        <v>1655</v>
      </c>
    </row>
    <row r="43" spans="3:8" ht="27.95" x14ac:dyDescent="0.3">
      <c r="C43" s="249" t="s">
        <v>1734</v>
      </c>
      <c r="D43" s="468" t="s">
        <v>1735</v>
      </c>
      <c r="E43" s="469" t="s">
        <v>171</v>
      </c>
      <c r="F43" s="470" t="s">
        <v>1658</v>
      </c>
      <c r="G43" s="468" t="s">
        <v>1655</v>
      </c>
    </row>
    <row r="44" spans="3:8" ht="27.95" x14ac:dyDescent="0.3">
      <c r="C44" s="471" t="s">
        <v>1736</v>
      </c>
      <c r="D44" s="472" t="s">
        <v>1737</v>
      </c>
      <c r="E44" s="473" t="s">
        <v>213</v>
      </c>
      <c r="F44" s="474" t="s">
        <v>1658</v>
      </c>
      <c r="G44" s="472" t="s">
        <v>1655</v>
      </c>
    </row>
    <row r="45" spans="3:8" ht="41.95" x14ac:dyDescent="0.3">
      <c r="C45" s="212" t="s">
        <v>1738</v>
      </c>
      <c r="D45" s="254" t="s">
        <v>1739</v>
      </c>
      <c r="E45" s="255" t="s">
        <v>171</v>
      </c>
      <c r="F45" s="475" t="s">
        <v>1661</v>
      </c>
      <c r="G45" s="254" t="s">
        <v>1655</v>
      </c>
      <c r="H45" s="16"/>
    </row>
    <row r="46" spans="3:8" ht="14" x14ac:dyDescent="0.3">
      <c r="C46" s="212"/>
      <c r="D46" s="254"/>
      <c r="E46" s="255"/>
      <c r="F46" s="475"/>
      <c r="G46" s="254"/>
      <c r="H46" s="16"/>
    </row>
    <row r="50" spans="1:27" ht="409.45" x14ac:dyDescent="0.25">
      <c r="A50" s="476"/>
      <c r="B50" s="476"/>
      <c r="C50" s="477" t="s">
        <v>1740</v>
      </c>
      <c r="D50" s="476"/>
      <c r="E50" s="476"/>
      <c r="F50" s="476"/>
      <c r="G50" s="476"/>
      <c r="H50" s="476"/>
      <c r="I50" s="476"/>
      <c r="J50" s="476"/>
      <c r="K50" s="476"/>
      <c r="L50" s="476"/>
      <c r="M50" s="476"/>
      <c r="N50" s="476"/>
      <c r="O50" s="476"/>
      <c r="P50" s="476"/>
      <c r="Q50" s="476"/>
      <c r="R50" s="476"/>
      <c r="S50" s="476"/>
      <c r="T50" s="476"/>
      <c r="U50" s="476"/>
      <c r="V50" s="476"/>
      <c r="W50" s="476"/>
      <c r="X50" s="476"/>
      <c r="Y50" s="476"/>
      <c r="Z50" s="476"/>
      <c r="AA50" s="476"/>
    </row>
    <row r="51" spans="1:27" ht="14" x14ac:dyDescent="0.3">
      <c r="C51" s="16"/>
    </row>
    <row r="52" spans="1:27" ht="14" x14ac:dyDescent="0.3">
      <c r="C52" s="16"/>
    </row>
    <row r="53" spans="1:27" ht="14" x14ac:dyDescent="0.3">
      <c r="C53" s="16" t="s">
        <v>870</v>
      </c>
    </row>
    <row r="54" spans="1:27" ht="181.65" x14ac:dyDescent="0.3">
      <c r="C54" s="478" t="s">
        <v>1741</v>
      </c>
    </row>
    <row r="55" spans="1:27" ht="14" x14ac:dyDescent="0.3">
      <c r="C55" s="16"/>
    </row>
    <row r="56" spans="1:27" ht="14" x14ac:dyDescent="0.3">
      <c r="C56" s="16" t="s">
        <v>883</v>
      </c>
    </row>
    <row r="57" spans="1:27" ht="14" x14ac:dyDescent="0.3">
      <c r="C57" s="16" t="s">
        <v>1742</v>
      </c>
    </row>
    <row r="59" spans="1:27" ht="15.05" customHeight="1" x14ac:dyDescent="0.3">
      <c r="C59" s="16" t="s">
        <v>892</v>
      </c>
    </row>
    <row r="60" spans="1:27" ht="15.05" customHeight="1" x14ac:dyDescent="0.3">
      <c r="C60" s="16" t="s">
        <v>1743</v>
      </c>
    </row>
    <row r="62" spans="1:27" ht="14" x14ac:dyDescent="0.3">
      <c r="C62" s="16" t="s">
        <v>899</v>
      </c>
    </row>
    <row r="63" spans="1:27" ht="13.45" x14ac:dyDescent="0.25">
      <c r="C63" t="s">
        <v>1744</v>
      </c>
    </row>
    <row r="65" spans="3:3" ht="14" x14ac:dyDescent="0.3">
      <c r="C65" s="16" t="s">
        <v>906</v>
      </c>
    </row>
    <row r="66" spans="3:3" ht="13.45" x14ac:dyDescent="0.25">
      <c r="C66" t="s">
        <v>1745</v>
      </c>
    </row>
    <row r="68" spans="3:3" ht="14" x14ac:dyDescent="0.3">
      <c r="C68" s="16" t="s">
        <v>1746</v>
      </c>
    </row>
    <row r="69" spans="3:3" ht="13.45" x14ac:dyDescent="0.25">
      <c r="C69" t="s">
        <v>1747</v>
      </c>
    </row>
    <row r="71" spans="3:3" ht="14" x14ac:dyDescent="0.3">
      <c r="C71" s="16" t="s">
        <v>1016</v>
      </c>
    </row>
    <row r="72" spans="3:3" ht="13.45" x14ac:dyDescent="0.25">
      <c r="C72" t="s">
        <v>1748</v>
      </c>
    </row>
    <row r="73" spans="3:3" ht="13.45" x14ac:dyDescent="0.25">
      <c r="C73" t="s">
        <v>1749</v>
      </c>
    </row>
    <row r="74" spans="3:3" ht="147.80000000000001" x14ac:dyDescent="0.25">
      <c r="C74" s="479" t="s">
        <v>1750</v>
      </c>
    </row>
    <row r="76" spans="3:3" ht="13.45" x14ac:dyDescent="0.25">
      <c r="C76" s="337">
        <v>45078</v>
      </c>
    </row>
    <row r="77" spans="3:3" ht="53.75" x14ac:dyDescent="0.25">
      <c r="C77" s="479" t="s">
        <v>1751</v>
      </c>
    </row>
    <row r="79" spans="3:3" ht="13.45" x14ac:dyDescent="0.25">
      <c r="C79" s="337">
        <v>45200</v>
      </c>
    </row>
    <row r="80" spans="3:3" ht="80.599999999999994" x14ac:dyDescent="0.25">
      <c r="C80" s="479" t="s">
        <v>1752</v>
      </c>
    </row>
    <row r="81" spans="3:3" ht="67.2" x14ac:dyDescent="0.25">
      <c r="C81" s="479" t="s">
        <v>1753</v>
      </c>
    </row>
  </sheetData>
  <autoFilter ref="C3:G46" xr:uid="{00000000-0009-0000-0000-000007000000}"/>
  <pageMargins left="0.51180555555555596" right="0.51180555555555596" top="0.78749999999999998" bottom="0.78749999999999998" header="0.511811023622047" footer="0.511811023622047"/>
  <pageSetup orientation="landscape"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1:C999"/>
  <sheetViews>
    <sheetView zoomScale="110" zoomScaleNormal="110" workbookViewId="0">
      <selection activeCellId="1" sqref="B9 A1"/>
    </sheetView>
  </sheetViews>
  <sheetFormatPr defaultColWidth="12.6328125" defaultRowHeight="14.25" customHeight="1" x14ac:dyDescent="0.25"/>
  <cols>
    <col min="2" max="2" width="30.36328125" customWidth="1"/>
    <col min="3" max="3" width="22" customWidth="1"/>
  </cols>
  <sheetData>
    <row r="1" spans="2:3" ht="13.45" x14ac:dyDescent="0.25">
      <c r="C1" s="18"/>
    </row>
    <row r="2" spans="2:3" ht="13.45" x14ac:dyDescent="0.25">
      <c r="C2" s="18"/>
    </row>
    <row r="3" spans="2:3" ht="13.45" x14ac:dyDescent="0.25">
      <c r="C3" s="18"/>
    </row>
    <row r="4" spans="2:3" ht="15.05" customHeight="1" x14ac:dyDescent="0.3">
      <c r="B4" s="480" t="s">
        <v>118</v>
      </c>
      <c r="C4" s="481" t="s">
        <v>1754</v>
      </c>
    </row>
    <row r="5" spans="2:3" ht="15.05" customHeight="1" x14ac:dyDescent="0.3">
      <c r="B5" s="482" t="s">
        <v>60</v>
      </c>
      <c r="C5" s="483" t="s">
        <v>178</v>
      </c>
    </row>
    <row r="6" spans="2:3" ht="15.05" customHeight="1" x14ac:dyDescent="0.3">
      <c r="B6" s="484" t="s">
        <v>61</v>
      </c>
      <c r="C6" s="485" t="s">
        <v>167</v>
      </c>
    </row>
    <row r="7" spans="2:3" ht="15.05" customHeight="1" x14ac:dyDescent="0.3">
      <c r="B7" s="484" t="s">
        <v>62</v>
      </c>
      <c r="C7" s="485" t="s">
        <v>290</v>
      </c>
    </row>
    <row r="8" spans="2:3" ht="15.05" customHeight="1" x14ac:dyDescent="0.3">
      <c r="B8" s="484" t="s">
        <v>63</v>
      </c>
      <c r="C8" s="485" t="s">
        <v>183</v>
      </c>
    </row>
    <row r="9" spans="2:3" ht="15.05" customHeight="1" x14ac:dyDescent="0.3">
      <c r="B9" s="484" t="s">
        <v>64</v>
      </c>
      <c r="C9" s="485" t="s">
        <v>473</v>
      </c>
    </row>
    <row r="10" spans="2:3" ht="15.05" customHeight="1" x14ac:dyDescent="0.3">
      <c r="B10" s="484" t="s">
        <v>65</v>
      </c>
      <c r="C10" s="485" t="s">
        <v>488</v>
      </c>
    </row>
    <row r="11" spans="2:3" ht="15.05" customHeight="1" x14ac:dyDescent="0.3">
      <c r="B11" s="484" t="s">
        <v>66</v>
      </c>
      <c r="C11" s="485" t="s">
        <v>508</v>
      </c>
    </row>
    <row r="12" spans="2:3" ht="15.05" customHeight="1" x14ac:dyDescent="0.3">
      <c r="B12" s="484" t="s">
        <v>67</v>
      </c>
      <c r="C12" s="485" t="s">
        <v>671</v>
      </c>
    </row>
    <row r="13" spans="2:3" ht="15.05" customHeight="1" x14ac:dyDescent="0.3">
      <c r="B13" s="484" t="s">
        <v>68</v>
      </c>
      <c r="C13" s="485" t="s">
        <v>539</v>
      </c>
    </row>
    <row r="14" spans="2:3" ht="15.05" customHeight="1" x14ac:dyDescent="0.3">
      <c r="B14" s="484" t="s">
        <v>69</v>
      </c>
      <c r="C14" s="485" t="s">
        <v>451</v>
      </c>
    </row>
    <row r="15" spans="2:3" ht="15.05" customHeight="1" x14ac:dyDescent="0.3">
      <c r="B15" s="484" t="s">
        <v>72</v>
      </c>
      <c r="C15" s="485" t="s">
        <v>171</v>
      </c>
    </row>
    <row r="16" spans="2:3" ht="15.05" customHeight="1" x14ac:dyDescent="0.3">
      <c r="B16" s="484" t="s">
        <v>73</v>
      </c>
      <c r="C16" s="485" t="s">
        <v>512</v>
      </c>
    </row>
    <row r="17" spans="2:3" ht="15.05" customHeight="1" x14ac:dyDescent="0.3">
      <c r="B17" s="486" t="s">
        <v>1755</v>
      </c>
      <c r="C17" s="487" t="s">
        <v>213</v>
      </c>
    </row>
    <row r="18" spans="2:3" ht="13.45" x14ac:dyDescent="0.25">
      <c r="C18" s="18"/>
    </row>
    <row r="19" spans="2:3" ht="13.45" x14ac:dyDescent="0.25">
      <c r="C19" s="18"/>
    </row>
    <row r="20" spans="2:3" ht="13.45" x14ac:dyDescent="0.25">
      <c r="C20" s="18"/>
    </row>
    <row r="21" spans="2:3" ht="13.45" x14ac:dyDescent="0.25">
      <c r="C21" s="18"/>
    </row>
    <row r="22" spans="2:3" ht="13.45" x14ac:dyDescent="0.25">
      <c r="C22" s="18"/>
    </row>
    <row r="23" spans="2:3" ht="13.45" x14ac:dyDescent="0.25">
      <c r="C23" s="18"/>
    </row>
    <row r="24" spans="2:3" ht="13.45" x14ac:dyDescent="0.25">
      <c r="C24" s="18"/>
    </row>
    <row r="25" spans="2:3" ht="13.45" x14ac:dyDescent="0.25">
      <c r="C25" s="18"/>
    </row>
    <row r="26" spans="2:3" ht="13.45" x14ac:dyDescent="0.25">
      <c r="C26" s="18"/>
    </row>
    <row r="27" spans="2:3" ht="13.45" x14ac:dyDescent="0.25">
      <c r="C27" s="18"/>
    </row>
    <row r="28" spans="2:3" ht="13.45" x14ac:dyDescent="0.25">
      <c r="C28" s="18"/>
    </row>
    <row r="29" spans="2:3" ht="13.45" x14ac:dyDescent="0.25">
      <c r="C29" s="18"/>
    </row>
    <row r="30" spans="2:3" ht="13.45" x14ac:dyDescent="0.25">
      <c r="C30" s="18"/>
    </row>
    <row r="31" spans="2:3" ht="13.45" x14ac:dyDescent="0.25">
      <c r="C31" s="18"/>
    </row>
    <row r="32" spans="2:3" ht="13.45" x14ac:dyDescent="0.25">
      <c r="C32" s="18"/>
    </row>
    <row r="33" spans="3:3" ht="13.45" x14ac:dyDescent="0.25">
      <c r="C33" s="18"/>
    </row>
    <row r="34" spans="3:3" ht="13.45" x14ac:dyDescent="0.25">
      <c r="C34" s="18"/>
    </row>
    <row r="35" spans="3:3" ht="13.45" x14ac:dyDescent="0.25">
      <c r="C35" s="18"/>
    </row>
    <row r="36" spans="3:3" ht="13.45" x14ac:dyDescent="0.25">
      <c r="C36" s="18"/>
    </row>
    <row r="37" spans="3:3" ht="13.45" x14ac:dyDescent="0.25">
      <c r="C37" s="18"/>
    </row>
    <row r="38" spans="3:3" ht="13.45" x14ac:dyDescent="0.25">
      <c r="C38" s="18"/>
    </row>
    <row r="39" spans="3:3" ht="13.45" x14ac:dyDescent="0.25">
      <c r="C39" s="18"/>
    </row>
    <row r="40" spans="3:3" ht="13.45" x14ac:dyDescent="0.25">
      <c r="C40" s="18"/>
    </row>
    <row r="41" spans="3:3" ht="13.45" x14ac:dyDescent="0.25">
      <c r="C41" s="18"/>
    </row>
    <row r="42" spans="3:3" ht="13.45" x14ac:dyDescent="0.25">
      <c r="C42" s="18"/>
    </row>
    <row r="43" spans="3:3" ht="13.45" x14ac:dyDescent="0.25">
      <c r="C43" s="18"/>
    </row>
    <row r="44" spans="3:3" ht="13.45" x14ac:dyDescent="0.25">
      <c r="C44" s="18"/>
    </row>
    <row r="45" spans="3:3" ht="13.45" x14ac:dyDescent="0.25">
      <c r="C45" s="18"/>
    </row>
    <row r="46" spans="3:3" ht="13.45" x14ac:dyDescent="0.25">
      <c r="C46" s="18"/>
    </row>
    <row r="47" spans="3:3" ht="13.45" x14ac:dyDescent="0.25">
      <c r="C47" s="18"/>
    </row>
    <row r="48" spans="3:3" ht="13.45" x14ac:dyDescent="0.25">
      <c r="C48" s="18"/>
    </row>
    <row r="49" spans="3:3" ht="13.45" x14ac:dyDescent="0.25">
      <c r="C49" s="18"/>
    </row>
    <row r="50" spans="3:3" ht="13.45" x14ac:dyDescent="0.25">
      <c r="C50" s="18"/>
    </row>
    <row r="51" spans="3:3" ht="13.45" x14ac:dyDescent="0.25">
      <c r="C51" s="18"/>
    </row>
    <row r="52" spans="3:3" ht="13.45" x14ac:dyDescent="0.25">
      <c r="C52" s="18"/>
    </row>
    <row r="53" spans="3:3" ht="13.45" x14ac:dyDescent="0.25">
      <c r="C53" s="18"/>
    </row>
    <row r="54" spans="3:3" ht="13.45" x14ac:dyDescent="0.25">
      <c r="C54" s="18"/>
    </row>
    <row r="55" spans="3:3" ht="13.45" x14ac:dyDescent="0.25">
      <c r="C55" s="18"/>
    </row>
    <row r="56" spans="3:3" ht="13.45" x14ac:dyDescent="0.25">
      <c r="C56" s="18"/>
    </row>
    <row r="57" spans="3:3" ht="13.45" x14ac:dyDescent="0.25">
      <c r="C57" s="18"/>
    </row>
    <row r="58" spans="3:3" ht="13.45" x14ac:dyDescent="0.25">
      <c r="C58" s="18"/>
    </row>
    <row r="59" spans="3:3" ht="13.45" x14ac:dyDescent="0.25">
      <c r="C59" s="18"/>
    </row>
    <row r="60" spans="3:3" ht="13.45" x14ac:dyDescent="0.25">
      <c r="C60" s="18"/>
    </row>
    <row r="61" spans="3:3" ht="13.45" x14ac:dyDescent="0.25">
      <c r="C61" s="18"/>
    </row>
    <row r="62" spans="3:3" ht="13.45" x14ac:dyDescent="0.25">
      <c r="C62" s="18"/>
    </row>
    <row r="63" spans="3:3" ht="13.45" x14ac:dyDescent="0.25">
      <c r="C63" s="18"/>
    </row>
    <row r="64" spans="3:3" ht="13.45" x14ac:dyDescent="0.25">
      <c r="C64" s="18"/>
    </row>
    <row r="65" spans="3:3" ht="13.45" x14ac:dyDescent="0.25">
      <c r="C65" s="18"/>
    </row>
    <row r="66" spans="3:3" ht="13.45" x14ac:dyDescent="0.25">
      <c r="C66" s="18"/>
    </row>
    <row r="67" spans="3:3" ht="13.45" x14ac:dyDescent="0.25">
      <c r="C67" s="18"/>
    </row>
    <row r="68" spans="3:3" ht="13.45" x14ac:dyDescent="0.25">
      <c r="C68" s="18"/>
    </row>
    <row r="69" spans="3:3" ht="13.45" x14ac:dyDescent="0.25">
      <c r="C69" s="18"/>
    </row>
    <row r="70" spans="3:3" ht="13.45" x14ac:dyDescent="0.25">
      <c r="C70" s="18"/>
    </row>
    <row r="71" spans="3:3" ht="13.45" x14ac:dyDescent="0.25">
      <c r="C71" s="18"/>
    </row>
    <row r="72" spans="3:3" ht="13.45" x14ac:dyDescent="0.25">
      <c r="C72" s="18"/>
    </row>
    <row r="73" spans="3:3" ht="13.45" x14ac:dyDescent="0.25">
      <c r="C73" s="18"/>
    </row>
    <row r="74" spans="3:3" ht="13.45" x14ac:dyDescent="0.25">
      <c r="C74" s="18"/>
    </row>
    <row r="75" spans="3:3" ht="13.45" x14ac:dyDescent="0.25">
      <c r="C75" s="18"/>
    </row>
    <row r="76" spans="3:3" ht="13.45" x14ac:dyDescent="0.25">
      <c r="C76" s="18"/>
    </row>
    <row r="77" spans="3:3" ht="13.45" x14ac:dyDescent="0.25">
      <c r="C77" s="18"/>
    </row>
    <row r="78" spans="3:3" ht="13.45" x14ac:dyDescent="0.25">
      <c r="C78" s="18"/>
    </row>
    <row r="79" spans="3:3" ht="13.45" x14ac:dyDescent="0.25">
      <c r="C79" s="18"/>
    </row>
    <row r="80" spans="3:3" ht="13.45" x14ac:dyDescent="0.25">
      <c r="C80" s="18"/>
    </row>
    <row r="81" spans="3:3" ht="13.45" x14ac:dyDescent="0.25">
      <c r="C81" s="18"/>
    </row>
    <row r="82" spans="3:3" ht="13.45" x14ac:dyDescent="0.25">
      <c r="C82" s="18"/>
    </row>
    <row r="83" spans="3:3" ht="13.45" x14ac:dyDescent="0.25">
      <c r="C83" s="18"/>
    </row>
    <row r="84" spans="3:3" ht="13.45" x14ac:dyDescent="0.25">
      <c r="C84" s="18"/>
    </row>
    <row r="85" spans="3:3" ht="13.45" x14ac:dyDescent="0.25">
      <c r="C85" s="18"/>
    </row>
    <row r="86" spans="3:3" ht="13.45" x14ac:dyDescent="0.25">
      <c r="C86" s="18"/>
    </row>
    <row r="87" spans="3:3" ht="13.45" x14ac:dyDescent="0.25">
      <c r="C87" s="18"/>
    </row>
    <row r="88" spans="3:3" ht="13.45" x14ac:dyDescent="0.25">
      <c r="C88" s="18"/>
    </row>
    <row r="89" spans="3:3" ht="13.45" x14ac:dyDescent="0.25">
      <c r="C89" s="18"/>
    </row>
    <row r="90" spans="3:3" ht="13.45" x14ac:dyDescent="0.25">
      <c r="C90" s="18"/>
    </row>
    <row r="91" spans="3:3" ht="13.45" x14ac:dyDescent="0.25">
      <c r="C91" s="18"/>
    </row>
    <row r="92" spans="3:3" ht="13.45" x14ac:dyDescent="0.25">
      <c r="C92" s="18"/>
    </row>
    <row r="93" spans="3:3" ht="13.45" x14ac:dyDescent="0.25">
      <c r="C93" s="18"/>
    </row>
    <row r="94" spans="3:3" ht="13.45" x14ac:dyDescent="0.25">
      <c r="C94" s="18"/>
    </row>
    <row r="95" spans="3:3" ht="13.45" x14ac:dyDescent="0.25">
      <c r="C95" s="18"/>
    </row>
    <row r="96" spans="3:3" ht="13.45" x14ac:dyDescent="0.25">
      <c r="C96" s="18"/>
    </row>
    <row r="97" spans="3:3" ht="13.45" x14ac:dyDescent="0.25">
      <c r="C97" s="18"/>
    </row>
    <row r="98" spans="3:3" ht="13.45" x14ac:dyDescent="0.25">
      <c r="C98" s="18"/>
    </row>
    <row r="99" spans="3:3" ht="13.45" x14ac:dyDescent="0.25">
      <c r="C99" s="18"/>
    </row>
    <row r="100" spans="3:3" ht="13.45" x14ac:dyDescent="0.25">
      <c r="C100" s="18"/>
    </row>
    <row r="101" spans="3:3" ht="13.45" x14ac:dyDescent="0.25">
      <c r="C101" s="18"/>
    </row>
    <row r="102" spans="3:3" ht="13.45" x14ac:dyDescent="0.25">
      <c r="C102" s="18"/>
    </row>
    <row r="103" spans="3:3" ht="13.45" x14ac:dyDescent="0.25">
      <c r="C103" s="18"/>
    </row>
    <row r="104" spans="3:3" ht="13.45" x14ac:dyDescent="0.25">
      <c r="C104" s="18"/>
    </row>
    <row r="105" spans="3:3" ht="13.45" x14ac:dyDescent="0.25">
      <c r="C105" s="18"/>
    </row>
    <row r="106" spans="3:3" ht="13.45" x14ac:dyDescent="0.25">
      <c r="C106" s="18"/>
    </row>
    <row r="107" spans="3:3" ht="13.45" x14ac:dyDescent="0.25">
      <c r="C107" s="18"/>
    </row>
    <row r="108" spans="3:3" ht="13.45" x14ac:dyDescent="0.25">
      <c r="C108" s="18"/>
    </row>
    <row r="109" spans="3:3" ht="13.45" x14ac:dyDescent="0.25">
      <c r="C109" s="18"/>
    </row>
    <row r="110" spans="3:3" ht="13.45" x14ac:dyDescent="0.25">
      <c r="C110" s="18"/>
    </row>
    <row r="111" spans="3:3" ht="13.45" x14ac:dyDescent="0.25">
      <c r="C111" s="18"/>
    </row>
    <row r="112" spans="3:3" ht="13.45" x14ac:dyDescent="0.25">
      <c r="C112" s="18"/>
    </row>
    <row r="113" spans="3:3" ht="13.45" x14ac:dyDescent="0.25">
      <c r="C113" s="18"/>
    </row>
    <row r="114" spans="3:3" ht="13.45" x14ac:dyDescent="0.25">
      <c r="C114" s="18"/>
    </row>
    <row r="115" spans="3:3" ht="13.45" x14ac:dyDescent="0.25">
      <c r="C115" s="18"/>
    </row>
    <row r="116" spans="3:3" ht="13.45" x14ac:dyDescent="0.25">
      <c r="C116" s="18"/>
    </row>
    <row r="117" spans="3:3" ht="13.45" x14ac:dyDescent="0.25">
      <c r="C117" s="18"/>
    </row>
    <row r="118" spans="3:3" ht="13.45" x14ac:dyDescent="0.25">
      <c r="C118" s="18"/>
    </row>
    <row r="119" spans="3:3" ht="13.45" x14ac:dyDescent="0.25">
      <c r="C119" s="18"/>
    </row>
    <row r="120" spans="3:3" ht="13.45" x14ac:dyDescent="0.25">
      <c r="C120" s="18"/>
    </row>
    <row r="121" spans="3:3" ht="13.45" x14ac:dyDescent="0.25">
      <c r="C121" s="18"/>
    </row>
    <row r="122" spans="3:3" ht="13.45" x14ac:dyDescent="0.25">
      <c r="C122" s="18"/>
    </row>
    <row r="123" spans="3:3" ht="13.45" x14ac:dyDescent="0.25">
      <c r="C123" s="18"/>
    </row>
    <row r="124" spans="3:3" ht="13.45" x14ac:dyDescent="0.25">
      <c r="C124" s="18"/>
    </row>
    <row r="125" spans="3:3" ht="13.45" x14ac:dyDescent="0.25">
      <c r="C125" s="18"/>
    </row>
    <row r="126" spans="3:3" ht="13.45" x14ac:dyDescent="0.25">
      <c r="C126" s="18"/>
    </row>
    <row r="127" spans="3:3" ht="13.45" x14ac:dyDescent="0.25">
      <c r="C127" s="18"/>
    </row>
    <row r="128" spans="3:3" ht="13.45" x14ac:dyDescent="0.25">
      <c r="C128" s="18"/>
    </row>
    <row r="129" spans="3:3" ht="13.45" x14ac:dyDescent="0.25">
      <c r="C129" s="18"/>
    </row>
    <row r="130" spans="3:3" ht="13.45" x14ac:dyDescent="0.25">
      <c r="C130" s="18"/>
    </row>
    <row r="131" spans="3:3" ht="13.45" x14ac:dyDescent="0.25">
      <c r="C131" s="18"/>
    </row>
    <row r="132" spans="3:3" ht="13.45" x14ac:dyDescent="0.25">
      <c r="C132" s="18"/>
    </row>
    <row r="133" spans="3:3" ht="13.45" x14ac:dyDescent="0.25">
      <c r="C133" s="18"/>
    </row>
    <row r="134" spans="3:3" ht="13.45" x14ac:dyDescent="0.25">
      <c r="C134" s="18"/>
    </row>
    <row r="135" spans="3:3" ht="13.45" x14ac:dyDescent="0.25">
      <c r="C135" s="18"/>
    </row>
    <row r="136" spans="3:3" ht="13.45" x14ac:dyDescent="0.25">
      <c r="C136" s="18"/>
    </row>
    <row r="137" spans="3:3" ht="13.45" x14ac:dyDescent="0.25">
      <c r="C137" s="18"/>
    </row>
    <row r="138" spans="3:3" ht="13.45" x14ac:dyDescent="0.25">
      <c r="C138" s="18"/>
    </row>
    <row r="139" spans="3:3" ht="13.45" x14ac:dyDescent="0.25">
      <c r="C139" s="18"/>
    </row>
    <row r="140" spans="3:3" ht="13.45" x14ac:dyDescent="0.25">
      <c r="C140" s="18"/>
    </row>
    <row r="141" spans="3:3" ht="13.45" x14ac:dyDescent="0.25">
      <c r="C141" s="18"/>
    </row>
    <row r="142" spans="3:3" ht="13.45" x14ac:dyDescent="0.25">
      <c r="C142" s="18"/>
    </row>
    <row r="143" spans="3:3" ht="13.45" x14ac:dyDescent="0.25">
      <c r="C143" s="18"/>
    </row>
    <row r="144" spans="3:3" ht="13.45" x14ac:dyDescent="0.25">
      <c r="C144" s="18"/>
    </row>
    <row r="145" spans="3:3" ht="13.45" x14ac:dyDescent="0.25">
      <c r="C145" s="18"/>
    </row>
    <row r="146" spans="3:3" ht="13.45" x14ac:dyDescent="0.25">
      <c r="C146" s="18"/>
    </row>
    <row r="147" spans="3:3" ht="13.45" x14ac:dyDescent="0.25">
      <c r="C147" s="18"/>
    </row>
    <row r="148" spans="3:3" ht="13.45" x14ac:dyDescent="0.25">
      <c r="C148" s="18"/>
    </row>
    <row r="149" spans="3:3" ht="13.45" x14ac:dyDescent="0.25">
      <c r="C149" s="18"/>
    </row>
    <row r="150" spans="3:3" ht="13.45" x14ac:dyDescent="0.25">
      <c r="C150" s="18"/>
    </row>
    <row r="151" spans="3:3" ht="13.45" x14ac:dyDescent="0.25">
      <c r="C151" s="18"/>
    </row>
    <row r="152" spans="3:3" ht="13.45" x14ac:dyDescent="0.25">
      <c r="C152" s="18"/>
    </row>
    <row r="153" spans="3:3" ht="13.45" x14ac:dyDescent="0.25">
      <c r="C153" s="18"/>
    </row>
    <row r="154" spans="3:3" ht="13.45" x14ac:dyDescent="0.25">
      <c r="C154" s="18"/>
    </row>
    <row r="155" spans="3:3" ht="13.45" x14ac:dyDescent="0.25">
      <c r="C155" s="18"/>
    </row>
    <row r="156" spans="3:3" ht="13.45" x14ac:dyDescent="0.25">
      <c r="C156" s="18"/>
    </row>
    <row r="157" spans="3:3" ht="13.45" x14ac:dyDescent="0.25">
      <c r="C157" s="18"/>
    </row>
    <row r="158" spans="3:3" ht="13.45" x14ac:dyDescent="0.25">
      <c r="C158" s="18"/>
    </row>
    <row r="159" spans="3:3" ht="13.45" x14ac:dyDescent="0.25">
      <c r="C159" s="18"/>
    </row>
    <row r="160" spans="3:3" ht="13.45" x14ac:dyDescent="0.25">
      <c r="C160" s="18"/>
    </row>
    <row r="161" spans="3:3" ht="13.45" x14ac:dyDescent="0.25">
      <c r="C161" s="18"/>
    </row>
    <row r="162" spans="3:3" ht="13.45" x14ac:dyDescent="0.25">
      <c r="C162" s="18"/>
    </row>
    <row r="163" spans="3:3" ht="13.45" x14ac:dyDescent="0.25">
      <c r="C163" s="18"/>
    </row>
    <row r="164" spans="3:3" ht="13.45" x14ac:dyDescent="0.25">
      <c r="C164" s="18"/>
    </row>
    <row r="165" spans="3:3" ht="13.45" x14ac:dyDescent="0.25">
      <c r="C165" s="18"/>
    </row>
    <row r="166" spans="3:3" ht="13.45" x14ac:dyDescent="0.25">
      <c r="C166" s="18"/>
    </row>
    <row r="167" spans="3:3" ht="13.45" x14ac:dyDescent="0.25">
      <c r="C167" s="18"/>
    </row>
    <row r="168" spans="3:3" ht="13.45" x14ac:dyDescent="0.25">
      <c r="C168" s="18"/>
    </row>
    <row r="169" spans="3:3" ht="13.45" x14ac:dyDescent="0.25">
      <c r="C169" s="18"/>
    </row>
    <row r="170" spans="3:3" ht="13.45" x14ac:dyDescent="0.25">
      <c r="C170" s="18"/>
    </row>
    <row r="171" spans="3:3" ht="13.45" x14ac:dyDescent="0.25">
      <c r="C171" s="18"/>
    </row>
    <row r="172" spans="3:3" ht="13.45" x14ac:dyDescent="0.25">
      <c r="C172" s="18"/>
    </row>
    <row r="173" spans="3:3" ht="13.45" x14ac:dyDescent="0.25">
      <c r="C173" s="18"/>
    </row>
    <row r="174" spans="3:3" ht="13.45" x14ac:dyDescent="0.25">
      <c r="C174" s="18"/>
    </row>
    <row r="175" spans="3:3" ht="13.45" x14ac:dyDescent="0.25">
      <c r="C175" s="18"/>
    </row>
    <row r="176" spans="3:3" ht="13.45" x14ac:dyDescent="0.25">
      <c r="C176" s="18"/>
    </row>
    <row r="177" spans="3:3" ht="13.45" x14ac:dyDescent="0.25">
      <c r="C177" s="18"/>
    </row>
    <row r="178" spans="3:3" ht="13.45" x14ac:dyDescent="0.25">
      <c r="C178" s="18"/>
    </row>
    <row r="179" spans="3:3" ht="13.45" x14ac:dyDescent="0.25">
      <c r="C179" s="18"/>
    </row>
    <row r="180" spans="3:3" ht="13.45" x14ac:dyDescent="0.25">
      <c r="C180" s="18"/>
    </row>
    <row r="181" spans="3:3" ht="13.45" x14ac:dyDescent="0.25">
      <c r="C181" s="18"/>
    </row>
    <row r="182" spans="3:3" ht="13.45" x14ac:dyDescent="0.25">
      <c r="C182" s="18"/>
    </row>
    <row r="183" spans="3:3" ht="13.45" x14ac:dyDescent="0.25">
      <c r="C183" s="18"/>
    </row>
    <row r="184" spans="3:3" ht="13.45" x14ac:dyDescent="0.25">
      <c r="C184" s="18"/>
    </row>
    <row r="185" spans="3:3" ht="13.45" x14ac:dyDescent="0.25">
      <c r="C185" s="18"/>
    </row>
    <row r="186" spans="3:3" ht="13.45" x14ac:dyDescent="0.25">
      <c r="C186" s="18"/>
    </row>
    <row r="187" spans="3:3" ht="13.45" x14ac:dyDescent="0.25">
      <c r="C187" s="18"/>
    </row>
    <row r="188" spans="3:3" ht="13.45" x14ac:dyDescent="0.25">
      <c r="C188" s="18"/>
    </row>
    <row r="189" spans="3:3" ht="13.45" x14ac:dyDescent="0.25">
      <c r="C189" s="18"/>
    </row>
    <row r="190" spans="3:3" ht="13.45" x14ac:dyDescent="0.25">
      <c r="C190" s="18"/>
    </row>
    <row r="191" spans="3:3" ht="13.45" x14ac:dyDescent="0.25">
      <c r="C191" s="18"/>
    </row>
    <row r="192" spans="3:3" ht="13.45" x14ac:dyDescent="0.25">
      <c r="C192" s="18"/>
    </row>
    <row r="193" spans="3:3" ht="13.45" x14ac:dyDescent="0.25">
      <c r="C193" s="18"/>
    </row>
    <row r="194" spans="3:3" ht="13.45" x14ac:dyDescent="0.25">
      <c r="C194" s="18"/>
    </row>
    <row r="195" spans="3:3" ht="13.45" x14ac:dyDescent="0.25">
      <c r="C195" s="18"/>
    </row>
    <row r="196" spans="3:3" ht="13.45" x14ac:dyDescent="0.25">
      <c r="C196" s="18"/>
    </row>
    <row r="197" spans="3:3" ht="13.45" x14ac:dyDescent="0.25">
      <c r="C197" s="18"/>
    </row>
    <row r="198" spans="3:3" ht="13.45" x14ac:dyDescent="0.25">
      <c r="C198" s="18"/>
    </row>
    <row r="199" spans="3:3" ht="13.45" x14ac:dyDescent="0.25">
      <c r="C199" s="18"/>
    </row>
    <row r="200" spans="3:3" ht="13.45" x14ac:dyDescent="0.25">
      <c r="C200" s="18"/>
    </row>
    <row r="201" spans="3:3" ht="13.45" x14ac:dyDescent="0.25">
      <c r="C201" s="18"/>
    </row>
    <row r="202" spans="3:3" ht="13.45" x14ac:dyDescent="0.25">
      <c r="C202" s="18"/>
    </row>
    <row r="203" spans="3:3" ht="13.45" x14ac:dyDescent="0.25">
      <c r="C203" s="18"/>
    </row>
    <row r="204" spans="3:3" ht="13.45" x14ac:dyDescent="0.25">
      <c r="C204" s="18"/>
    </row>
    <row r="205" spans="3:3" ht="13.45" x14ac:dyDescent="0.25">
      <c r="C205" s="18"/>
    </row>
    <row r="206" spans="3:3" ht="13.45" x14ac:dyDescent="0.25">
      <c r="C206" s="18"/>
    </row>
    <row r="207" spans="3:3" ht="13.45" x14ac:dyDescent="0.25">
      <c r="C207" s="18"/>
    </row>
    <row r="208" spans="3:3" ht="13.45" x14ac:dyDescent="0.25">
      <c r="C208" s="18"/>
    </row>
    <row r="209" spans="3:3" ht="13.45" x14ac:dyDescent="0.25">
      <c r="C209" s="18"/>
    </row>
    <row r="210" spans="3:3" ht="13.45" x14ac:dyDescent="0.25">
      <c r="C210" s="18"/>
    </row>
    <row r="211" spans="3:3" ht="13.45" x14ac:dyDescent="0.25">
      <c r="C211" s="18"/>
    </row>
    <row r="212" spans="3:3" ht="13.45" x14ac:dyDescent="0.25">
      <c r="C212" s="18"/>
    </row>
    <row r="213" spans="3:3" ht="13.45" x14ac:dyDescent="0.25">
      <c r="C213" s="18"/>
    </row>
    <row r="214" spans="3:3" ht="13.45" x14ac:dyDescent="0.25">
      <c r="C214" s="18"/>
    </row>
    <row r="215" spans="3:3" ht="13.45" x14ac:dyDescent="0.25">
      <c r="C215" s="18"/>
    </row>
    <row r="216" spans="3:3" ht="13.45" x14ac:dyDescent="0.25">
      <c r="C216" s="18"/>
    </row>
    <row r="217" spans="3:3" ht="13.45" x14ac:dyDescent="0.25">
      <c r="C217" s="18"/>
    </row>
    <row r="218" spans="3:3" ht="13.45" x14ac:dyDescent="0.25">
      <c r="C218" s="18"/>
    </row>
    <row r="219" spans="3:3" ht="13.45" x14ac:dyDescent="0.25">
      <c r="C219" s="18"/>
    </row>
    <row r="220" spans="3:3" ht="13.45" x14ac:dyDescent="0.25">
      <c r="C220" s="18"/>
    </row>
    <row r="221" spans="3:3" ht="13.45" x14ac:dyDescent="0.25">
      <c r="C221" s="18"/>
    </row>
    <row r="222" spans="3:3" ht="13.45" x14ac:dyDescent="0.25">
      <c r="C222" s="18"/>
    </row>
    <row r="223" spans="3:3" ht="13.45" x14ac:dyDescent="0.25">
      <c r="C223" s="18"/>
    </row>
    <row r="224" spans="3:3" ht="13.45" x14ac:dyDescent="0.25">
      <c r="C224" s="18"/>
    </row>
    <row r="225" spans="3:3" ht="13.45" x14ac:dyDescent="0.25">
      <c r="C225" s="18"/>
    </row>
    <row r="226" spans="3:3" ht="13.45" x14ac:dyDescent="0.25">
      <c r="C226" s="18"/>
    </row>
    <row r="227" spans="3:3" ht="13.45" x14ac:dyDescent="0.25">
      <c r="C227" s="18"/>
    </row>
    <row r="228" spans="3:3" ht="13.45" x14ac:dyDescent="0.25">
      <c r="C228" s="18"/>
    </row>
    <row r="229" spans="3:3" ht="13.45" x14ac:dyDescent="0.25">
      <c r="C229" s="18"/>
    </row>
    <row r="230" spans="3:3" ht="13.45" x14ac:dyDescent="0.25">
      <c r="C230" s="18"/>
    </row>
    <row r="231" spans="3:3" ht="13.45" x14ac:dyDescent="0.25">
      <c r="C231" s="18"/>
    </row>
    <row r="232" spans="3:3" ht="13.45" x14ac:dyDescent="0.25">
      <c r="C232" s="18"/>
    </row>
    <row r="233" spans="3:3" ht="13.45" x14ac:dyDescent="0.25">
      <c r="C233" s="18"/>
    </row>
    <row r="234" spans="3:3" ht="13.45" x14ac:dyDescent="0.25">
      <c r="C234" s="18"/>
    </row>
    <row r="235" spans="3:3" ht="13.45" x14ac:dyDescent="0.25">
      <c r="C235" s="18"/>
    </row>
    <row r="236" spans="3:3" ht="13.45" x14ac:dyDescent="0.25">
      <c r="C236" s="18"/>
    </row>
    <row r="237" spans="3:3" ht="13.45" x14ac:dyDescent="0.25">
      <c r="C237" s="18"/>
    </row>
    <row r="238" spans="3:3" ht="13.45" x14ac:dyDescent="0.25">
      <c r="C238" s="18"/>
    </row>
    <row r="239" spans="3:3" ht="13.45" x14ac:dyDescent="0.25">
      <c r="C239" s="18"/>
    </row>
    <row r="240" spans="3:3" ht="13.45" x14ac:dyDescent="0.25">
      <c r="C240" s="18"/>
    </row>
    <row r="241" spans="3:3" ht="13.45" x14ac:dyDescent="0.25">
      <c r="C241" s="18"/>
    </row>
    <row r="242" spans="3:3" ht="13.45" x14ac:dyDescent="0.25">
      <c r="C242" s="18"/>
    </row>
    <row r="243" spans="3:3" ht="13.45" x14ac:dyDescent="0.25">
      <c r="C243" s="18"/>
    </row>
    <row r="244" spans="3:3" ht="13.45" x14ac:dyDescent="0.25">
      <c r="C244" s="18"/>
    </row>
    <row r="245" spans="3:3" ht="13.45" x14ac:dyDescent="0.25">
      <c r="C245" s="18"/>
    </row>
    <row r="246" spans="3:3" ht="13.45" x14ac:dyDescent="0.25">
      <c r="C246" s="18"/>
    </row>
    <row r="247" spans="3:3" ht="13.45" x14ac:dyDescent="0.25">
      <c r="C247" s="18"/>
    </row>
    <row r="248" spans="3:3" ht="13.45" x14ac:dyDescent="0.25">
      <c r="C248" s="18"/>
    </row>
    <row r="249" spans="3:3" ht="13.45" x14ac:dyDescent="0.25">
      <c r="C249" s="18"/>
    </row>
    <row r="250" spans="3:3" ht="13.45" x14ac:dyDescent="0.25">
      <c r="C250" s="18"/>
    </row>
    <row r="251" spans="3:3" ht="13.45" x14ac:dyDescent="0.25">
      <c r="C251" s="18"/>
    </row>
    <row r="252" spans="3:3" ht="13.45" x14ac:dyDescent="0.25">
      <c r="C252" s="18"/>
    </row>
    <row r="253" spans="3:3" ht="13.45" x14ac:dyDescent="0.25">
      <c r="C253" s="18"/>
    </row>
    <row r="254" spans="3:3" ht="13.45" x14ac:dyDescent="0.25">
      <c r="C254" s="18"/>
    </row>
    <row r="255" spans="3:3" ht="13.45" x14ac:dyDescent="0.25">
      <c r="C255" s="18"/>
    </row>
    <row r="256" spans="3:3" ht="13.45" x14ac:dyDescent="0.25">
      <c r="C256" s="18"/>
    </row>
    <row r="257" spans="3:3" ht="13.45" x14ac:dyDescent="0.25">
      <c r="C257" s="18"/>
    </row>
    <row r="258" spans="3:3" ht="13.45" x14ac:dyDescent="0.25">
      <c r="C258" s="18"/>
    </row>
    <row r="259" spans="3:3" ht="13.45" x14ac:dyDescent="0.25">
      <c r="C259" s="18"/>
    </row>
    <row r="260" spans="3:3" ht="13.45" x14ac:dyDescent="0.25">
      <c r="C260" s="18"/>
    </row>
    <row r="261" spans="3:3" ht="13.45" x14ac:dyDescent="0.25">
      <c r="C261" s="18"/>
    </row>
    <row r="262" spans="3:3" ht="13.45" x14ac:dyDescent="0.25">
      <c r="C262" s="18"/>
    </row>
    <row r="263" spans="3:3" ht="13.45" x14ac:dyDescent="0.25">
      <c r="C263" s="18"/>
    </row>
    <row r="264" spans="3:3" ht="13.45" x14ac:dyDescent="0.25">
      <c r="C264" s="18"/>
    </row>
    <row r="265" spans="3:3" ht="13.45" x14ac:dyDescent="0.25">
      <c r="C265" s="18"/>
    </row>
    <row r="266" spans="3:3" ht="13.45" x14ac:dyDescent="0.25">
      <c r="C266" s="18"/>
    </row>
    <row r="267" spans="3:3" ht="13.45" x14ac:dyDescent="0.25">
      <c r="C267" s="18"/>
    </row>
    <row r="268" spans="3:3" ht="13.45" x14ac:dyDescent="0.25">
      <c r="C268" s="18"/>
    </row>
    <row r="269" spans="3:3" ht="13.45" x14ac:dyDescent="0.25">
      <c r="C269" s="18"/>
    </row>
    <row r="270" spans="3:3" ht="13.45" x14ac:dyDescent="0.25">
      <c r="C270" s="18"/>
    </row>
    <row r="271" spans="3:3" ht="13.45" x14ac:dyDescent="0.25">
      <c r="C271" s="18"/>
    </row>
    <row r="272" spans="3:3" ht="13.45" x14ac:dyDescent="0.25">
      <c r="C272" s="18"/>
    </row>
    <row r="273" spans="3:3" ht="13.45" x14ac:dyDescent="0.25">
      <c r="C273" s="18"/>
    </row>
    <row r="274" spans="3:3" ht="13.45" x14ac:dyDescent="0.25">
      <c r="C274" s="18"/>
    </row>
    <row r="275" spans="3:3" ht="13.45" x14ac:dyDescent="0.25">
      <c r="C275" s="18"/>
    </row>
    <row r="276" spans="3:3" ht="13.45" x14ac:dyDescent="0.25">
      <c r="C276" s="18"/>
    </row>
    <row r="277" spans="3:3" ht="13.45" x14ac:dyDescent="0.25">
      <c r="C277" s="18"/>
    </row>
    <row r="278" spans="3:3" ht="13.45" x14ac:dyDescent="0.25">
      <c r="C278" s="18"/>
    </row>
    <row r="279" spans="3:3" ht="13.45" x14ac:dyDescent="0.25">
      <c r="C279" s="18"/>
    </row>
    <row r="280" spans="3:3" ht="13.45" x14ac:dyDescent="0.25">
      <c r="C280" s="18"/>
    </row>
    <row r="281" spans="3:3" ht="13.45" x14ac:dyDescent="0.25">
      <c r="C281" s="18"/>
    </row>
    <row r="282" spans="3:3" ht="13.45" x14ac:dyDescent="0.25">
      <c r="C282" s="18"/>
    </row>
    <row r="283" spans="3:3" ht="13.45" x14ac:dyDescent="0.25">
      <c r="C283" s="18"/>
    </row>
    <row r="284" spans="3:3" ht="13.45" x14ac:dyDescent="0.25">
      <c r="C284" s="18"/>
    </row>
    <row r="285" spans="3:3" ht="13.45" x14ac:dyDescent="0.25">
      <c r="C285" s="18"/>
    </row>
    <row r="286" spans="3:3" ht="13.45" x14ac:dyDescent="0.25">
      <c r="C286" s="18"/>
    </row>
    <row r="287" spans="3:3" ht="13.45" x14ac:dyDescent="0.25">
      <c r="C287" s="18"/>
    </row>
    <row r="288" spans="3:3" ht="13.45" x14ac:dyDescent="0.25">
      <c r="C288" s="18"/>
    </row>
    <row r="289" spans="3:3" ht="13.45" x14ac:dyDescent="0.25">
      <c r="C289" s="18"/>
    </row>
    <row r="290" spans="3:3" ht="13.45" x14ac:dyDescent="0.25">
      <c r="C290" s="18"/>
    </row>
    <row r="291" spans="3:3" ht="13.45" x14ac:dyDescent="0.25">
      <c r="C291" s="18"/>
    </row>
    <row r="292" spans="3:3" ht="13.45" x14ac:dyDescent="0.25">
      <c r="C292" s="18"/>
    </row>
    <row r="293" spans="3:3" ht="13.45" x14ac:dyDescent="0.25">
      <c r="C293" s="18"/>
    </row>
    <row r="294" spans="3:3" ht="13.45" x14ac:dyDescent="0.25">
      <c r="C294" s="18"/>
    </row>
    <row r="295" spans="3:3" ht="13.45" x14ac:dyDescent="0.25">
      <c r="C295" s="18"/>
    </row>
    <row r="296" spans="3:3" ht="13.45" x14ac:dyDescent="0.25">
      <c r="C296" s="18"/>
    </row>
    <row r="297" spans="3:3" ht="13.45" x14ac:dyDescent="0.25">
      <c r="C297" s="18"/>
    </row>
    <row r="298" spans="3:3" ht="13.45" x14ac:dyDescent="0.25">
      <c r="C298" s="18"/>
    </row>
    <row r="299" spans="3:3" ht="13.45" x14ac:dyDescent="0.25">
      <c r="C299" s="18"/>
    </row>
    <row r="300" spans="3:3" ht="13.45" x14ac:dyDescent="0.25">
      <c r="C300" s="18"/>
    </row>
    <row r="301" spans="3:3" ht="13.45" x14ac:dyDescent="0.25">
      <c r="C301" s="18"/>
    </row>
    <row r="302" spans="3:3" ht="13.45" x14ac:dyDescent="0.25">
      <c r="C302" s="18"/>
    </row>
    <row r="303" spans="3:3" ht="13.45" x14ac:dyDescent="0.25">
      <c r="C303" s="18"/>
    </row>
    <row r="304" spans="3:3" ht="13.45" x14ac:dyDescent="0.25">
      <c r="C304" s="18"/>
    </row>
    <row r="305" spans="3:3" ht="13.45" x14ac:dyDescent="0.25">
      <c r="C305" s="18"/>
    </row>
    <row r="306" spans="3:3" ht="13.45" x14ac:dyDescent="0.25">
      <c r="C306" s="18"/>
    </row>
    <row r="307" spans="3:3" ht="13.45" x14ac:dyDescent="0.25">
      <c r="C307" s="18"/>
    </row>
    <row r="308" spans="3:3" ht="13.45" x14ac:dyDescent="0.25">
      <c r="C308" s="18"/>
    </row>
    <row r="309" spans="3:3" ht="13.45" x14ac:dyDescent="0.25">
      <c r="C309" s="18"/>
    </row>
    <row r="310" spans="3:3" ht="13.45" x14ac:dyDescent="0.25">
      <c r="C310" s="18"/>
    </row>
    <row r="311" spans="3:3" ht="13.45" x14ac:dyDescent="0.25">
      <c r="C311" s="18"/>
    </row>
    <row r="312" spans="3:3" ht="13.45" x14ac:dyDescent="0.25">
      <c r="C312" s="18"/>
    </row>
    <row r="313" spans="3:3" ht="13.45" x14ac:dyDescent="0.25">
      <c r="C313" s="18"/>
    </row>
    <row r="314" spans="3:3" ht="13.45" x14ac:dyDescent="0.25">
      <c r="C314" s="18"/>
    </row>
    <row r="315" spans="3:3" ht="13.45" x14ac:dyDescent="0.25">
      <c r="C315" s="18"/>
    </row>
    <row r="316" spans="3:3" ht="13.45" x14ac:dyDescent="0.25">
      <c r="C316" s="18"/>
    </row>
    <row r="317" spans="3:3" ht="13.45" x14ac:dyDescent="0.25">
      <c r="C317" s="18"/>
    </row>
    <row r="318" spans="3:3" ht="13.45" x14ac:dyDescent="0.25">
      <c r="C318" s="18"/>
    </row>
    <row r="319" spans="3:3" ht="13.45" x14ac:dyDescent="0.25">
      <c r="C319" s="18"/>
    </row>
    <row r="320" spans="3:3" ht="13.45" x14ac:dyDescent="0.25">
      <c r="C320" s="18"/>
    </row>
    <row r="321" spans="3:3" ht="13.45" x14ac:dyDescent="0.25">
      <c r="C321" s="18"/>
    </row>
    <row r="322" spans="3:3" ht="13.45" x14ac:dyDescent="0.25">
      <c r="C322" s="18"/>
    </row>
    <row r="323" spans="3:3" ht="13.45" x14ac:dyDescent="0.25">
      <c r="C323" s="18"/>
    </row>
    <row r="324" spans="3:3" ht="13.45" x14ac:dyDescent="0.25">
      <c r="C324" s="18"/>
    </row>
    <row r="325" spans="3:3" ht="13.45" x14ac:dyDescent="0.25">
      <c r="C325" s="18"/>
    </row>
    <row r="326" spans="3:3" ht="13.45" x14ac:dyDescent="0.25">
      <c r="C326" s="18"/>
    </row>
    <row r="327" spans="3:3" ht="13.45" x14ac:dyDescent="0.25">
      <c r="C327" s="18"/>
    </row>
    <row r="328" spans="3:3" ht="13.45" x14ac:dyDescent="0.25">
      <c r="C328" s="18"/>
    </row>
    <row r="329" spans="3:3" ht="13.45" x14ac:dyDescent="0.25">
      <c r="C329" s="18"/>
    </row>
    <row r="330" spans="3:3" ht="13.45" x14ac:dyDescent="0.25">
      <c r="C330" s="18"/>
    </row>
    <row r="331" spans="3:3" ht="13.45" x14ac:dyDescent="0.25">
      <c r="C331" s="18"/>
    </row>
    <row r="332" spans="3:3" ht="13.45" x14ac:dyDescent="0.25">
      <c r="C332" s="18"/>
    </row>
    <row r="333" spans="3:3" ht="13.45" x14ac:dyDescent="0.25">
      <c r="C333" s="18"/>
    </row>
    <row r="334" spans="3:3" ht="13.45" x14ac:dyDescent="0.25">
      <c r="C334" s="18"/>
    </row>
    <row r="335" spans="3:3" ht="13.45" x14ac:dyDescent="0.25">
      <c r="C335" s="18"/>
    </row>
    <row r="336" spans="3:3" ht="13.45" x14ac:dyDescent="0.25">
      <c r="C336" s="18"/>
    </row>
    <row r="337" spans="3:3" ht="13.45" x14ac:dyDescent="0.25">
      <c r="C337" s="18"/>
    </row>
    <row r="338" spans="3:3" ht="13.45" x14ac:dyDescent="0.25">
      <c r="C338" s="18"/>
    </row>
    <row r="339" spans="3:3" ht="13.45" x14ac:dyDescent="0.25">
      <c r="C339" s="18"/>
    </row>
    <row r="340" spans="3:3" ht="13.45" x14ac:dyDescent="0.25">
      <c r="C340" s="18"/>
    </row>
    <row r="341" spans="3:3" ht="13.45" x14ac:dyDescent="0.25">
      <c r="C341" s="18"/>
    </row>
    <row r="342" spans="3:3" ht="13.45" x14ac:dyDescent="0.25">
      <c r="C342" s="18"/>
    </row>
    <row r="343" spans="3:3" ht="13.45" x14ac:dyDescent="0.25">
      <c r="C343" s="18"/>
    </row>
    <row r="344" spans="3:3" ht="13.45" x14ac:dyDescent="0.25">
      <c r="C344" s="18"/>
    </row>
    <row r="345" spans="3:3" ht="13.45" x14ac:dyDescent="0.25">
      <c r="C345" s="18"/>
    </row>
    <row r="346" spans="3:3" ht="13.45" x14ac:dyDescent="0.25">
      <c r="C346" s="18"/>
    </row>
    <row r="347" spans="3:3" ht="13.45" x14ac:dyDescent="0.25">
      <c r="C347" s="18"/>
    </row>
    <row r="348" spans="3:3" ht="13.45" x14ac:dyDescent="0.25">
      <c r="C348" s="18"/>
    </row>
    <row r="349" spans="3:3" ht="13.45" x14ac:dyDescent="0.25">
      <c r="C349" s="18"/>
    </row>
    <row r="350" spans="3:3" ht="13.45" x14ac:dyDescent="0.25">
      <c r="C350" s="18"/>
    </row>
    <row r="351" spans="3:3" ht="13.45" x14ac:dyDescent="0.25">
      <c r="C351" s="18"/>
    </row>
    <row r="352" spans="3:3" ht="13.45" x14ac:dyDescent="0.25">
      <c r="C352" s="18"/>
    </row>
    <row r="353" spans="3:3" ht="13.45" x14ac:dyDescent="0.25">
      <c r="C353" s="18"/>
    </row>
    <row r="354" spans="3:3" ht="13.45" x14ac:dyDescent="0.25">
      <c r="C354" s="18"/>
    </row>
    <row r="355" spans="3:3" ht="13.45" x14ac:dyDescent="0.25">
      <c r="C355" s="18"/>
    </row>
    <row r="356" spans="3:3" ht="13.45" x14ac:dyDescent="0.25">
      <c r="C356" s="18"/>
    </row>
    <row r="357" spans="3:3" ht="13.45" x14ac:dyDescent="0.25">
      <c r="C357" s="18"/>
    </row>
    <row r="358" spans="3:3" ht="13.45" x14ac:dyDescent="0.25">
      <c r="C358" s="18"/>
    </row>
    <row r="359" spans="3:3" ht="13.45" x14ac:dyDescent="0.25">
      <c r="C359" s="18"/>
    </row>
    <row r="360" spans="3:3" ht="13.45" x14ac:dyDescent="0.25">
      <c r="C360" s="18"/>
    </row>
    <row r="361" spans="3:3" ht="13.45" x14ac:dyDescent="0.25">
      <c r="C361" s="18"/>
    </row>
    <row r="362" spans="3:3" ht="13.45" x14ac:dyDescent="0.25">
      <c r="C362" s="18"/>
    </row>
    <row r="363" spans="3:3" ht="13.45" x14ac:dyDescent="0.25">
      <c r="C363" s="18"/>
    </row>
    <row r="364" spans="3:3" ht="13.45" x14ac:dyDescent="0.25">
      <c r="C364" s="18"/>
    </row>
    <row r="365" spans="3:3" ht="13.45" x14ac:dyDescent="0.25">
      <c r="C365" s="18"/>
    </row>
    <row r="366" spans="3:3" ht="13.45" x14ac:dyDescent="0.25">
      <c r="C366" s="18"/>
    </row>
    <row r="367" spans="3:3" ht="13.45" x14ac:dyDescent="0.25">
      <c r="C367" s="18"/>
    </row>
    <row r="368" spans="3:3" ht="13.45" x14ac:dyDescent="0.25">
      <c r="C368" s="18"/>
    </row>
    <row r="369" spans="3:3" ht="13.45" x14ac:dyDescent="0.25">
      <c r="C369" s="18"/>
    </row>
    <row r="370" spans="3:3" ht="13.45" x14ac:dyDescent="0.25">
      <c r="C370" s="18"/>
    </row>
    <row r="371" spans="3:3" ht="13.45" x14ac:dyDescent="0.25">
      <c r="C371" s="18"/>
    </row>
    <row r="372" spans="3:3" ht="13.45" x14ac:dyDescent="0.25">
      <c r="C372" s="18"/>
    </row>
    <row r="373" spans="3:3" ht="13.45" x14ac:dyDescent="0.25">
      <c r="C373" s="18"/>
    </row>
    <row r="374" spans="3:3" ht="13.45" x14ac:dyDescent="0.25">
      <c r="C374" s="18"/>
    </row>
    <row r="375" spans="3:3" ht="13.45" x14ac:dyDescent="0.25">
      <c r="C375" s="18"/>
    </row>
    <row r="376" spans="3:3" ht="13.45" x14ac:dyDescent="0.25">
      <c r="C376" s="18"/>
    </row>
    <row r="377" spans="3:3" ht="13.45" x14ac:dyDescent="0.25">
      <c r="C377" s="18"/>
    </row>
    <row r="378" spans="3:3" ht="13.45" x14ac:dyDescent="0.25">
      <c r="C378" s="18"/>
    </row>
    <row r="379" spans="3:3" ht="13.45" x14ac:dyDescent="0.25">
      <c r="C379" s="18"/>
    </row>
    <row r="380" spans="3:3" ht="13.45" x14ac:dyDescent="0.25">
      <c r="C380" s="18"/>
    </row>
    <row r="381" spans="3:3" ht="13.45" x14ac:dyDescent="0.25">
      <c r="C381" s="18"/>
    </row>
    <row r="382" spans="3:3" ht="13.45" x14ac:dyDescent="0.25">
      <c r="C382" s="18"/>
    </row>
    <row r="383" spans="3:3" ht="13.45" x14ac:dyDescent="0.25">
      <c r="C383" s="18"/>
    </row>
    <row r="384" spans="3:3" ht="13.45" x14ac:dyDescent="0.25">
      <c r="C384" s="18"/>
    </row>
    <row r="385" spans="3:3" ht="13.45" x14ac:dyDescent="0.25">
      <c r="C385" s="18"/>
    </row>
    <row r="386" spans="3:3" ht="13.45" x14ac:dyDescent="0.25">
      <c r="C386" s="18"/>
    </row>
    <row r="387" spans="3:3" ht="13.45" x14ac:dyDescent="0.25">
      <c r="C387" s="18"/>
    </row>
    <row r="388" spans="3:3" ht="13.45" x14ac:dyDescent="0.25">
      <c r="C388" s="18"/>
    </row>
    <row r="389" spans="3:3" ht="13.45" x14ac:dyDescent="0.25">
      <c r="C389" s="18"/>
    </row>
    <row r="390" spans="3:3" ht="13.45" x14ac:dyDescent="0.25">
      <c r="C390" s="18"/>
    </row>
    <row r="391" spans="3:3" ht="13.45" x14ac:dyDescent="0.25">
      <c r="C391" s="18"/>
    </row>
    <row r="392" spans="3:3" ht="13.45" x14ac:dyDescent="0.25">
      <c r="C392" s="18"/>
    </row>
    <row r="393" spans="3:3" ht="13.45" x14ac:dyDescent="0.25">
      <c r="C393" s="18"/>
    </row>
    <row r="394" spans="3:3" ht="13.45" x14ac:dyDescent="0.25">
      <c r="C394" s="18"/>
    </row>
    <row r="395" spans="3:3" ht="13.45" x14ac:dyDescent="0.25">
      <c r="C395" s="18"/>
    </row>
    <row r="396" spans="3:3" ht="13.45" x14ac:dyDescent="0.25">
      <c r="C396" s="18"/>
    </row>
    <row r="397" spans="3:3" ht="13.45" x14ac:dyDescent="0.25">
      <c r="C397" s="18"/>
    </row>
    <row r="398" spans="3:3" ht="13.45" x14ac:dyDescent="0.25">
      <c r="C398" s="18"/>
    </row>
    <row r="399" spans="3:3" ht="13.45" x14ac:dyDescent="0.25">
      <c r="C399" s="18"/>
    </row>
    <row r="400" spans="3:3" ht="13.45" x14ac:dyDescent="0.25">
      <c r="C400" s="18"/>
    </row>
    <row r="401" spans="3:3" ht="13.45" x14ac:dyDescent="0.25">
      <c r="C401" s="18"/>
    </row>
    <row r="402" spans="3:3" ht="13.45" x14ac:dyDescent="0.25">
      <c r="C402" s="18"/>
    </row>
    <row r="403" spans="3:3" ht="13.45" x14ac:dyDescent="0.25">
      <c r="C403" s="18"/>
    </row>
    <row r="404" spans="3:3" ht="13.45" x14ac:dyDescent="0.25">
      <c r="C404" s="18"/>
    </row>
    <row r="405" spans="3:3" ht="13.45" x14ac:dyDescent="0.25">
      <c r="C405" s="18"/>
    </row>
    <row r="406" spans="3:3" ht="13.45" x14ac:dyDescent="0.25">
      <c r="C406" s="18"/>
    </row>
    <row r="407" spans="3:3" ht="13.45" x14ac:dyDescent="0.25">
      <c r="C407" s="18"/>
    </row>
    <row r="408" spans="3:3" ht="13.45" x14ac:dyDescent="0.25">
      <c r="C408" s="18"/>
    </row>
    <row r="409" spans="3:3" ht="13.45" x14ac:dyDescent="0.25">
      <c r="C409" s="18"/>
    </row>
    <row r="410" spans="3:3" ht="13.45" x14ac:dyDescent="0.25">
      <c r="C410" s="18"/>
    </row>
    <row r="411" spans="3:3" ht="13.45" x14ac:dyDescent="0.25">
      <c r="C411" s="18"/>
    </row>
    <row r="412" spans="3:3" ht="13.45" x14ac:dyDescent="0.25">
      <c r="C412" s="18"/>
    </row>
    <row r="413" spans="3:3" ht="13.45" x14ac:dyDescent="0.25">
      <c r="C413" s="18"/>
    </row>
    <row r="414" spans="3:3" ht="13.45" x14ac:dyDescent="0.25">
      <c r="C414" s="18"/>
    </row>
    <row r="415" spans="3:3" ht="13.45" x14ac:dyDescent="0.25">
      <c r="C415" s="18"/>
    </row>
    <row r="416" spans="3:3" ht="13.45" x14ac:dyDescent="0.25">
      <c r="C416" s="18"/>
    </row>
    <row r="417" spans="3:3" ht="13.45" x14ac:dyDescent="0.25">
      <c r="C417" s="18"/>
    </row>
    <row r="418" spans="3:3" ht="13.45" x14ac:dyDescent="0.25">
      <c r="C418" s="18"/>
    </row>
    <row r="419" spans="3:3" ht="13.45" x14ac:dyDescent="0.25">
      <c r="C419" s="18"/>
    </row>
    <row r="420" spans="3:3" ht="13.45" x14ac:dyDescent="0.25">
      <c r="C420" s="18"/>
    </row>
    <row r="421" spans="3:3" ht="13.45" x14ac:dyDescent="0.25">
      <c r="C421" s="18"/>
    </row>
    <row r="422" spans="3:3" ht="13.45" x14ac:dyDescent="0.25">
      <c r="C422" s="18"/>
    </row>
    <row r="423" spans="3:3" ht="13.45" x14ac:dyDescent="0.25">
      <c r="C423" s="18"/>
    </row>
    <row r="424" spans="3:3" ht="13.45" x14ac:dyDescent="0.25">
      <c r="C424" s="18"/>
    </row>
    <row r="425" spans="3:3" ht="13.45" x14ac:dyDescent="0.25">
      <c r="C425" s="18"/>
    </row>
    <row r="426" spans="3:3" ht="13.45" x14ac:dyDescent="0.25">
      <c r="C426" s="18"/>
    </row>
    <row r="427" spans="3:3" ht="13.45" x14ac:dyDescent="0.25">
      <c r="C427" s="18"/>
    </row>
    <row r="428" spans="3:3" ht="13.45" x14ac:dyDescent="0.25">
      <c r="C428" s="18"/>
    </row>
    <row r="429" spans="3:3" ht="13.45" x14ac:dyDescent="0.25">
      <c r="C429" s="18"/>
    </row>
    <row r="430" spans="3:3" ht="13.45" x14ac:dyDescent="0.25">
      <c r="C430" s="18"/>
    </row>
    <row r="431" spans="3:3" ht="13.45" x14ac:dyDescent="0.25">
      <c r="C431" s="18"/>
    </row>
    <row r="432" spans="3:3" ht="13.45" x14ac:dyDescent="0.25">
      <c r="C432" s="18"/>
    </row>
    <row r="433" spans="3:3" ht="13.45" x14ac:dyDescent="0.25">
      <c r="C433" s="18"/>
    </row>
    <row r="434" spans="3:3" ht="13.45" x14ac:dyDescent="0.25">
      <c r="C434" s="18"/>
    </row>
    <row r="435" spans="3:3" ht="13.45" x14ac:dyDescent="0.25">
      <c r="C435" s="18"/>
    </row>
    <row r="436" spans="3:3" ht="13.45" x14ac:dyDescent="0.25">
      <c r="C436" s="18"/>
    </row>
    <row r="437" spans="3:3" ht="13.45" x14ac:dyDescent="0.25">
      <c r="C437" s="18"/>
    </row>
    <row r="438" spans="3:3" ht="13.45" x14ac:dyDescent="0.25">
      <c r="C438" s="18"/>
    </row>
    <row r="439" spans="3:3" ht="13.45" x14ac:dyDescent="0.25">
      <c r="C439" s="18"/>
    </row>
    <row r="440" spans="3:3" ht="13.45" x14ac:dyDescent="0.25">
      <c r="C440" s="18"/>
    </row>
    <row r="441" spans="3:3" ht="13.45" x14ac:dyDescent="0.25">
      <c r="C441" s="18"/>
    </row>
    <row r="442" spans="3:3" ht="13.45" x14ac:dyDescent="0.25">
      <c r="C442" s="18"/>
    </row>
    <row r="443" spans="3:3" ht="13.45" x14ac:dyDescent="0.25">
      <c r="C443" s="18"/>
    </row>
    <row r="444" spans="3:3" ht="13.45" x14ac:dyDescent="0.25">
      <c r="C444" s="18"/>
    </row>
    <row r="445" spans="3:3" ht="13.45" x14ac:dyDescent="0.25">
      <c r="C445" s="18"/>
    </row>
    <row r="446" spans="3:3" ht="13.45" x14ac:dyDescent="0.25">
      <c r="C446" s="18"/>
    </row>
    <row r="447" spans="3:3" ht="13.45" x14ac:dyDescent="0.25">
      <c r="C447" s="18"/>
    </row>
    <row r="448" spans="3:3" ht="13.45" x14ac:dyDescent="0.25">
      <c r="C448" s="18"/>
    </row>
    <row r="449" spans="3:3" ht="13.45" x14ac:dyDescent="0.25">
      <c r="C449" s="18"/>
    </row>
    <row r="450" spans="3:3" ht="13.45" x14ac:dyDescent="0.25">
      <c r="C450" s="18"/>
    </row>
    <row r="451" spans="3:3" ht="13.45" x14ac:dyDescent="0.25">
      <c r="C451" s="18"/>
    </row>
    <row r="452" spans="3:3" ht="13.45" x14ac:dyDescent="0.25">
      <c r="C452" s="18"/>
    </row>
    <row r="453" spans="3:3" ht="13.45" x14ac:dyDescent="0.25">
      <c r="C453" s="18"/>
    </row>
    <row r="454" spans="3:3" ht="13.45" x14ac:dyDescent="0.25">
      <c r="C454" s="18"/>
    </row>
    <row r="455" spans="3:3" ht="13.45" x14ac:dyDescent="0.25">
      <c r="C455" s="18"/>
    </row>
    <row r="456" spans="3:3" ht="13.45" x14ac:dyDescent="0.25">
      <c r="C456" s="18"/>
    </row>
    <row r="457" spans="3:3" ht="13.45" x14ac:dyDescent="0.25">
      <c r="C457" s="18"/>
    </row>
    <row r="458" spans="3:3" ht="13.45" x14ac:dyDescent="0.25">
      <c r="C458" s="18"/>
    </row>
    <row r="459" spans="3:3" ht="13.45" x14ac:dyDescent="0.25">
      <c r="C459" s="18"/>
    </row>
    <row r="460" spans="3:3" ht="13.45" x14ac:dyDescent="0.25">
      <c r="C460" s="18"/>
    </row>
    <row r="461" spans="3:3" ht="13.45" x14ac:dyDescent="0.25">
      <c r="C461" s="18"/>
    </row>
    <row r="462" spans="3:3" ht="13.45" x14ac:dyDescent="0.25">
      <c r="C462" s="18"/>
    </row>
    <row r="463" spans="3:3" ht="13.45" x14ac:dyDescent="0.25">
      <c r="C463" s="18"/>
    </row>
    <row r="464" spans="3:3" ht="13.45" x14ac:dyDescent="0.25">
      <c r="C464" s="18"/>
    </row>
    <row r="465" spans="3:3" ht="13.45" x14ac:dyDescent="0.25">
      <c r="C465" s="18"/>
    </row>
    <row r="466" spans="3:3" ht="13.45" x14ac:dyDescent="0.25">
      <c r="C466" s="18"/>
    </row>
    <row r="467" spans="3:3" ht="13.45" x14ac:dyDescent="0.25">
      <c r="C467" s="18"/>
    </row>
    <row r="468" spans="3:3" ht="13.45" x14ac:dyDescent="0.25">
      <c r="C468" s="18"/>
    </row>
    <row r="469" spans="3:3" ht="13.45" x14ac:dyDescent="0.25">
      <c r="C469" s="18"/>
    </row>
    <row r="470" spans="3:3" ht="13.45" x14ac:dyDescent="0.25">
      <c r="C470" s="18"/>
    </row>
    <row r="471" spans="3:3" ht="13.45" x14ac:dyDescent="0.25">
      <c r="C471" s="18"/>
    </row>
    <row r="472" spans="3:3" ht="13.45" x14ac:dyDescent="0.25">
      <c r="C472" s="18"/>
    </row>
    <row r="473" spans="3:3" ht="13.45" x14ac:dyDescent="0.25">
      <c r="C473" s="18"/>
    </row>
    <row r="474" spans="3:3" ht="13.45" x14ac:dyDescent="0.25">
      <c r="C474" s="18"/>
    </row>
    <row r="475" spans="3:3" ht="13.45" x14ac:dyDescent="0.25">
      <c r="C475" s="18"/>
    </row>
    <row r="476" spans="3:3" ht="13.45" x14ac:dyDescent="0.25">
      <c r="C476" s="18"/>
    </row>
    <row r="477" spans="3:3" ht="13.45" x14ac:dyDescent="0.25">
      <c r="C477" s="18"/>
    </row>
    <row r="478" spans="3:3" ht="13.45" x14ac:dyDescent="0.25">
      <c r="C478" s="18"/>
    </row>
    <row r="479" spans="3:3" ht="13.45" x14ac:dyDescent="0.25">
      <c r="C479" s="18"/>
    </row>
    <row r="480" spans="3:3" ht="13.45" x14ac:dyDescent="0.25">
      <c r="C480" s="18"/>
    </row>
    <row r="481" spans="3:3" ht="13.45" x14ac:dyDescent="0.25">
      <c r="C481" s="18"/>
    </row>
    <row r="482" spans="3:3" ht="13.45" x14ac:dyDescent="0.25">
      <c r="C482" s="18"/>
    </row>
    <row r="483" spans="3:3" ht="13.45" x14ac:dyDescent="0.25">
      <c r="C483" s="18"/>
    </row>
    <row r="484" spans="3:3" ht="13.45" x14ac:dyDescent="0.25">
      <c r="C484" s="18"/>
    </row>
    <row r="485" spans="3:3" ht="13.45" x14ac:dyDescent="0.25">
      <c r="C485" s="18"/>
    </row>
    <row r="486" spans="3:3" ht="13.45" x14ac:dyDescent="0.25">
      <c r="C486" s="18"/>
    </row>
    <row r="487" spans="3:3" ht="13.45" x14ac:dyDescent="0.25">
      <c r="C487" s="18"/>
    </row>
    <row r="488" spans="3:3" ht="13.45" x14ac:dyDescent="0.25">
      <c r="C488" s="18"/>
    </row>
    <row r="489" spans="3:3" ht="13.45" x14ac:dyDescent="0.25">
      <c r="C489" s="18"/>
    </row>
    <row r="490" spans="3:3" ht="13.45" x14ac:dyDescent="0.25">
      <c r="C490" s="18"/>
    </row>
    <row r="491" spans="3:3" ht="13.45" x14ac:dyDescent="0.25">
      <c r="C491" s="18"/>
    </row>
    <row r="492" spans="3:3" ht="13.45" x14ac:dyDescent="0.25">
      <c r="C492" s="18"/>
    </row>
    <row r="493" spans="3:3" ht="13.45" x14ac:dyDescent="0.25">
      <c r="C493" s="18"/>
    </row>
    <row r="494" spans="3:3" ht="13.45" x14ac:dyDescent="0.25">
      <c r="C494" s="18"/>
    </row>
    <row r="495" spans="3:3" ht="13.45" x14ac:dyDescent="0.25">
      <c r="C495" s="18"/>
    </row>
    <row r="496" spans="3:3" ht="13.45" x14ac:dyDescent="0.25">
      <c r="C496" s="18"/>
    </row>
    <row r="497" spans="3:3" ht="13.45" x14ac:dyDescent="0.25">
      <c r="C497" s="18"/>
    </row>
    <row r="498" spans="3:3" ht="13.45" x14ac:dyDescent="0.25">
      <c r="C498" s="18"/>
    </row>
    <row r="499" spans="3:3" ht="13.45" x14ac:dyDescent="0.25">
      <c r="C499" s="18"/>
    </row>
    <row r="500" spans="3:3" ht="13.45" x14ac:dyDescent="0.25">
      <c r="C500" s="18"/>
    </row>
    <row r="501" spans="3:3" ht="13.45" x14ac:dyDescent="0.25">
      <c r="C501" s="18"/>
    </row>
    <row r="502" spans="3:3" ht="13.45" x14ac:dyDescent="0.25">
      <c r="C502" s="18"/>
    </row>
    <row r="503" spans="3:3" ht="13.45" x14ac:dyDescent="0.25">
      <c r="C503" s="18"/>
    </row>
    <row r="504" spans="3:3" ht="13.45" x14ac:dyDescent="0.25">
      <c r="C504" s="18"/>
    </row>
    <row r="505" spans="3:3" ht="13.45" x14ac:dyDescent="0.25">
      <c r="C505" s="18"/>
    </row>
    <row r="506" spans="3:3" ht="13.45" x14ac:dyDescent="0.25">
      <c r="C506" s="18"/>
    </row>
    <row r="507" spans="3:3" ht="13.45" x14ac:dyDescent="0.25">
      <c r="C507" s="18"/>
    </row>
    <row r="508" spans="3:3" ht="13.45" x14ac:dyDescent="0.25">
      <c r="C508" s="18"/>
    </row>
    <row r="509" spans="3:3" ht="13.45" x14ac:dyDescent="0.25">
      <c r="C509" s="18"/>
    </row>
    <row r="510" spans="3:3" ht="13.45" x14ac:dyDescent="0.25">
      <c r="C510" s="18"/>
    </row>
    <row r="511" spans="3:3" ht="13.45" x14ac:dyDescent="0.25">
      <c r="C511" s="18"/>
    </row>
    <row r="512" spans="3:3" ht="13.45" x14ac:dyDescent="0.25">
      <c r="C512" s="18"/>
    </row>
    <row r="513" spans="3:3" ht="13.45" x14ac:dyDescent="0.25">
      <c r="C513" s="18"/>
    </row>
    <row r="514" spans="3:3" ht="13.45" x14ac:dyDescent="0.25">
      <c r="C514" s="18"/>
    </row>
    <row r="515" spans="3:3" ht="13.45" x14ac:dyDescent="0.25">
      <c r="C515" s="18"/>
    </row>
    <row r="516" spans="3:3" ht="13.45" x14ac:dyDescent="0.25">
      <c r="C516" s="18"/>
    </row>
    <row r="517" spans="3:3" ht="13.45" x14ac:dyDescent="0.25">
      <c r="C517" s="18"/>
    </row>
    <row r="518" spans="3:3" ht="13.45" x14ac:dyDescent="0.25">
      <c r="C518" s="18"/>
    </row>
    <row r="519" spans="3:3" ht="13.45" x14ac:dyDescent="0.25">
      <c r="C519" s="18"/>
    </row>
    <row r="520" spans="3:3" ht="13.45" x14ac:dyDescent="0.25">
      <c r="C520" s="18"/>
    </row>
    <row r="521" spans="3:3" ht="13.45" x14ac:dyDescent="0.25">
      <c r="C521" s="18"/>
    </row>
    <row r="522" spans="3:3" ht="13.45" x14ac:dyDescent="0.25">
      <c r="C522" s="18"/>
    </row>
    <row r="523" spans="3:3" ht="13.45" x14ac:dyDescent="0.25">
      <c r="C523" s="18"/>
    </row>
    <row r="524" spans="3:3" ht="13.45" x14ac:dyDescent="0.25">
      <c r="C524" s="18"/>
    </row>
    <row r="525" spans="3:3" ht="13.45" x14ac:dyDescent="0.25">
      <c r="C525" s="18"/>
    </row>
    <row r="526" spans="3:3" ht="13.45" x14ac:dyDescent="0.25">
      <c r="C526" s="18"/>
    </row>
    <row r="527" spans="3:3" ht="13.45" x14ac:dyDescent="0.25">
      <c r="C527" s="18"/>
    </row>
    <row r="528" spans="3:3" ht="13.45" x14ac:dyDescent="0.25">
      <c r="C528" s="18"/>
    </row>
    <row r="529" spans="3:3" ht="13.45" x14ac:dyDescent="0.25">
      <c r="C529" s="18"/>
    </row>
    <row r="530" spans="3:3" ht="13.45" x14ac:dyDescent="0.25">
      <c r="C530" s="18"/>
    </row>
    <row r="531" spans="3:3" ht="13.45" x14ac:dyDescent="0.25">
      <c r="C531" s="18"/>
    </row>
    <row r="532" spans="3:3" ht="13.45" x14ac:dyDescent="0.25">
      <c r="C532" s="18"/>
    </row>
    <row r="533" spans="3:3" ht="13.45" x14ac:dyDescent="0.25">
      <c r="C533" s="18"/>
    </row>
    <row r="534" spans="3:3" ht="13.45" x14ac:dyDescent="0.25">
      <c r="C534" s="18"/>
    </row>
    <row r="535" spans="3:3" ht="13.45" x14ac:dyDescent="0.25">
      <c r="C535" s="18"/>
    </row>
    <row r="536" spans="3:3" ht="13.45" x14ac:dyDescent="0.25">
      <c r="C536" s="18"/>
    </row>
    <row r="537" spans="3:3" ht="13.45" x14ac:dyDescent="0.25">
      <c r="C537" s="18"/>
    </row>
    <row r="538" spans="3:3" ht="13.45" x14ac:dyDescent="0.25">
      <c r="C538" s="18"/>
    </row>
    <row r="539" spans="3:3" ht="13.45" x14ac:dyDescent="0.25">
      <c r="C539" s="18"/>
    </row>
    <row r="540" spans="3:3" ht="13.45" x14ac:dyDescent="0.25">
      <c r="C540" s="18"/>
    </row>
    <row r="541" spans="3:3" ht="13.45" x14ac:dyDescent="0.25">
      <c r="C541" s="18"/>
    </row>
    <row r="542" spans="3:3" ht="13.45" x14ac:dyDescent="0.25">
      <c r="C542" s="18"/>
    </row>
    <row r="543" spans="3:3" ht="13.45" x14ac:dyDescent="0.25">
      <c r="C543" s="18"/>
    </row>
    <row r="544" spans="3:3" ht="13.45" x14ac:dyDescent="0.25">
      <c r="C544" s="18"/>
    </row>
    <row r="545" spans="3:3" ht="13.45" x14ac:dyDescent="0.25">
      <c r="C545" s="18"/>
    </row>
    <row r="546" spans="3:3" ht="13.45" x14ac:dyDescent="0.25">
      <c r="C546" s="18"/>
    </row>
    <row r="547" spans="3:3" ht="13.45" x14ac:dyDescent="0.25">
      <c r="C547" s="18"/>
    </row>
    <row r="548" spans="3:3" ht="13.45" x14ac:dyDescent="0.25">
      <c r="C548" s="18"/>
    </row>
    <row r="549" spans="3:3" ht="13.45" x14ac:dyDescent="0.25">
      <c r="C549" s="18"/>
    </row>
    <row r="550" spans="3:3" ht="13.45" x14ac:dyDescent="0.25">
      <c r="C550" s="18"/>
    </row>
    <row r="551" spans="3:3" ht="13.45" x14ac:dyDescent="0.25">
      <c r="C551" s="18"/>
    </row>
    <row r="552" spans="3:3" ht="13.45" x14ac:dyDescent="0.25">
      <c r="C552" s="18"/>
    </row>
    <row r="553" spans="3:3" ht="13.45" x14ac:dyDescent="0.25">
      <c r="C553" s="18"/>
    </row>
    <row r="554" spans="3:3" ht="13.45" x14ac:dyDescent="0.25">
      <c r="C554" s="18"/>
    </row>
    <row r="555" spans="3:3" ht="13.45" x14ac:dyDescent="0.25">
      <c r="C555" s="18"/>
    </row>
    <row r="556" spans="3:3" ht="13.45" x14ac:dyDescent="0.25">
      <c r="C556" s="18"/>
    </row>
    <row r="557" spans="3:3" ht="13.45" x14ac:dyDescent="0.25">
      <c r="C557" s="18"/>
    </row>
    <row r="558" spans="3:3" ht="13.45" x14ac:dyDescent="0.25">
      <c r="C558" s="18"/>
    </row>
    <row r="559" spans="3:3" ht="13.45" x14ac:dyDescent="0.25">
      <c r="C559" s="18"/>
    </row>
    <row r="560" spans="3:3" ht="13.45" x14ac:dyDescent="0.25">
      <c r="C560" s="18"/>
    </row>
    <row r="561" spans="3:3" ht="13.45" x14ac:dyDescent="0.25">
      <c r="C561" s="18"/>
    </row>
    <row r="562" spans="3:3" ht="13.45" x14ac:dyDescent="0.25">
      <c r="C562" s="18"/>
    </row>
    <row r="563" spans="3:3" ht="13.45" x14ac:dyDescent="0.25">
      <c r="C563" s="18"/>
    </row>
    <row r="564" spans="3:3" ht="13.45" x14ac:dyDescent="0.25">
      <c r="C564" s="18"/>
    </row>
    <row r="565" spans="3:3" ht="13.45" x14ac:dyDescent="0.25">
      <c r="C565" s="18"/>
    </row>
    <row r="566" spans="3:3" ht="13.45" x14ac:dyDescent="0.25">
      <c r="C566" s="18"/>
    </row>
    <row r="567" spans="3:3" ht="13.45" x14ac:dyDescent="0.25">
      <c r="C567" s="18"/>
    </row>
    <row r="568" spans="3:3" ht="13.45" x14ac:dyDescent="0.25">
      <c r="C568" s="18"/>
    </row>
    <row r="569" spans="3:3" ht="13.45" x14ac:dyDescent="0.25">
      <c r="C569" s="18"/>
    </row>
    <row r="570" spans="3:3" ht="13.45" x14ac:dyDescent="0.25">
      <c r="C570" s="18"/>
    </row>
    <row r="571" spans="3:3" ht="13.45" x14ac:dyDescent="0.25">
      <c r="C571" s="18"/>
    </row>
    <row r="572" spans="3:3" ht="13.45" x14ac:dyDescent="0.25">
      <c r="C572" s="18"/>
    </row>
    <row r="573" spans="3:3" ht="13.45" x14ac:dyDescent="0.25">
      <c r="C573" s="18"/>
    </row>
    <row r="574" spans="3:3" ht="13.45" x14ac:dyDescent="0.25">
      <c r="C574" s="18"/>
    </row>
    <row r="575" spans="3:3" ht="13.45" x14ac:dyDescent="0.25">
      <c r="C575" s="18"/>
    </row>
    <row r="576" spans="3:3" ht="13.45" x14ac:dyDescent="0.25">
      <c r="C576" s="18"/>
    </row>
    <row r="577" spans="3:3" ht="13.45" x14ac:dyDescent="0.25">
      <c r="C577" s="18"/>
    </row>
    <row r="578" spans="3:3" ht="13.45" x14ac:dyDescent="0.25">
      <c r="C578" s="18"/>
    </row>
    <row r="579" spans="3:3" ht="13.45" x14ac:dyDescent="0.25">
      <c r="C579" s="18"/>
    </row>
    <row r="580" spans="3:3" ht="13.45" x14ac:dyDescent="0.25">
      <c r="C580" s="18"/>
    </row>
    <row r="581" spans="3:3" ht="13.45" x14ac:dyDescent="0.25">
      <c r="C581" s="18"/>
    </row>
    <row r="582" spans="3:3" ht="13.45" x14ac:dyDescent="0.25">
      <c r="C582" s="18"/>
    </row>
    <row r="583" spans="3:3" ht="13.45" x14ac:dyDescent="0.25">
      <c r="C583" s="18"/>
    </row>
    <row r="584" spans="3:3" ht="13.45" x14ac:dyDescent="0.25">
      <c r="C584" s="18"/>
    </row>
    <row r="585" spans="3:3" ht="13.45" x14ac:dyDescent="0.25">
      <c r="C585" s="18"/>
    </row>
    <row r="586" spans="3:3" ht="13.45" x14ac:dyDescent="0.25">
      <c r="C586" s="18"/>
    </row>
    <row r="587" spans="3:3" ht="13.45" x14ac:dyDescent="0.25">
      <c r="C587" s="18"/>
    </row>
    <row r="588" spans="3:3" ht="13.45" x14ac:dyDescent="0.25">
      <c r="C588" s="18"/>
    </row>
    <row r="589" spans="3:3" ht="13.45" x14ac:dyDescent="0.25">
      <c r="C589" s="18"/>
    </row>
    <row r="590" spans="3:3" ht="13.45" x14ac:dyDescent="0.25">
      <c r="C590" s="18"/>
    </row>
    <row r="591" spans="3:3" ht="13.45" x14ac:dyDescent="0.25">
      <c r="C591" s="18"/>
    </row>
    <row r="592" spans="3:3" ht="13.45" x14ac:dyDescent="0.25">
      <c r="C592" s="18"/>
    </row>
    <row r="593" spans="3:3" ht="13.45" x14ac:dyDescent="0.25">
      <c r="C593" s="18"/>
    </row>
    <row r="594" spans="3:3" ht="13.45" x14ac:dyDescent="0.25">
      <c r="C594" s="18"/>
    </row>
    <row r="595" spans="3:3" ht="13.45" x14ac:dyDescent="0.25">
      <c r="C595" s="18"/>
    </row>
    <row r="596" spans="3:3" ht="13.45" x14ac:dyDescent="0.25">
      <c r="C596" s="18"/>
    </row>
    <row r="597" spans="3:3" ht="13.45" x14ac:dyDescent="0.25">
      <c r="C597" s="18"/>
    </row>
    <row r="598" spans="3:3" ht="13.45" x14ac:dyDescent="0.25">
      <c r="C598" s="18"/>
    </row>
    <row r="599" spans="3:3" ht="13.45" x14ac:dyDescent="0.25">
      <c r="C599" s="18"/>
    </row>
    <row r="600" spans="3:3" ht="13.45" x14ac:dyDescent="0.25">
      <c r="C600" s="18"/>
    </row>
    <row r="601" spans="3:3" ht="13.45" x14ac:dyDescent="0.25">
      <c r="C601" s="18"/>
    </row>
    <row r="602" spans="3:3" ht="13.45" x14ac:dyDescent="0.25">
      <c r="C602" s="18"/>
    </row>
    <row r="603" spans="3:3" ht="13.45" x14ac:dyDescent="0.25">
      <c r="C603" s="18"/>
    </row>
    <row r="604" spans="3:3" ht="13.45" x14ac:dyDescent="0.25">
      <c r="C604" s="18"/>
    </row>
    <row r="605" spans="3:3" ht="13.45" x14ac:dyDescent="0.25">
      <c r="C605" s="18"/>
    </row>
    <row r="606" spans="3:3" ht="13.45" x14ac:dyDescent="0.25">
      <c r="C606" s="18"/>
    </row>
    <row r="607" spans="3:3" ht="13.45" x14ac:dyDescent="0.25">
      <c r="C607" s="18"/>
    </row>
    <row r="608" spans="3:3" ht="13.45" x14ac:dyDescent="0.25">
      <c r="C608" s="18"/>
    </row>
    <row r="609" spans="3:3" ht="13.45" x14ac:dyDescent="0.25">
      <c r="C609" s="18"/>
    </row>
    <row r="610" spans="3:3" ht="13.45" x14ac:dyDescent="0.25">
      <c r="C610" s="18"/>
    </row>
    <row r="611" spans="3:3" ht="13.45" x14ac:dyDescent="0.25">
      <c r="C611" s="18"/>
    </row>
    <row r="612" spans="3:3" ht="13.45" x14ac:dyDescent="0.25">
      <c r="C612" s="18"/>
    </row>
    <row r="613" spans="3:3" ht="13.45" x14ac:dyDescent="0.25">
      <c r="C613" s="18"/>
    </row>
    <row r="614" spans="3:3" ht="13.45" x14ac:dyDescent="0.25">
      <c r="C614" s="18"/>
    </row>
    <row r="615" spans="3:3" ht="13.45" x14ac:dyDescent="0.25">
      <c r="C615" s="18"/>
    </row>
    <row r="616" spans="3:3" ht="13.45" x14ac:dyDescent="0.25">
      <c r="C616" s="18"/>
    </row>
    <row r="617" spans="3:3" ht="13.45" x14ac:dyDescent="0.25">
      <c r="C617" s="18"/>
    </row>
    <row r="618" spans="3:3" ht="13.45" x14ac:dyDescent="0.25">
      <c r="C618" s="18"/>
    </row>
    <row r="619" spans="3:3" ht="13.45" x14ac:dyDescent="0.25">
      <c r="C619" s="18"/>
    </row>
    <row r="620" spans="3:3" ht="13.45" x14ac:dyDescent="0.25">
      <c r="C620" s="18"/>
    </row>
    <row r="621" spans="3:3" ht="13.45" x14ac:dyDescent="0.25">
      <c r="C621" s="18"/>
    </row>
    <row r="622" spans="3:3" ht="13.45" x14ac:dyDescent="0.25">
      <c r="C622" s="18"/>
    </row>
    <row r="623" spans="3:3" ht="13.45" x14ac:dyDescent="0.25">
      <c r="C623" s="18"/>
    </row>
    <row r="624" spans="3:3" ht="13.45" x14ac:dyDescent="0.25">
      <c r="C624" s="18"/>
    </row>
    <row r="625" spans="3:3" ht="13.45" x14ac:dyDescent="0.25">
      <c r="C625" s="18"/>
    </row>
    <row r="626" spans="3:3" ht="13.45" x14ac:dyDescent="0.25">
      <c r="C626" s="18"/>
    </row>
    <row r="627" spans="3:3" ht="13.45" x14ac:dyDescent="0.25">
      <c r="C627" s="18"/>
    </row>
    <row r="628" spans="3:3" ht="13.45" x14ac:dyDescent="0.25">
      <c r="C628" s="18"/>
    </row>
    <row r="629" spans="3:3" ht="13.45" x14ac:dyDescent="0.25">
      <c r="C629" s="18"/>
    </row>
    <row r="630" spans="3:3" ht="13.45" x14ac:dyDescent="0.25">
      <c r="C630" s="18"/>
    </row>
    <row r="631" spans="3:3" ht="13.45" x14ac:dyDescent="0.25">
      <c r="C631" s="18"/>
    </row>
    <row r="632" spans="3:3" ht="13.45" x14ac:dyDescent="0.25">
      <c r="C632" s="18"/>
    </row>
    <row r="633" spans="3:3" ht="13.45" x14ac:dyDescent="0.25">
      <c r="C633" s="18"/>
    </row>
    <row r="634" spans="3:3" ht="13.45" x14ac:dyDescent="0.25">
      <c r="C634" s="18"/>
    </row>
    <row r="635" spans="3:3" ht="13.45" x14ac:dyDescent="0.25">
      <c r="C635" s="18"/>
    </row>
    <row r="636" spans="3:3" ht="13.45" x14ac:dyDescent="0.25">
      <c r="C636" s="18"/>
    </row>
    <row r="637" spans="3:3" ht="13.45" x14ac:dyDescent="0.25">
      <c r="C637" s="18"/>
    </row>
    <row r="638" spans="3:3" ht="13.45" x14ac:dyDescent="0.25">
      <c r="C638" s="18"/>
    </row>
    <row r="639" spans="3:3" ht="13.45" x14ac:dyDescent="0.25">
      <c r="C639" s="18"/>
    </row>
    <row r="640" spans="3:3" ht="13.45" x14ac:dyDescent="0.25">
      <c r="C640" s="18"/>
    </row>
    <row r="641" spans="3:3" ht="13.45" x14ac:dyDescent="0.25">
      <c r="C641" s="18"/>
    </row>
    <row r="642" spans="3:3" ht="13.45" x14ac:dyDescent="0.25">
      <c r="C642" s="18"/>
    </row>
    <row r="643" spans="3:3" ht="13.45" x14ac:dyDescent="0.25">
      <c r="C643" s="18"/>
    </row>
    <row r="644" spans="3:3" ht="13.45" x14ac:dyDescent="0.25">
      <c r="C644" s="18"/>
    </row>
    <row r="645" spans="3:3" ht="13.45" x14ac:dyDescent="0.25">
      <c r="C645" s="18"/>
    </row>
    <row r="646" spans="3:3" ht="13.45" x14ac:dyDescent="0.25">
      <c r="C646" s="18"/>
    </row>
    <row r="647" spans="3:3" ht="13.45" x14ac:dyDescent="0.25">
      <c r="C647" s="18"/>
    </row>
    <row r="648" spans="3:3" ht="13.45" x14ac:dyDescent="0.25">
      <c r="C648" s="18"/>
    </row>
    <row r="649" spans="3:3" ht="13.45" x14ac:dyDescent="0.25">
      <c r="C649" s="18"/>
    </row>
    <row r="650" spans="3:3" ht="13.45" x14ac:dyDescent="0.25">
      <c r="C650" s="18"/>
    </row>
    <row r="651" spans="3:3" ht="13.45" x14ac:dyDescent="0.25">
      <c r="C651" s="18"/>
    </row>
    <row r="652" spans="3:3" ht="13.45" x14ac:dyDescent="0.25">
      <c r="C652" s="18"/>
    </row>
    <row r="653" spans="3:3" ht="13.45" x14ac:dyDescent="0.25">
      <c r="C653" s="18"/>
    </row>
    <row r="654" spans="3:3" ht="13.45" x14ac:dyDescent="0.25">
      <c r="C654" s="18"/>
    </row>
    <row r="655" spans="3:3" ht="13.45" x14ac:dyDescent="0.25">
      <c r="C655" s="18"/>
    </row>
    <row r="656" spans="3:3" ht="13.45" x14ac:dyDescent="0.25">
      <c r="C656" s="18"/>
    </row>
    <row r="657" spans="3:3" ht="13.45" x14ac:dyDescent="0.25">
      <c r="C657" s="18"/>
    </row>
    <row r="658" spans="3:3" ht="13.45" x14ac:dyDescent="0.25">
      <c r="C658" s="18"/>
    </row>
    <row r="659" spans="3:3" ht="13.45" x14ac:dyDescent="0.25">
      <c r="C659" s="18"/>
    </row>
    <row r="660" spans="3:3" ht="13.45" x14ac:dyDescent="0.25">
      <c r="C660" s="18"/>
    </row>
    <row r="661" spans="3:3" ht="13.45" x14ac:dyDescent="0.25">
      <c r="C661" s="18"/>
    </row>
    <row r="662" spans="3:3" ht="13.45" x14ac:dyDescent="0.25">
      <c r="C662" s="18"/>
    </row>
    <row r="663" spans="3:3" ht="13.45" x14ac:dyDescent="0.25">
      <c r="C663" s="18"/>
    </row>
    <row r="664" spans="3:3" ht="13.45" x14ac:dyDescent="0.25">
      <c r="C664" s="18"/>
    </row>
    <row r="665" spans="3:3" ht="13.45" x14ac:dyDescent="0.25">
      <c r="C665" s="18"/>
    </row>
    <row r="666" spans="3:3" ht="13.45" x14ac:dyDescent="0.25">
      <c r="C666" s="18"/>
    </row>
    <row r="667" spans="3:3" ht="13.45" x14ac:dyDescent="0.25">
      <c r="C667" s="18"/>
    </row>
    <row r="668" spans="3:3" ht="13.45" x14ac:dyDescent="0.25">
      <c r="C668" s="18"/>
    </row>
    <row r="669" spans="3:3" ht="13.45" x14ac:dyDescent="0.25">
      <c r="C669" s="18"/>
    </row>
    <row r="670" spans="3:3" ht="13.45" x14ac:dyDescent="0.25">
      <c r="C670" s="18"/>
    </row>
    <row r="671" spans="3:3" ht="13.45" x14ac:dyDescent="0.25">
      <c r="C671" s="18"/>
    </row>
    <row r="672" spans="3:3" ht="13.45" x14ac:dyDescent="0.25">
      <c r="C672" s="18"/>
    </row>
    <row r="673" spans="3:3" ht="13.45" x14ac:dyDescent="0.25">
      <c r="C673" s="18"/>
    </row>
    <row r="674" spans="3:3" ht="13.45" x14ac:dyDescent="0.25">
      <c r="C674" s="18"/>
    </row>
    <row r="675" spans="3:3" ht="13.45" x14ac:dyDescent="0.25">
      <c r="C675" s="18"/>
    </row>
    <row r="676" spans="3:3" ht="13.45" x14ac:dyDescent="0.25">
      <c r="C676" s="18"/>
    </row>
    <row r="677" spans="3:3" ht="13.45" x14ac:dyDescent="0.25">
      <c r="C677" s="18"/>
    </row>
    <row r="678" spans="3:3" ht="13.45" x14ac:dyDescent="0.25">
      <c r="C678" s="18"/>
    </row>
    <row r="679" spans="3:3" ht="13.45" x14ac:dyDescent="0.25">
      <c r="C679" s="18"/>
    </row>
    <row r="680" spans="3:3" ht="13.45" x14ac:dyDescent="0.25">
      <c r="C680" s="18"/>
    </row>
    <row r="681" spans="3:3" ht="13.45" x14ac:dyDescent="0.25">
      <c r="C681" s="18"/>
    </row>
    <row r="682" spans="3:3" ht="13.45" x14ac:dyDescent="0.25">
      <c r="C682" s="18"/>
    </row>
    <row r="683" spans="3:3" ht="13.45" x14ac:dyDescent="0.25">
      <c r="C683" s="18"/>
    </row>
    <row r="684" spans="3:3" ht="13.45" x14ac:dyDescent="0.25">
      <c r="C684" s="18"/>
    </row>
    <row r="685" spans="3:3" ht="13.45" x14ac:dyDescent="0.25">
      <c r="C685" s="18"/>
    </row>
    <row r="686" spans="3:3" ht="13.45" x14ac:dyDescent="0.25">
      <c r="C686" s="18"/>
    </row>
    <row r="687" spans="3:3" ht="13.45" x14ac:dyDescent="0.25">
      <c r="C687" s="18"/>
    </row>
    <row r="688" spans="3:3" ht="13.45" x14ac:dyDescent="0.25">
      <c r="C688" s="18"/>
    </row>
    <row r="689" spans="3:3" ht="13.45" x14ac:dyDescent="0.25">
      <c r="C689" s="18"/>
    </row>
    <row r="690" spans="3:3" ht="13.45" x14ac:dyDescent="0.25">
      <c r="C690" s="18"/>
    </row>
    <row r="691" spans="3:3" ht="13.45" x14ac:dyDescent="0.25">
      <c r="C691" s="18"/>
    </row>
    <row r="692" spans="3:3" ht="13.45" x14ac:dyDescent="0.25">
      <c r="C692" s="18"/>
    </row>
    <row r="693" spans="3:3" ht="13.45" x14ac:dyDescent="0.25">
      <c r="C693" s="18"/>
    </row>
    <row r="694" spans="3:3" ht="13.45" x14ac:dyDescent="0.25">
      <c r="C694" s="18"/>
    </row>
    <row r="695" spans="3:3" ht="13.45" x14ac:dyDescent="0.25">
      <c r="C695" s="18"/>
    </row>
    <row r="696" spans="3:3" ht="13.45" x14ac:dyDescent="0.25">
      <c r="C696" s="18"/>
    </row>
    <row r="697" spans="3:3" ht="13.45" x14ac:dyDescent="0.25">
      <c r="C697" s="18"/>
    </row>
    <row r="698" spans="3:3" ht="13.45" x14ac:dyDescent="0.25">
      <c r="C698" s="18"/>
    </row>
    <row r="699" spans="3:3" ht="13.45" x14ac:dyDescent="0.25">
      <c r="C699" s="18"/>
    </row>
    <row r="700" spans="3:3" ht="13.45" x14ac:dyDescent="0.25">
      <c r="C700" s="18"/>
    </row>
    <row r="701" spans="3:3" ht="13.45" x14ac:dyDescent="0.25">
      <c r="C701" s="18"/>
    </row>
    <row r="702" spans="3:3" ht="13.45" x14ac:dyDescent="0.25">
      <c r="C702" s="18"/>
    </row>
    <row r="703" spans="3:3" ht="13.45" x14ac:dyDescent="0.25">
      <c r="C703" s="18"/>
    </row>
    <row r="704" spans="3:3" ht="13.45" x14ac:dyDescent="0.25">
      <c r="C704" s="18"/>
    </row>
    <row r="705" spans="3:3" ht="13.45" x14ac:dyDescent="0.25">
      <c r="C705" s="18"/>
    </row>
    <row r="706" spans="3:3" ht="13.45" x14ac:dyDescent="0.25">
      <c r="C706" s="18"/>
    </row>
    <row r="707" spans="3:3" ht="13.45" x14ac:dyDescent="0.25">
      <c r="C707" s="18"/>
    </row>
    <row r="708" spans="3:3" ht="13.45" x14ac:dyDescent="0.25">
      <c r="C708" s="18"/>
    </row>
    <row r="709" spans="3:3" ht="13.45" x14ac:dyDescent="0.25">
      <c r="C709" s="18"/>
    </row>
    <row r="710" spans="3:3" ht="13.45" x14ac:dyDescent="0.25">
      <c r="C710" s="18"/>
    </row>
    <row r="711" spans="3:3" ht="13.45" x14ac:dyDescent="0.25">
      <c r="C711" s="18"/>
    </row>
    <row r="712" spans="3:3" ht="13.45" x14ac:dyDescent="0.25">
      <c r="C712" s="18"/>
    </row>
    <row r="713" spans="3:3" ht="13.45" x14ac:dyDescent="0.25">
      <c r="C713" s="18"/>
    </row>
    <row r="714" spans="3:3" ht="13.45" x14ac:dyDescent="0.25">
      <c r="C714" s="18"/>
    </row>
    <row r="715" spans="3:3" ht="13.45" x14ac:dyDescent="0.25">
      <c r="C715" s="18"/>
    </row>
    <row r="716" spans="3:3" ht="13.45" x14ac:dyDescent="0.25">
      <c r="C716" s="18"/>
    </row>
    <row r="717" spans="3:3" ht="13.45" x14ac:dyDescent="0.25">
      <c r="C717" s="18"/>
    </row>
    <row r="718" spans="3:3" ht="13.45" x14ac:dyDescent="0.25">
      <c r="C718" s="18"/>
    </row>
    <row r="719" spans="3:3" ht="13.45" x14ac:dyDescent="0.25">
      <c r="C719" s="18"/>
    </row>
    <row r="720" spans="3:3" ht="13.45" x14ac:dyDescent="0.25">
      <c r="C720" s="18"/>
    </row>
    <row r="721" spans="3:3" ht="13.45" x14ac:dyDescent="0.25">
      <c r="C721" s="18"/>
    </row>
    <row r="722" spans="3:3" ht="13.45" x14ac:dyDescent="0.25">
      <c r="C722" s="18"/>
    </row>
    <row r="723" spans="3:3" ht="13.45" x14ac:dyDescent="0.25">
      <c r="C723" s="18"/>
    </row>
    <row r="724" spans="3:3" ht="13.45" x14ac:dyDescent="0.25">
      <c r="C724" s="18"/>
    </row>
    <row r="725" spans="3:3" ht="13.45" x14ac:dyDescent="0.25">
      <c r="C725" s="18"/>
    </row>
    <row r="726" spans="3:3" ht="13.45" x14ac:dyDescent="0.25">
      <c r="C726" s="18"/>
    </row>
    <row r="727" spans="3:3" ht="13.45" x14ac:dyDescent="0.25">
      <c r="C727" s="18"/>
    </row>
    <row r="728" spans="3:3" ht="13.45" x14ac:dyDescent="0.25">
      <c r="C728" s="18"/>
    </row>
    <row r="729" spans="3:3" ht="13.45" x14ac:dyDescent="0.25">
      <c r="C729" s="18"/>
    </row>
    <row r="730" spans="3:3" ht="13.45" x14ac:dyDescent="0.25">
      <c r="C730" s="18"/>
    </row>
    <row r="731" spans="3:3" ht="13.45" x14ac:dyDescent="0.25">
      <c r="C731" s="18"/>
    </row>
    <row r="732" spans="3:3" ht="13.45" x14ac:dyDescent="0.25">
      <c r="C732" s="18"/>
    </row>
    <row r="733" spans="3:3" ht="13.45" x14ac:dyDescent="0.25">
      <c r="C733" s="18"/>
    </row>
    <row r="734" spans="3:3" ht="13.45" x14ac:dyDescent="0.25">
      <c r="C734" s="18"/>
    </row>
    <row r="735" spans="3:3" ht="13.45" x14ac:dyDescent="0.25">
      <c r="C735" s="18"/>
    </row>
    <row r="736" spans="3:3" ht="13.45" x14ac:dyDescent="0.25">
      <c r="C736" s="18"/>
    </row>
    <row r="737" spans="3:3" ht="13.45" x14ac:dyDescent="0.25">
      <c r="C737" s="18"/>
    </row>
    <row r="738" spans="3:3" ht="13.45" x14ac:dyDescent="0.25">
      <c r="C738" s="18"/>
    </row>
    <row r="739" spans="3:3" ht="13.45" x14ac:dyDescent="0.25">
      <c r="C739" s="18"/>
    </row>
    <row r="740" spans="3:3" ht="13.45" x14ac:dyDescent="0.25">
      <c r="C740" s="18"/>
    </row>
    <row r="741" spans="3:3" ht="13.45" x14ac:dyDescent="0.25">
      <c r="C741" s="18"/>
    </row>
    <row r="742" spans="3:3" ht="13.45" x14ac:dyDescent="0.25">
      <c r="C742" s="18"/>
    </row>
    <row r="743" spans="3:3" ht="13.45" x14ac:dyDescent="0.25">
      <c r="C743" s="18"/>
    </row>
    <row r="744" spans="3:3" ht="13.45" x14ac:dyDescent="0.25">
      <c r="C744" s="18"/>
    </row>
    <row r="745" spans="3:3" ht="13.45" x14ac:dyDescent="0.25">
      <c r="C745" s="18"/>
    </row>
    <row r="746" spans="3:3" ht="13.45" x14ac:dyDescent="0.25">
      <c r="C746" s="18"/>
    </row>
    <row r="747" spans="3:3" ht="13.45" x14ac:dyDescent="0.25">
      <c r="C747" s="18"/>
    </row>
    <row r="748" spans="3:3" ht="13.45" x14ac:dyDescent="0.25">
      <c r="C748" s="18"/>
    </row>
    <row r="749" spans="3:3" ht="13.45" x14ac:dyDescent="0.25">
      <c r="C749" s="18"/>
    </row>
    <row r="750" spans="3:3" ht="13.45" x14ac:dyDescent="0.25">
      <c r="C750" s="18"/>
    </row>
    <row r="751" spans="3:3" ht="13.45" x14ac:dyDescent="0.25">
      <c r="C751" s="18"/>
    </row>
    <row r="752" spans="3:3" ht="13.45" x14ac:dyDescent="0.25">
      <c r="C752" s="18"/>
    </row>
    <row r="753" spans="3:3" ht="13.45" x14ac:dyDescent="0.25">
      <c r="C753" s="18"/>
    </row>
    <row r="754" spans="3:3" ht="13.45" x14ac:dyDescent="0.25">
      <c r="C754" s="18"/>
    </row>
    <row r="755" spans="3:3" ht="13.45" x14ac:dyDescent="0.25">
      <c r="C755" s="18"/>
    </row>
    <row r="756" spans="3:3" ht="13.45" x14ac:dyDescent="0.25">
      <c r="C756" s="18"/>
    </row>
    <row r="757" spans="3:3" ht="13.45" x14ac:dyDescent="0.25">
      <c r="C757" s="18"/>
    </row>
    <row r="758" spans="3:3" ht="13.45" x14ac:dyDescent="0.25">
      <c r="C758" s="18"/>
    </row>
    <row r="759" spans="3:3" ht="13.45" x14ac:dyDescent="0.25">
      <c r="C759" s="18"/>
    </row>
    <row r="760" spans="3:3" ht="13.45" x14ac:dyDescent="0.25">
      <c r="C760" s="18"/>
    </row>
    <row r="761" spans="3:3" ht="13.45" x14ac:dyDescent="0.25">
      <c r="C761" s="18"/>
    </row>
    <row r="762" spans="3:3" ht="13.45" x14ac:dyDescent="0.25">
      <c r="C762" s="18"/>
    </row>
    <row r="763" spans="3:3" ht="13.45" x14ac:dyDescent="0.25">
      <c r="C763" s="18"/>
    </row>
    <row r="764" spans="3:3" ht="13.45" x14ac:dyDescent="0.25">
      <c r="C764" s="18"/>
    </row>
    <row r="765" spans="3:3" ht="13.45" x14ac:dyDescent="0.25">
      <c r="C765" s="18"/>
    </row>
    <row r="766" spans="3:3" ht="13.45" x14ac:dyDescent="0.25">
      <c r="C766" s="18"/>
    </row>
    <row r="767" spans="3:3" ht="13.45" x14ac:dyDescent="0.25">
      <c r="C767" s="18"/>
    </row>
    <row r="768" spans="3:3" ht="13.45" x14ac:dyDescent="0.25">
      <c r="C768" s="18"/>
    </row>
    <row r="769" spans="3:3" ht="13.45" x14ac:dyDescent="0.25">
      <c r="C769" s="18"/>
    </row>
    <row r="770" spans="3:3" ht="13.45" x14ac:dyDescent="0.25">
      <c r="C770" s="18"/>
    </row>
    <row r="771" spans="3:3" ht="13.45" x14ac:dyDescent="0.25">
      <c r="C771" s="18"/>
    </row>
    <row r="772" spans="3:3" ht="13.45" x14ac:dyDescent="0.25">
      <c r="C772" s="18"/>
    </row>
    <row r="773" spans="3:3" ht="13.45" x14ac:dyDescent="0.25">
      <c r="C773" s="18"/>
    </row>
    <row r="774" spans="3:3" ht="13.45" x14ac:dyDescent="0.25">
      <c r="C774" s="18"/>
    </row>
    <row r="775" spans="3:3" ht="13.45" x14ac:dyDescent="0.25">
      <c r="C775" s="18"/>
    </row>
    <row r="776" spans="3:3" ht="13.45" x14ac:dyDescent="0.25">
      <c r="C776" s="18"/>
    </row>
    <row r="777" spans="3:3" ht="13.45" x14ac:dyDescent="0.25">
      <c r="C777" s="18"/>
    </row>
    <row r="778" spans="3:3" ht="13.45" x14ac:dyDescent="0.25">
      <c r="C778" s="18"/>
    </row>
    <row r="779" spans="3:3" ht="13.45" x14ac:dyDescent="0.25">
      <c r="C779" s="18"/>
    </row>
    <row r="780" spans="3:3" ht="13.45" x14ac:dyDescent="0.25">
      <c r="C780" s="18"/>
    </row>
    <row r="781" spans="3:3" ht="13.45" x14ac:dyDescent="0.25">
      <c r="C781" s="18"/>
    </row>
    <row r="782" spans="3:3" ht="13.45" x14ac:dyDescent="0.25">
      <c r="C782" s="18"/>
    </row>
    <row r="783" spans="3:3" ht="13.45" x14ac:dyDescent="0.25">
      <c r="C783" s="18"/>
    </row>
    <row r="784" spans="3:3" ht="13.45" x14ac:dyDescent="0.25">
      <c r="C784" s="18"/>
    </row>
    <row r="785" spans="3:3" ht="13.45" x14ac:dyDescent="0.25">
      <c r="C785" s="18"/>
    </row>
    <row r="786" spans="3:3" ht="13.45" x14ac:dyDescent="0.25">
      <c r="C786" s="18"/>
    </row>
    <row r="787" spans="3:3" ht="13.45" x14ac:dyDescent="0.25">
      <c r="C787" s="18"/>
    </row>
    <row r="788" spans="3:3" ht="13.45" x14ac:dyDescent="0.25">
      <c r="C788" s="18"/>
    </row>
    <row r="789" spans="3:3" ht="13.45" x14ac:dyDescent="0.25">
      <c r="C789" s="18"/>
    </row>
    <row r="790" spans="3:3" ht="13.45" x14ac:dyDescent="0.25">
      <c r="C790" s="18"/>
    </row>
    <row r="791" spans="3:3" ht="13.45" x14ac:dyDescent="0.25">
      <c r="C791" s="18"/>
    </row>
    <row r="792" spans="3:3" ht="13.45" x14ac:dyDescent="0.25">
      <c r="C792" s="18"/>
    </row>
    <row r="793" spans="3:3" ht="13.45" x14ac:dyDescent="0.25">
      <c r="C793" s="18"/>
    </row>
    <row r="794" spans="3:3" ht="13.45" x14ac:dyDescent="0.25">
      <c r="C794" s="18"/>
    </row>
    <row r="795" spans="3:3" ht="13.45" x14ac:dyDescent="0.25">
      <c r="C795" s="18"/>
    </row>
    <row r="796" spans="3:3" ht="13.45" x14ac:dyDescent="0.25">
      <c r="C796" s="18"/>
    </row>
    <row r="797" spans="3:3" ht="13.45" x14ac:dyDescent="0.25">
      <c r="C797" s="18"/>
    </row>
    <row r="798" spans="3:3" ht="13.45" x14ac:dyDescent="0.25">
      <c r="C798" s="18"/>
    </row>
    <row r="799" spans="3:3" ht="13.45" x14ac:dyDescent="0.25">
      <c r="C799" s="18"/>
    </row>
    <row r="800" spans="3:3" ht="13.45" x14ac:dyDescent="0.25">
      <c r="C800" s="18"/>
    </row>
    <row r="801" spans="3:3" ht="13.45" x14ac:dyDescent="0.25">
      <c r="C801" s="18"/>
    </row>
    <row r="802" spans="3:3" ht="13.45" x14ac:dyDescent="0.25">
      <c r="C802" s="18"/>
    </row>
    <row r="803" spans="3:3" ht="13.45" x14ac:dyDescent="0.25">
      <c r="C803" s="18"/>
    </row>
    <row r="804" spans="3:3" ht="13.45" x14ac:dyDescent="0.25">
      <c r="C804" s="18"/>
    </row>
    <row r="805" spans="3:3" ht="13.45" x14ac:dyDescent="0.25">
      <c r="C805" s="18"/>
    </row>
    <row r="806" spans="3:3" ht="13.45" x14ac:dyDescent="0.25">
      <c r="C806" s="18"/>
    </row>
    <row r="807" spans="3:3" ht="13.45" x14ac:dyDescent="0.25">
      <c r="C807" s="18"/>
    </row>
    <row r="808" spans="3:3" ht="13.45" x14ac:dyDescent="0.25">
      <c r="C808" s="18"/>
    </row>
    <row r="809" spans="3:3" ht="13.45" x14ac:dyDescent="0.25">
      <c r="C809" s="18"/>
    </row>
    <row r="810" spans="3:3" ht="13.45" x14ac:dyDescent="0.25">
      <c r="C810" s="18"/>
    </row>
    <row r="811" spans="3:3" ht="13.45" x14ac:dyDescent="0.25">
      <c r="C811" s="18"/>
    </row>
    <row r="812" spans="3:3" ht="13.45" x14ac:dyDescent="0.25">
      <c r="C812" s="18"/>
    </row>
    <row r="813" spans="3:3" ht="13.45" x14ac:dyDescent="0.25">
      <c r="C813" s="18"/>
    </row>
    <row r="814" spans="3:3" ht="13.45" x14ac:dyDescent="0.25">
      <c r="C814" s="18"/>
    </row>
    <row r="815" spans="3:3" ht="13.45" x14ac:dyDescent="0.25">
      <c r="C815" s="18"/>
    </row>
    <row r="816" spans="3:3" ht="13.45" x14ac:dyDescent="0.25">
      <c r="C816" s="18"/>
    </row>
    <row r="817" spans="3:3" ht="13.45" x14ac:dyDescent="0.25">
      <c r="C817" s="18"/>
    </row>
    <row r="818" spans="3:3" ht="13.45" x14ac:dyDescent="0.25">
      <c r="C818" s="18"/>
    </row>
    <row r="819" spans="3:3" ht="13.45" x14ac:dyDescent="0.25">
      <c r="C819" s="18"/>
    </row>
    <row r="820" spans="3:3" ht="13.45" x14ac:dyDescent="0.25">
      <c r="C820" s="18"/>
    </row>
    <row r="821" spans="3:3" ht="13.45" x14ac:dyDescent="0.25">
      <c r="C821" s="18"/>
    </row>
    <row r="822" spans="3:3" ht="13.45" x14ac:dyDescent="0.25">
      <c r="C822" s="18"/>
    </row>
    <row r="823" spans="3:3" ht="13.45" x14ac:dyDescent="0.25">
      <c r="C823" s="18"/>
    </row>
    <row r="824" spans="3:3" ht="13.45" x14ac:dyDescent="0.25">
      <c r="C824" s="18"/>
    </row>
    <row r="825" spans="3:3" ht="13.45" x14ac:dyDescent="0.25">
      <c r="C825" s="18"/>
    </row>
    <row r="826" spans="3:3" ht="13.45" x14ac:dyDescent="0.25">
      <c r="C826" s="18"/>
    </row>
    <row r="827" spans="3:3" ht="13.45" x14ac:dyDescent="0.25">
      <c r="C827" s="18"/>
    </row>
    <row r="828" spans="3:3" ht="13.45" x14ac:dyDescent="0.25">
      <c r="C828" s="18"/>
    </row>
    <row r="829" spans="3:3" ht="13.45" x14ac:dyDescent="0.25">
      <c r="C829" s="18"/>
    </row>
    <row r="830" spans="3:3" ht="13.45" x14ac:dyDescent="0.25">
      <c r="C830" s="18"/>
    </row>
    <row r="831" spans="3:3" ht="13.45" x14ac:dyDescent="0.25">
      <c r="C831" s="18"/>
    </row>
    <row r="832" spans="3:3" ht="13.45" x14ac:dyDescent="0.25">
      <c r="C832" s="18"/>
    </row>
    <row r="833" spans="3:3" ht="13.45" x14ac:dyDescent="0.25">
      <c r="C833" s="18"/>
    </row>
    <row r="834" spans="3:3" ht="13.45" x14ac:dyDescent="0.25">
      <c r="C834" s="18"/>
    </row>
    <row r="835" spans="3:3" ht="13.45" x14ac:dyDescent="0.25">
      <c r="C835" s="18"/>
    </row>
    <row r="836" spans="3:3" ht="13.45" x14ac:dyDescent="0.25">
      <c r="C836" s="18"/>
    </row>
    <row r="837" spans="3:3" ht="13.45" x14ac:dyDescent="0.25">
      <c r="C837" s="18"/>
    </row>
    <row r="838" spans="3:3" ht="13.45" x14ac:dyDescent="0.25">
      <c r="C838" s="18"/>
    </row>
    <row r="839" spans="3:3" ht="13.45" x14ac:dyDescent="0.25">
      <c r="C839" s="18"/>
    </row>
    <row r="840" spans="3:3" ht="13.45" x14ac:dyDescent="0.25">
      <c r="C840" s="18"/>
    </row>
    <row r="841" spans="3:3" ht="13.45" x14ac:dyDescent="0.25">
      <c r="C841" s="18"/>
    </row>
    <row r="842" spans="3:3" ht="13.45" x14ac:dyDescent="0.25">
      <c r="C842" s="18"/>
    </row>
    <row r="843" spans="3:3" ht="13.45" x14ac:dyDescent="0.25">
      <c r="C843" s="18"/>
    </row>
    <row r="844" spans="3:3" ht="13.45" x14ac:dyDescent="0.25">
      <c r="C844" s="18"/>
    </row>
    <row r="845" spans="3:3" ht="13.45" x14ac:dyDescent="0.25">
      <c r="C845" s="18"/>
    </row>
    <row r="846" spans="3:3" ht="13.45" x14ac:dyDescent="0.25">
      <c r="C846" s="18"/>
    </row>
    <row r="847" spans="3:3" ht="13.45" x14ac:dyDescent="0.25">
      <c r="C847" s="18"/>
    </row>
    <row r="848" spans="3:3" ht="13.45" x14ac:dyDescent="0.25">
      <c r="C848" s="18"/>
    </row>
    <row r="849" spans="3:3" ht="13.45" x14ac:dyDescent="0.25">
      <c r="C849" s="18"/>
    </row>
    <row r="850" spans="3:3" ht="13.45" x14ac:dyDescent="0.25">
      <c r="C850" s="18"/>
    </row>
    <row r="851" spans="3:3" ht="13.45" x14ac:dyDescent="0.25">
      <c r="C851" s="18"/>
    </row>
    <row r="852" spans="3:3" ht="13.45" x14ac:dyDescent="0.25">
      <c r="C852" s="18"/>
    </row>
    <row r="853" spans="3:3" ht="13.45" x14ac:dyDescent="0.25">
      <c r="C853" s="18"/>
    </row>
    <row r="854" spans="3:3" ht="13.45" x14ac:dyDescent="0.25">
      <c r="C854" s="18"/>
    </row>
    <row r="855" spans="3:3" ht="13.45" x14ac:dyDescent="0.25">
      <c r="C855" s="18"/>
    </row>
    <row r="856" spans="3:3" ht="13.45" x14ac:dyDescent="0.25">
      <c r="C856" s="18"/>
    </row>
    <row r="857" spans="3:3" ht="13.45" x14ac:dyDescent="0.25">
      <c r="C857" s="18"/>
    </row>
    <row r="858" spans="3:3" ht="13.45" x14ac:dyDescent="0.25">
      <c r="C858" s="18"/>
    </row>
    <row r="859" spans="3:3" ht="13.45" x14ac:dyDescent="0.25">
      <c r="C859" s="18"/>
    </row>
    <row r="860" spans="3:3" ht="13.45" x14ac:dyDescent="0.25">
      <c r="C860" s="18"/>
    </row>
    <row r="861" spans="3:3" ht="13.45" x14ac:dyDescent="0.25">
      <c r="C861" s="18"/>
    </row>
    <row r="862" spans="3:3" ht="13.45" x14ac:dyDescent="0.25">
      <c r="C862" s="18"/>
    </row>
    <row r="863" spans="3:3" ht="13.45" x14ac:dyDescent="0.25">
      <c r="C863" s="18"/>
    </row>
    <row r="864" spans="3:3" ht="13.45" x14ac:dyDescent="0.25">
      <c r="C864" s="18"/>
    </row>
    <row r="865" spans="3:3" ht="13.45" x14ac:dyDescent="0.25">
      <c r="C865" s="18"/>
    </row>
    <row r="866" spans="3:3" ht="13.45" x14ac:dyDescent="0.25">
      <c r="C866" s="18"/>
    </row>
    <row r="867" spans="3:3" ht="13.45" x14ac:dyDescent="0.25">
      <c r="C867" s="18"/>
    </row>
    <row r="868" spans="3:3" ht="13.45" x14ac:dyDescent="0.25">
      <c r="C868" s="18"/>
    </row>
    <row r="869" spans="3:3" ht="13.45" x14ac:dyDescent="0.25">
      <c r="C869" s="18"/>
    </row>
    <row r="870" spans="3:3" ht="13.45" x14ac:dyDescent="0.25">
      <c r="C870" s="18"/>
    </row>
    <row r="871" spans="3:3" ht="13.45" x14ac:dyDescent="0.25">
      <c r="C871" s="18"/>
    </row>
    <row r="872" spans="3:3" ht="13.45" x14ac:dyDescent="0.25">
      <c r="C872" s="18"/>
    </row>
    <row r="873" spans="3:3" ht="13.45" x14ac:dyDescent="0.25">
      <c r="C873" s="18"/>
    </row>
    <row r="874" spans="3:3" ht="13.45" x14ac:dyDescent="0.25">
      <c r="C874" s="18"/>
    </row>
    <row r="875" spans="3:3" ht="13.45" x14ac:dyDescent="0.25">
      <c r="C875" s="18"/>
    </row>
    <row r="876" spans="3:3" ht="13.45" x14ac:dyDescent="0.25">
      <c r="C876" s="18"/>
    </row>
    <row r="877" spans="3:3" ht="13.45" x14ac:dyDescent="0.25">
      <c r="C877" s="18"/>
    </row>
    <row r="878" spans="3:3" ht="13.45" x14ac:dyDescent="0.25">
      <c r="C878" s="18"/>
    </row>
    <row r="879" spans="3:3" ht="13.45" x14ac:dyDescent="0.25">
      <c r="C879" s="18"/>
    </row>
    <row r="880" spans="3:3" ht="13.45" x14ac:dyDescent="0.25">
      <c r="C880" s="18"/>
    </row>
    <row r="881" spans="3:3" ht="13.45" x14ac:dyDescent="0.25">
      <c r="C881" s="18"/>
    </row>
    <row r="882" spans="3:3" ht="13.45" x14ac:dyDescent="0.25">
      <c r="C882" s="18"/>
    </row>
    <row r="883" spans="3:3" ht="13.45" x14ac:dyDescent="0.25">
      <c r="C883" s="18"/>
    </row>
    <row r="884" spans="3:3" ht="13.45" x14ac:dyDescent="0.25">
      <c r="C884" s="18"/>
    </row>
    <row r="885" spans="3:3" ht="13.45" x14ac:dyDescent="0.25">
      <c r="C885" s="18"/>
    </row>
    <row r="886" spans="3:3" ht="13.45" x14ac:dyDescent="0.25">
      <c r="C886" s="18"/>
    </row>
    <row r="887" spans="3:3" ht="13.45" x14ac:dyDescent="0.25">
      <c r="C887" s="18"/>
    </row>
    <row r="888" spans="3:3" ht="13.45" x14ac:dyDescent="0.25">
      <c r="C888" s="18"/>
    </row>
    <row r="889" spans="3:3" ht="13.45" x14ac:dyDescent="0.25">
      <c r="C889" s="18"/>
    </row>
    <row r="890" spans="3:3" ht="13.45" x14ac:dyDescent="0.25">
      <c r="C890" s="18"/>
    </row>
    <row r="891" spans="3:3" ht="13.45" x14ac:dyDescent="0.25">
      <c r="C891" s="18"/>
    </row>
    <row r="892" spans="3:3" ht="13.45" x14ac:dyDescent="0.25">
      <c r="C892" s="18"/>
    </row>
    <row r="893" spans="3:3" ht="13.45" x14ac:dyDescent="0.25">
      <c r="C893" s="18"/>
    </row>
    <row r="894" spans="3:3" ht="13.45" x14ac:dyDescent="0.25">
      <c r="C894" s="18"/>
    </row>
    <row r="895" spans="3:3" ht="13.45" x14ac:dyDescent="0.25">
      <c r="C895" s="18"/>
    </row>
    <row r="896" spans="3:3" ht="13.45" x14ac:dyDescent="0.25">
      <c r="C896" s="18"/>
    </row>
    <row r="897" spans="3:3" ht="13.45" x14ac:dyDescent="0.25">
      <c r="C897" s="18"/>
    </row>
    <row r="898" spans="3:3" ht="13.45" x14ac:dyDescent="0.25">
      <c r="C898" s="18"/>
    </row>
    <row r="899" spans="3:3" ht="13.45" x14ac:dyDescent="0.25">
      <c r="C899" s="18"/>
    </row>
    <row r="900" spans="3:3" ht="13.45" x14ac:dyDescent="0.25">
      <c r="C900" s="18"/>
    </row>
    <row r="901" spans="3:3" ht="13.45" x14ac:dyDescent="0.25">
      <c r="C901" s="18"/>
    </row>
    <row r="902" spans="3:3" ht="13.45" x14ac:dyDescent="0.25">
      <c r="C902" s="18"/>
    </row>
    <row r="903" spans="3:3" ht="13.45" x14ac:dyDescent="0.25">
      <c r="C903" s="18"/>
    </row>
    <row r="904" spans="3:3" ht="13.45" x14ac:dyDescent="0.25">
      <c r="C904" s="18"/>
    </row>
    <row r="905" spans="3:3" ht="13.45" x14ac:dyDescent="0.25">
      <c r="C905" s="18"/>
    </row>
    <row r="906" spans="3:3" ht="13.45" x14ac:dyDescent="0.25">
      <c r="C906" s="18"/>
    </row>
    <row r="907" spans="3:3" ht="13.45" x14ac:dyDescent="0.25">
      <c r="C907" s="18"/>
    </row>
    <row r="908" spans="3:3" ht="13.45" x14ac:dyDescent="0.25">
      <c r="C908" s="18"/>
    </row>
    <row r="909" spans="3:3" ht="13.45" x14ac:dyDescent="0.25">
      <c r="C909" s="18"/>
    </row>
    <row r="910" spans="3:3" ht="13.45" x14ac:dyDescent="0.25">
      <c r="C910" s="18"/>
    </row>
    <row r="911" spans="3:3" ht="13.45" x14ac:dyDescent="0.25">
      <c r="C911" s="18"/>
    </row>
    <row r="912" spans="3:3" ht="13.45" x14ac:dyDescent="0.25">
      <c r="C912" s="18"/>
    </row>
    <row r="913" spans="3:3" ht="13.45" x14ac:dyDescent="0.25">
      <c r="C913" s="18"/>
    </row>
    <row r="914" spans="3:3" ht="13.45" x14ac:dyDescent="0.25">
      <c r="C914" s="18"/>
    </row>
    <row r="915" spans="3:3" ht="13.45" x14ac:dyDescent="0.25">
      <c r="C915" s="18"/>
    </row>
    <row r="916" spans="3:3" ht="13.45" x14ac:dyDescent="0.25">
      <c r="C916" s="18"/>
    </row>
    <row r="917" spans="3:3" ht="13.45" x14ac:dyDescent="0.25">
      <c r="C917" s="18"/>
    </row>
    <row r="918" spans="3:3" ht="13.45" x14ac:dyDescent="0.25">
      <c r="C918" s="18"/>
    </row>
    <row r="919" spans="3:3" ht="13.45" x14ac:dyDescent="0.25">
      <c r="C919" s="18"/>
    </row>
    <row r="920" spans="3:3" ht="13.45" x14ac:dyDescent="0.25">
      <c r="C920" s="18"/>
    </row>
    <row r="921" spans="3:3" ht="13.45" x14ac:dyDescent="0.25">
      <c r="C921" s="18"/>
    </row>
    <row r="922" spans="3:3" ht="13.45" x14ac:dyDescent="0.25">
      <c r="C922" s="18"/>
    </row>
    <row r="923" spans="3:3" ht="13.45" x14ac:dyDescent="0.25">
      <c r="C923" s="18"/>
    </row>
    <row r="924" spans="3:3" ht="13.45" x14ac:dyDescent="0.25">
      <c r="C924" s="18"/>
    </row>
    <row r="925" spans="3:3" ht="13.45" x14ac:dyDescent="0.25">
      <c r="C925" s="18"/>
    </row>
    <row r="926" spans="3:3" ht="13.45" x14ac:dyDescent="0.25">
      <c r="C926" s="18"/>
    </row>
    <row r="927" spans="3:3" ht="13.45" x14ac:dyDescent="0.25">
      <c r="C927" s="18"/>
    </row>
    <row r="928" spans="3:3" ht="13.45" x14ac:dyDescent="0.25">
      <c r="C928" s="18"/>
    </row>
    <row r="929" spans="3:3" ht="13.45" x14ac:dyDescent="0.25">
      <c r="C929" s="18"/>
    </row>
    <row r="930" spans="3:3" ht="13.45" x14ac:dyDescent="0.25">
      <c r="C930" s="18"/>
    </row>
    <row r="931" spans="3:3" ht="13.45" x14ac:dyDescent="0.25">
      <c r="C931" s="18"/>
    </row>
    <row r="932" spans="3:3" ht="13.45" x14ac:dyDescent="0.25">
      <c r="C932" s="18"/>
    </row>
    <row r="933" spans="3:3" ht="13.45" x14ac:dyDescent="0.25">
      <c r="C933" s="18"/>
    </row>
    <row r="934" spans="3:3" ht="13.45" x14ac:dyDescent="0.25">
      <c r="C934" s="18"/>
    </row>
    <row r="935" spans="3:3" ht="13.45" x14ac:dyDescent="0.25">
      <c r="C935" s="18"/>
    </row>
    <row r="936" spans="3:3" ht="13.45" x14ac:dyDescent="0.25">
      <c r="C936" s="18"/>
    </row>
    <row r="937" spans="3:3" ht="13.45" x14ac:dyDescent="0.25">
      <c r="C937" s="18"/>
    </row>
    <row r="938" spans="3:3" ht="13.45" x14ac:dyDescent="0.25">
      <c r="C938" s="18"/>
    </row>
    <row r="939" spans="3:3" ht="13.45" x14ac:dyDescent="0.25">
      <c r="C939" s="18"/>
    </row>
    <row r="940" spans="3:3" ht="13.45" x14ac:dyDescent="0.25">
      <c r="C940" s="18"/>
    </row>
    <row r="941" spans="3:3" ht="13.45" x14ac:dyDescent="0.25">
      <c r="C941" s="18"/>
    </row>
    <row r="942" spans="3:3" ht="13.45" x14ac:dyDescent="0.25">
      <c r="C942" s="18"/>
    </row>
    <row r="943" spans="3:3" ht="13.45" x14ac:dyDescent="0.25">
      <c r="C943" s="18"/>
    </row>
    <row r="944" spans="3:3" ht="13.45" x14ac:dyDescent="0.25">
      <c r="C944" s="18"/>
    </row>
    <row r="945" spans="3:3" ht="13.45" x14ac:dyDescent="0.25">
      <c r="C945" s="18"/>
    </row>
    <row r="946" spans="3:3" ht="13.45" x14ac:dyDescent="0.25">
      <c r="C946" s="18"/>
    </row>
    <row r="947" spans="3:3" ht="13.45" x14ac:dyDescent="0.25">
      <c r="C947" s="18"/>
    </row>
    <row r="948" spans="3:3" ht="13.45" x14ac:dyDescent="0.25">
      <c r="C948" s="18"/>
    </row>
    <row r="949" spans="3:3" ht="13.45" x14ac:dyDescent="0.25">
      <c r="C949" s="18"/>
    </row>
    <row r="950" spans="3:3" ht="13.45" x14ac:dyDescent="0.25">
      <c r="C950" s="18"/>
    </row>
    <row r="951" spans="3:3" ht="13.45" x14ac:dyDescent="0.25">
      <c r="C951" s="18"/>
    </row>
    <row r="952" spans="3:3" ht="13.45" x14ac:dyDescent="0.25">
      <c r="C952" s="18"/>
    </row>
    <row r="953" spans="3:3" ht="13.45" x14ac:dyDescent="0.25">
      <c r="C953" s="18"/>
    </row>
    <row r="954" spans="3:3" ht="13.45" x14ac:dyDescent="0.25">
      <c r="C954" s="18"/>
    </row>
    <row r="955" spans="3:3" ht="13.45" x14ac:dyDescent="0.25">
      <c r="C955" s="18"/>
    </row>
    <row r="956" spans="3:3" ht="13.45" x14ac:dyDescent="0.25">
      <c r="C956" s="18"/>
    </row>
    <row r="957" spans="3:3" ht="13.45" x14ac:dyDescent="0.25">
      <c r="C957" s="18"/>
    </row>
    <row r="958" spans="3:3" ht="13.45" x14ac:dyDescent="0.25">
      <c r="C958" s="18"/>
    </row>
    <row r="959" spans="3:3" ht="13.45" x14ac:dyDescent="0.25">
      <c r="C959" s="18"/>
    </row>
    <row r="960" spans="3:3" ht="13.45" x14ac:dyDescent="0.25">
      <c r="C960" s="18"/>
    </row>
    <row r="961" spans="3:3" ht="13.45" x14ac:dyDescent="0.25">
      <c r="C961" s="18"/>
    </row>
    <row r="962" spans="3:3" ht="13.45" x14ac:dyDescent="0.25">
      <c r="C962" s="18"/>
    </row>
    <row r="963" spans="3:3" ht="13.45" x14ac:dyDescent="0.25">
      <c r="C963" s="18"/>
    </row>
    <row r="964" spans="3:3" ht="13.45" x14ac:dyDescent="0.25">
      <c r="C964" s="18"/>
    </row>
    <row r="965" spans="3:3" ht="13.45" x14ac:dyDescent="0.25">
      <c r="C965" s="18"/>
    </row>
    <row r="966" spans="3:3" ht="13.45" x14ac:dyDescent="0.25">
      <c r="C966" s="18"/>
    </row>
    <row r="967" spans="3:3" ht="13.45" x14ac:dyDescent="0.25">
      <c r="C967" s="18"/>
    </row>
    <row r="968" spans="3:3" ht="13.45" x14ac:dyDescent="0.25">
      <c r="C968" s="18"/>
    </row>
    <row r="969" spans="3:3" ht="13.45" x14ac:dyDescent="0.25">
      <c r="C969" s="18"/>
    </row>
    <row r="970" spans="3:3" ht="13.45" x14ac:dyDescent="0.25">
      <c r="C970" s="18"/>
    </row>
    <row r="971" spans="3:3" ht="13.45" x14ac:dyDescent="0.25">
      <c r="C971" s="18"/>
    </row>
    <row r="972" spans="3:3" ht="13.45" x14ac:dyDescent="0.25">
      <c r="C972" s="18"/>
    </row>
    <row r="973" spans="3:3" ht="13.45" x14ac:dyDescent="0.25">
      <c r="C973" s="18"/>
    </row>
    <row r="974" spans="3:3" ht="13.45" x14ac:dyDescent="0.25">
      <c r="C974" s="18"/>
    </row>
    <row r="975" spans="3:3" ht="13.45" x14ac:dyDescent="0.25">
      <c r="C975" s="18"/>
    </row>
    <row r="976" spans="3:3" ht="13.45" x14ac:dyDescent="0.25">
      <c r="C976" s="18"/>
    </row>
    <row r="977" spans="3:3" ht="13.45" x14ac:dyDescent="0.25">
      <c r="C977" s="18"/>
    </row>
    <row r="978" spans="3:3" ht="13.45" x14ac:dyDescent="0.25">
      <c r="C978" s="18"/>
    </row>
    <row r="979" spans="3:3" ht="13.45" x14ac:dyDescent="0.25">
      <c r="C979" s="18"/>
    </row>
    <row r="980" spans="3:3" ht="13.45" x14ac:dyDescent="0.25">
      <c r="C980" s="18"/>
    </row>
    <row r="981" spans="3:3" ht="13.45" x14ac:dyDescent="0.25">
      <c r="C981" s="18"/>
    </row>
    <row r="982" spans="3:3" ht="13.45" x14ac:dyDescent="0.25">
      <c r="C982" s="18"/>
    </row>
    <row r="983" spans="3:3" ht="13.45" x14ac:dyDescent="0.25">
      <c r="C983" s="18"/>
    </row>
    <row r="984" spans="3:3" ht="13.45" x14ac:dyDescent="0.25">
      <c r="C984" s="18"/>
    </row>
    <row r="985" spans="3:3" ht="13.45" x14ac:dyDescent="0.25">
      <c r="C985" s="18"/>
    </row>
    <row r="986" spans="3:3" ht="13.45" x14ac:dyDescent="0.25">
      <c r="C986" s="18"/>
    </row>
    <row r="987" spans="3:3" ht="13.45" x14ac:dyDescent="0.25">
      <c r="C987" s="18"/>
    </row>
    <row r="988" spans="3:3" ht="13.45" x14ac:dyDescent="0.25">
      <c r="C988" s="18"/>
    </row>
    <row r="989" spans="3:3" ht="13.45" x14ac:dyDescent="0.25">
      <c r="C989" s="18"/>
    </row>
    <row r="990" spans="3:3" ht="13.45" x14ac:dyDescent="0.25">
      <c r="C990" s="18"/>
    </row>
    <row r="991" spans="3:3" ht="13.45" x14ac:dyDescent="0.25">
      <c r="C991" s="18"/>
    </row>
    <row r="992" spans="3:3" ht="13.45" x14ac:dyDescent="0.25">
      <c r="C992" s="18"/>
    </row>
    <row r="993" spans="3:3" ht="13.45" x14ac:dyDescent="0.25">
      <c r="C993" s="18"/>
    </row>
    <row r="994" spans="3:3" ht="13.45" x14ac:dyDescent="0.25">
      <c r="C994" s="18"/>
    </row>
    <row r="995" spans="3:3" ht="13.45" x14ac:dyDescent="0.25">
      <c r="C995" s="18"/>
    </row>
    <row r="996" spans="3:3" ht="13.45" x14ac:dyDescent="0.25">
      <c r="C996" s="18"/>
    </row>
    <row r="997" spans="3:3" ht="13.45" x14ac:dyDescent="0.25">
      <c r="C997" s="18"/>
    </row>
    <row r="998" spans="3:3" ht="13.45" x14ac:dyDescent="0.25">
      <c r="C998" s="18"/>
    </row>
    <row r="999" spans="3:3" ht="13.45" x14ac:dyDescent="0.25">
      <c r="C999" s="18"/>
    </row>
  </sheetData>
  <pageMargins left="0.51180555555555596" right="0.51180555555555596" top="0.78749999999999998" bottom="0.78749999999999998" header="0.511811023622047" footer="0.511811023622047"/>
  <pageSetup paperSize="9" orientation="portrait" horizontalDpi="300" verticalDpi="30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08B47005C0B5F5468642F01F48795FD6" ma:contentTypeVersion="12" ma:contentTypeDescription="Crie um novo documento." ma:contentTypeScope="" ma:versionID="def08e67174b7d7b019569d69002aa1e">
  <xsd:schema xmlns:xsd="http://www.w3.org/2001/XMLSchema" xmlns:xs="http://www.w3.org/2001/XMLSchema" xmlns:p="http://schemas.microsoft.com/office/2006/metadata/properties" xmlns:ns2="c0efc4bd-bd96-4442-bafc-ca445799e263" xmlns:ns3="d73bcdf9-7a87-4644-bd59-774387687ef8" targetNamespace="http://schemas.microsoft.com/office/2006/metadata/properties" ma:root="true" ma:fieldsID="7da49674e6f789a6f5626f2f2d8ef293" ns2:_="" ns3:_="">
    <xsd:import namespace="c0efc4bd-bd96-4442-bafc-ca445799e263"/>
    <xsd:import namespace="d73bcdf9-7a87-4644-bd59-774387687ef8"/>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element ref="ns2:MediaLengthInSeconds"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0efc4bd-bd96-4442-bafc-ca445799e26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lcf76f155ced4ddcb4097134ff3c332f" ma:index="12" nillable="true" ma:taxonomy="true" ma:internalName="lcf76f155ced4ddcb4097134ff3c332f" ma:taxonomyFieldName="MediaServiceImageTags" ma:displayName="Marcações de imagem" ma:readOnly="false" ma:fieldId="{5cf76f15-5ced-4ddc-b409-7134ff3c332f}" ma:taxonomyMulti="true" ma:sspId="8e3ffeb7-1cf1-4f01-a4c3-69673d4b847c" ma:termSetId="09814cd3-568e-fe90-9814-8d621ff8fb84" ma:anchorId="fba54fb3-c3e1-fe81-a776-ca4b69148c4d" ma:open="true" ma:isKeyword="false">
      <xsd:complexType>
        <xsd:sequence>
          <xsd:element ref="pc:Terms" minOccurs="0" maxOccurs="1"/>
        </xsd:sequence>
      </xsd:complexType>
    </xsd:element>
    <xsd:element name="MediaServiceDateTaken" ma:index="14" nillable="true" ma:displayName="MediaServiceDateTaken" ma:hidden="true" ma:indexed="true" ma:internalName="MediaServiceDateTaken"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LengthInSeconds" ma:index="18" nillable="true" ma:displayName="MediaLengthInSeconds" ma:hidden="true" ma:internalName="MediaLengthInSeconds" ma:readOnly="true">
      <xsd:simpleType>
        <xsd:restriction base="dms:Unknown"/>
      </xsd:simpleType>
    </xsd:element>
    <xsd:element name="MediaServiceLocation" ma:index="19"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73bcdf9-7a87-4644-bd59-774387687ef8" elementFormDefault="qualified">
    <xsd:import namespace="http://schemas.microsoft.com/office/2006/documentManagement/types"/>
    <xsd:import namespace="http://schemas.microsoft.com/office/infopath/2007/PartnerControls"/>
    <xsd:element name="TaxCatchAll" ma:index="13" nillable="true" ma:displayName="Taxonomy Catch All Column" ma:hidden="true" ma:list="{1dd938de-25d3-4f56-a6da-8ccb2bd4550f}" ma:internalName="TaxCatchAll" ma:showField="CatchAllData" ma:web="d73bcdf9-7a87-4644-bd59-774387687ef8">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ú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d73bcdf9-7a87-4644-bd59-774387687ef8" xsi:nil="true"/>
    <lcf76f155ced4ddcb4097134ff3c332f xmlns="c0efc4bd-bd96-4442-bafc-ca445799e263">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7466A096-F058-4C1C-8AE4-BF343DF98D5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0efc4bd-bd96-4442-bafc-ca445799e263"/>
    <ds:schemaRef ds:uri="d73bcdf9-7a87-4644-bd59-774387687ef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68829D1-53AA-4AA1-B376-528FA822749D}">
  <ds:schemaRefs>
    <ds:schemaRef ds:uri="http://schemas.microsoft.com/sharepoint/v3/contenttype/forms"/>
  </ds:schemaRefs>
</ds:datastoreItem>
</file>

<file path=customXml/itemProps3.xml><?xml version="1.0" encoding="utf-8"?>
<ds:datastoreItem xmlns:ds="http://schemas.openxmlformats.org/officeDocument/2006/customXml" ds:itemID="{DB5C0720-EF33-4545-B29A-4DCD1E8E97A9}">
  <ds:schemaRefs>
    <ds:schemaRef ds:uri="http://www.w3.org/XML/1998/namespace"/>
    <ds:schemaRef ds:uri="http://purl.org/dc/elements/1.1/"/>
    <ds:schemaRef ds:uri="http://schemas.microsoft.com/office/2006/metadata/properties"/>
    <ds:schemaRef ds:uri="http://schemas.microsoft.com/office/2006/documentManagement/types"/>
    <ds:schemaRef ds:uri="http://schemas.microsoft.com/office/infopath/2007/PartnerControls"/>
    <ds:schemaRef ds:uri="http://purl.org/dc/terms/"/>
    <ds:schemaRef ds:uri="http://schemas.openxmlformats.org/package/2006/metadata/core-properties"/>
    <ds:schemaRef ds:uri="d73bcdf9-7a87-4644-bd59-774387687ef8"/>
    <ds:schemaRef ds:uri="c0efc4bd-bd96-4442-bafc-ca445799e263"/>
    <ds:schemaRef ds:uri="http://purl.org/dc/dcmitype/"/>
  </ds:schemaRefs>
</ds:datastoreItem>
</file>

<file path=docProps/app.xml><?xml version="1.0" encoding="utf-8"?>
<Properties xmlns="http://schemas.openxmlformats.org/officeDocument/2006/extended-properties" xmlns:vt="http://schemas.openxmlformats.org/officeDocument/2006/docPropsVTypes">
  <Template/>
  <TotalTime>2172</TotalTime>
  <Application>Microsoft Excel</Application>
  <DocSecurity>0</DocSecurity>
  <ScaleCrop>false</ScaleCrop>
  <HeadingPairs>
    <vt:vector size="4" baseType="variant">
      <vt:variant>
        <vt:lpstr>Planilhas</vt:lpstr>
      </vt:variant>
      <vt:variant>
        <vt:i4>47</vt:i4>
      </vt:variant>
      <vt:variant>
        <vt:lpstr>Intervalos Nomeados</vt:lpstr>
      </vt:variant>
      <vt:variant>
        <vt:i4>1</vt:i4>
      </vt:variant>
    </vt:vector>
  </HeadingPairs>
  <TitlesOfParts>
    <vt:vector size="48" baseType="lpstr">
      <vt:lpstr>Mapa da Corregedoria</vt:lpstr>
      <vt:lpstr>Justiça em Numeros CNJ</vt:lpstr>
      <vt:lpstr>Tabela dinâmica </vt:lpstr>
      <vt:lpstr>Secretaria Administrativa</vt:lpstr>
      <vt:lpstr>Diretoria do Foro</vt:lpstr>
      <vt:lpstr>Ordem de Preferência </vt:lpstr>
      <vt:lpstr>Cargos vagos</vt:lpstr>
      <vt:lpstr>Cedidos</vt:lpstr>
      <vt:lpstr>SIGLAS CARGOS</vt:lpstr>
      <vt:lpstr>PROJEÇÃO APOSENTADORIAS</vt:lpstr>
      <vt:lpstr>Turmas Recursais</vt:lpstr>
      <vt:lpstr>TR1</vt:lpstr>
      <vt:lpstr>TR2</vt:lpstr>
      <vt:lpstr>TR3</vt:lpstr>
      <vt:lpstr>1ªVara</vt:lpstr>
      <vt:lpstr>2ªVara</vt:lpstr>
      <vt:lpstr>3ªVara</vt:lpstr>
      <vt:lpstr>4ªVara</vt:lpstr>
      <vt:lpstr>5ªVara</vt:lpstr>
      <vt:lpstr>6ªVara</vt:lpstr>
      <vt:lpstr>7ªVara</vt:lpstr>
      <vt:lpstr>8ªVara</vt:lpstr>
      <vt:lpstr>9ªVara</vt:lpstr>
      <vt:lpstr>10ªVara</vt:lpstr>
      <vt:lpstr>11ªVara</vt:lpstr>
      <vt:lpstr>12ªVara</vt:lpstr>
      <vt:lpstr>13ªVara</vt:lpstr>
      <vt:lpstr>14ªVara</vt:lpstr>
      <vt:lpstr>Subseção de Limoeiro do Norte</vt:lpstr>
      <vt:lpstr>Subseção de Juazeiro do Norte</vt:lpstr>
      <vt:lpstr>20ªVara</vt:lpstr>
      <vt:lpstr>21ªVara</vt:lpstr>
      <vt:lpstr>Subseção de Crateús</vt:lpstr>
      <vt:lpstr>23ªVara - Subseção de Quixadá</vt:lpstr>
      <vt:lpstr>24ªVara - Subseção de Tauá</vt:lpstr>
      <vt:lpstr>25ªVara - Subseção de Iguatu</vt:lpstr>
      <vt:lpstr>Subseção de Sobral</vt:lpstr>
      <vt:lpstr>26ªVara</vt:lpstr>
      <vt:lpstr>27ªVara - Subseção de Itapipoca</vt:lpstr>
      <vt:lpstr>28ªVara</vt:lpstr>
      <vt:lpstr>32ªVara</vt:lpstr>
      <vt:lpstr>33ªVara</vt:lpstr>
      <vt:lpstr>Subseção de Maracanaú</vt:lpstr>
      <vt:lpstr>Estrutura Administrativa</vt:lpstr>
      <vt:lpstr>Equalização força de trabalho</vt:lpstr>
      <vt:lpstr>DASHBOARD</vt:lpstr>
      <vt:lpstr>BASE DE DADOS</vt:lpstr>
      <vt:lpstr>'10ªVara'!Z_FEEF10B1_DE58_4248_8247_DFA07719E9D9_.wvu.FilterData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soniaduarte</dc:creator>
  <dc:description/>
  <cp:lastModifiedBy>Cesar Macieira</cp:lastModifiedBy>
  <cp:revision>34</cp:revision>
  <cp:lastPrinted>2025-07-02T15:13:12Z</cp:lastPrinted>
  <dcterms:created xsi:type="dcterms:W3CDTF">2018-05-08T16:21:32Z</dcterms:created>
  <dcterms:modified xsi:type="dcterms:W3CDTF">2025-07-16T19:17:14Z</dcterms:modified>
  <dc:language>pt-BR</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0x01010008B47005C0B5F5468642F01F48795FD6</vt:lpwstr>
  </property>
</Properties>
</file>