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e05b7578e54c8d/Documentos/UNIVERSIDAD/5TO_SEMESTRE/PROCESOS_UNITARIOS/"/>
    </mc:Choice>
  </mc:AlternateContent>
  <xr:revisionPtr revIDLastSave="14" documentId="8_{B07724D9-D315-4A9D-A662-6027B14A8132}" xr6:coauthVersionLast="47" xr6:coauthVersionMax="47" xr10:uidLastSave="{DF93556A-139B-4D34-86BA-B7AC0F8A07A4}"/>
  <bookViews>
    <workbookView xWindow="-108" yWindow="-108" windowWidth="23256" windowHeight="13176" xr2:uid="{E6D82FC7-3804-44CD-B27D-77E9852229C0}"/>
  </bookViews>
  <sheets>
    <sheet name="MAPA TOPOGRAFICO" sheetId="1" r:id="rId1"/>
    <sheet name="PERDIDAS" sheetId="2" r:id="rId2"/>
    <sheet name="REYNOLDS" sheetId="4" r:id="rId3"/>
    <sheet name="SERIE Y PARALELO" sheetId="3" r:id="rId4"/>
    <sheet name="BOMBAS HIDRAULICAS" sheetId="8" r:id="rId5"/>
    <sheet name="TABLAS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8" l="1"/>
  <c r="C21" i="8"/>
  <c r="C15" i="8"/>
  <c r="C14" i="8"/>
  <c r="C9" i="8"/>
  <c r="C10" i="8" s="1"/>
  <c r="C6" i="8"/>
  <c r="C7" i="8" s="1"/>
  <c r="C4" i="8"/>
  <c r="C3" i="8" s="1"/>
  <c r="F29" i="1"/>
  <c r="F28" i="1"/>
  <c r="F27" i="1"/>
  <c r="F26" i="1"/>
  <c r="R47" i="1" s="1"/>
  <c r="F25" i="1"/>
  <c r="M47" i="1" s="1"/>
  <c r="F24" i="1"/>
  <c r="H47" i="1" s="1"/>
  <c r="F23" i="1"/>
  <c r="C47" i="1" s="1"/>
  <c r="I96" i="1"/>
  <c r="I98" i="1"/>
  <c r="I95" i="1"/>
  <c r="I97" i="1"/>
  <c r="I94" i="1"/>
  <c r="J82" i="1"/>
  <c r="J81" i="1"/>
  <c r="H81" i="1"/>
  <c r="H80" i="1"/>
  <c r="AD50" i="1" a="1"/>
  <c r="Y50" i="1" a="1"/>
  <c r="H109" i="1" a="1"/>
  <c r="AG72" i="1" a="1"/>
  <c r="AB72" i="1" a="1"/>
  <c r="W72" i="1" a="1"/>
  <c r="H84" i="1" a="1"/>
  <c r="AD50" i="1" l="1"/>
  <c r="Y50" i="1"/>
  <c r="H109" i="1"/>
  <c r="AG72" i="1"/>
  <c r="AB72" i="1"/>
  <c r="W72" i="1"/>
  <c r="I100" i="1"/>
  <c r="H84" i="1"/>
  <c r="H85" i="1" s="1"/>
  <c r="C17" i="1"/>
  <c r="C84" i="1" s="1"/>
  <c r="AH60" i="1"/>
  <c r="AH61" i="1"/>
  <c r="AH59" i="1"/>
  <c r="AG48" i="1"/>
  <c r="AI47" i="1"/>
  <c r="AI46" i="1"/>
  <c r="AC61" i="1"/>
  <c r="AC59" i="1"/>
  <c r="AB48" i="1"/>
  <c r="AD47" i="1"/>
  <c r="AD46" i="1"/>
  <c r="X61" i="1"/>
  <c r="X59" i="1"/>
  <c r="W48" i="1"/>
  <c r="Y47" i="1"/>
  <c r="Y46" i="1"/>
  <c r="S60" i="1"/>
  <c r="N61" i="1"/>
  <c r="N62" i="1"/>
  <c r="S62" i="1"/>
  <c r="S61" i="1"/>
  <c r="S59" i="1"/>
  <c r="R48" i="1"/>
  <c r="T47" i="1"/>
  <c r="T46" i="1"/>
  <c r="C46" i="1"/>
  <c r="R46" i="1" s="1"/>
  <c r="H48" i="1"/>
  <c r="M48" i="1"/>
  <c r="N59" i="1"/>
  <c r="O47" i="1"/>
  <c r="O46" i="1"/>
  <c r="D60" i="1"/>
  <c r="I62" i="1"/>
  <c r="I61" i="1"/>
  <c r="I59" i="1"/>
  <c r="I60" i="1"/>
  <c r="D62" i="1"/>
  <c r="D61" i="1"/>
  <c r="D59" i="1"/>
  <c r="E46" i="1"/>
  <c r="J46" i="1" s="1"/>
  <c r="H86" i="1" a="1"/>
  <c r="H87" i="1" a="1"/>
  <c r="R49" i="1" a="1"/>
  <c r="AB49" i="1" a="1"/>
  <c r="AG49" i="1" a="1"/>
  <c r="W49" i="1" a="1"/>
  <c r="C85" i="1" l="1"/>
  <c r="C86" i="1" s="1"/>
  <c r="H87" i="1"/>
  <c r="H86" i="1"/>
  <c r="C80" i="1"/>
  <c r="D80" i="1" s="1"/>
  <c r="D81" i="1" s="1"/>
  <c r="C82" i="1"/>
  <c r="I64" i="1"/>
  <c r="S64" i="1"/>
  <c r="AB46" i="1"/>
  <c r="AH63" i="1"/>
  <c r="W46" i="1"/>
  <c r="AG46" i="1"/>
  <c r="AG49" i="1"/>
  <c r="AG50" i="1" s="1"/>
  <c r="AB49" i="1"/>
  <c r="AB50" i="1" s="1"/>
  <c r="W49" i="1"/>
  <c r="M46" i="1"/>
  <c r="H46" i="1"/>
  <c r="R49" i="1"/>
  <c r="R50" i="1" s="1"/>
  <c r="D64" i="1"/>
  <c r="E47" i="1"/>
  <c r="J47" i="1" s="1"/>
  <c r="T70" i="2" a="1"/>
  <c r="AG52" i="1" a="1"/>
  <c r="AB51" i="1" a="1"/>
  <c r="R51" i="1" a="1"/>
  <c r="H49" i="1" a="1"/>
  <c r="AG51" i="1" a="1"/>
  <c r="AB52" i="1" a="1"/>
  <c r="R52" i="1" a="1"/>
  <c r="C49" i="1" a="1"/>
  <c r="H88" i="1" a="1"/>
  <c r="H89" i="1" a="1"/>
  <c r="D82" i="1" l="1"/>
  <c r="D83" i="1" s="1"/>
  <c r="D84" i="1" s="1"/>
  <c r="D85" i="1" s="1"/>
  <c r="C87" i="1"/>
  <c r="H82" i="1" s="1"/>
  <c r="H89" i="1"/>
  <c r="H88" i="1"/>
  <c r="W50" i="1"/>
  <c r="AG51" i="1"/>
  <c r="AG52" i="1"/>
  <c r="AB52" i="1"/>
  <c r="AB51" i="1"/>
  <c r="R52" i="1"/>
  <c r="R51" i="1"/>
  <c r="H49" i="1"/>
  <c r="H50" i="1" s="1"/>
  <c r="C49" i="1"/>
  <c r="C50" i="1" s="1"/>
  <c r="T70" i="2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3" i="6"/>
  <c r="S58" i="2"/>
  <c r="S75" i="2"/>
  <c r="U118" i="2"/>
  <c r="U115" i="2"/>
  <c r="C117" i="2"/>
  <c r="S72" i="2"/>
  <c r="S70" i="2"/>
  <c r="S71" i="2"/>
  <c r="G76" i="3"/>
  <c r="I75" i="3" s="1"/>
  <c r="S29" i="2"/>
  <c r="G77" i="3"/>
  <c r="H50" i="3"/>
  <c r="H47" i="3"/>
  <c r="H48" i="3"/>
  <c r="H46" i="3"/>
  <c r="F47" i="3"/>
  <c r="F48" i="3"/>
  <c r="F46" i="3"/>
  <c r="E47" i="3"/>
  <c r="E48" i="3"/>
  <c r="E46" i="3"/>
  <c r="Y116" i="2"/>
  <c r="X116" i="2"/>
  <c r="X114" i="2"/>
  <c r="X113" i="2"/>
  <c r="X112" i="2"/>
  <c r="X111" i="2"/>
  <c r="X109" i="2"/>
  <c r="X106" i="2"/>
  <c r="X107" i="2"/>
  <c r="X105" i="2"/>
  <c r="X104" i="2"/>
  <c r="U116" i="2"/>
  <c r="U107" i="2"/>
  <c r="U106" i="2"/>
  <c r="U113" i="2"/>
  <c r="U112" i="2"/>
  <c r="U111" i="2"/>
  <c r="U110" i="2"/>
  <c r="U109" i="2"/>
  <c r="U108" i="2"/>
  <c r="U104" i="2"/>
  <c r="V74" i="2"/>
  <c r="V72" i="2"/>
  <c r="V71" i="2"/>
  <c r="V70" i="2"/>
  <c r="C158" i="2"/>
  <c r="V66" i="2"/>
  <c r="V67" i="2"/>
  <c r="V65" i="2"/>
  <c r="V64" i="2"/>
  <c r="V63" i="2"/>
  <c r="V62" i="2"/>
  <c r="V61" i="2"/>
  <c r="V60" i="2"/>
  <c r="V59" i="2"/>
  <c r="V58" i="2"/>
  <c r="S62" i="2"/>
  <c r="S64" i="2" s="1"/>
  <c r="S61" i="2"/>
  <c r="S63" i="2" s="1"/>
  <c r="S60" i="2"/>
  <c r="S59" i="2"/>
  <c r="S31" i="2"/>
  <c r="S20" i="2"/>
  <c r="V15" i="2"/>
  <c r="U16" i="2" s="1"/>
  <c r="C159" i="2"/>
  <c r="C147" i="2"/>
  <c r="B144" i="2"/>
  <c r="C149" i="2" s="1"/>
  <c r="C116" i="2"/>
  <c r="D113" i="2"/>
  <c r="D112" i="2"/>
  <c r="C115" i="2" s="1"/>
  <c r="K82" i="2"/>
  <c r="K87" i="2"/>
  <c r="K88" i="2"/>
  <c r="K89" i="2"/>
  <c r="M87" i="2" s="1"/>
  <c r="K90" i="2"/>
  <c r="K86" i="2"/>
  <c r="H4" i="1"/>
  <c r="H5" i="1"/>
  <c r="H6" i="1"/>
  <c r="H7" i="1"/>
  <c r="H8" i="1"/>
  <c r="H9" i="1"/>
  <c r="H10" i="1"/>
  <c r="H11" i="1"/>
  <c r="D19" i="1"/>
  <c r="G3" i="1" s="1"/>
  <c r="D9" i="1"/>
  <c r="D3" i="1"/>
  <c r="D4" i="1"/>
  <c r="D5" i="1"/>
  <c r="D6" i="1"/>
  <c r="D7" i="1"/>
  <c r="D8" i="1"/>
  <c r="D10" i="1"/>
  <c r="W61" i="2" a="1"/>
  <c r="AB53" i="1" a="1"/>
  <c r="S21" i="2" a="1"/>
  <c r="AG54" i="1" a="1"/>
  <c r="E76" i="3" a="1"/>
  <c r="V115" i="2" a="1"/>
  <c r="R53" i="1" a="1"/>
  <c r="R54" i="1" a="1"/>
  <c r="W52" i="1" a="1"/>
  <c r="AB54" i="1" a="1"/>
  <c r="C51" i="1" a="1"/>
  <c r="W51" i="1" a="1"/>
  <c r="H52" i="1" a="1"/>
  <c r="T76" i="2" a="1"/>
  <c r="V119" i="2" a="1"/>
  <c r="S76" i="2" a="1"/>
  <c r="E77" i="3" a="1"/>
  <c r="H51" i="1" a="1"/>
  <c r="C52" i="1" a="1"/>
  <c r="V118" i="2" a="1"/>
  <c r="V116" i="2" a="1"/>
  <c r="D117" i="2" a="1"/>
  <c r="V16" i="2" a="1"/>
  <c r="AG53" i="1" a="1"/>
  <c r="F6" i="1" l="1"/>
  <c r="G7" i="1" s="1"/>
  <c r="F7" i="1"/>
  <c r="G8" i="1" s="1"/>
  <c r="F3" i="1"/>
  <c r="G4" i="1" s="1"/>
  <c r="F9" i="1"/>
  <c r="G10" i="1" s="1"/>
  <c r="W52" i="1"/>
  <c r="W51" i="1"/>
  <c r="AG53" i="1"/>
  <c r="AG54" i="1"/>
  <c r="AB53" i="1"/>
  <c r="AB54" i="1"/>
  <c r="F8" i="1"/>
  <c r="G9" i="1" s="1"/>
  <c r="C27" i="1" s="1"/>
  <c r="F5" i="1"/>
  <c r="G6" i="1" s="1"/>
  <c r="C25" i="1" s="1"/>
  <c r="F10" i="1"/>
  <c r="G11" i="1" s="1"/>
  <c r="G12" i="1" s="1"/>
  <c r="F4" i="1"/>
  <c r="G5" i="1" s="1"/>
  <c r="C23" i="1" s="1"/>
  <c r="R54" i="1"/>
  <c r="R53" i="1"/>
  <c r="H52" i="1"/>
  <c r="D13" i="1"/>
  <c r="D14" i="1"/>
  <c r="H51" i="1"/>
  <c r="C52" i="1"/>
  <c r="C51" i="1"/>
  <c r="J99" i="1" s="1"/>
  <c r="C26" i="1"/>
  <c r="S21" i="2"/>
  <c r="S23" i="2" s="1"/>
  <c r="V16" i="2"/>
  <c r="S76" i="2"/>
  <c r="T76" i="2"/>
  <c r="V115" i="2"/>
  <c r="V116" i="2"/>
  <c r="V119" i="2"/>
  <c r="V118" i="2"/>
  <c r="D117" i="2"/>
  <c r="C119" i="2"/>
  <c r="S73" i="2"/>
  <c r="E77" i="3"/>
  <c r="E76" i="3"/>
  <c r="W61" i="2"/>
  <c r="U119" i="2"/>
  <c r="M86" i="2"/>
  <c r="J92" i="2" s="1"/>
  <c r="J93" i="2" s="1"/>
  <c r="J95" i="2" s="1"/>
  <c r="J97" i="2" s="1"/>
  <c r="S24" i="2"/>
  <c r="S25" i="2" s="1"/>
  <c r="S22" i="2"/>
  <c r="C151" i="2"/>
  <c r="S66" i="2"/>
  <c r="S68" i="2" s="1"/>
  <c r="S65" i="2"/>
  <c r="S67" i="2" s="1"/>
  <c r="C53" i="1" a="1"/>
  <c r="E27" i="1" a="1"/>
  <c r="W54" i="1" a="1"/>
  <c r="E23" i="1" a="1"/>
  <c r="C54" i="1" a="1"/>
  <c r="H54" i="1" a="1"/>
  <c r="W53" i="1" a="1"/>
  <c r="H53" i="1" a="1"/>
  <c r="E26" i="1" a="1"/>
  <c r="E25" i="1" a="1"/>
  <c r="J98" i="1" l="1"/>
  <c r="J95" i="1"/>
  <c r="J96" i="1"/>
  <c r="J94" i="1"/>
  <c r="J97" i="1"/>
  <c r="C28" i="1"/>
  <c r="W53" i="1"/>
  <c r="W54" i="1"/>
  <c r="F11" i="1"/>
  <c r="G13" i="1" s="1"/>
  <c r="AD62" i="1"/>
  <c r="AI62" i="1"/>
  <c r="Y62" i="1"/>
  <c r="AI59" i="1"/>
  <c r="AI60" i="1"/>
  <c r="AD59" i="1"/>
  <c r="Y61" i="1"/>
  <c r="AI61" i="1"/>
  <c r="AD61" i="1"/>
  <c r="Y59" i="1"/>
  <c r="O61" i="1"/>
  <c r="C24" i="1"/>
  <c r="J48" i="1" s="1"/>
  <c r="O62" i="1"/>
  <c r="T63" i="1"/>
  <c r="T61" i="1"/>
  <c r="T62" i="1"/>
  <c r="T59" i="1"/>
  <c r="T60" i="1"/>
  <c r="C29" i="1"/>
  <c r="AG47" i="1" s="1"/>
  <c r="AI48" i="1" s="1"/>
  <c r="O63" i="1"/>
  <c r="O59" i="1"/>
  <c r="J63" i="1"/>
  <c r="J60" i="1"/>
  <c r="E63" i="1"/>
  <c r="E59" i="1"/>
  <c r="E61" i="1"/>
  <c r="E62" i="1"/>
  <c r="J59" i="1"/>
  <c r="E60" i="1"/>
  <c r="J61" i="1"/>
  <c r="J62" i="1"/>
  <c r="E27" i="1"/>
  <c r="W45" i="1" s="1"/>
  <c r="E26" i="1"/>
  <c r="R45" i="1" s="1"/>
  <c r="E23" i="1"/>
  <c r="C45" i="1" s="1"/>
  <c r="E25" i="1"/>
  <c r="M45" i="1" s="1"/>
  <c r="W47" i="1"/>
  <c r="Y48" i="1" s="1"/>
  <c r="T48" i="1"/>
  <c r="AB47" i="1"/>
  <c r="AD48" i="1" s="1"/>
  <c r="D15" i="1"/>
  <c r="O48" i="1"/>
  <c r="H54" i="1"/>
  <c r="H53" i="1"/>
  <c r="C53" i="1"/>
  <c r="C54" i="1"/>
  <c r="S26" i="2"/>
  <c r="S27" i="2" s="1"/>
  <c r="S32" i="2" s="1"/>
  <c r="U19" i="2" s="1"/>
  <c r="V19" i="2" s="1"/>
  <c r="C121" i="2"/>
  <c r="C122" i="2" s="1"/>
  <c r="J96" i="2"/>
  <c r="G154" i="2"/>
  <c r="E159" i="2"/>
  <c r="G152" i="2"/>
  <c r="O49" i="1" a="1"/>
  <c r="J49" i="1" a="1"/>
  <c r="Y49" i="1" a="1"/>
  <c r="M49" i="1" a="1"/>
  <c r="T49" i="1" a="1"/>
  <c r="J84" i="1" a="1"/>
  <c r="E28" i="1" a="1"/>
  <c r="AI49" i="1" a="1"/>
  <c r="E24" i="1" a="1"/>
  <c r="O50" i="1" a="1"/>
  <c r="AD49" i="1" a="1"/>
  <c r="E29" i="1" a="1"/>
  <c r="J100" i="1" l="1"/>
  <c r="J84" i="1"/>
  <c r="F30" i="1"/>
  <c r="D36" i="1" s="1"/>
  <c r="E28" i="1"/>
  <c r="AB45" i="1" s="1"/>
  <c r="AI49" i="1"/>
  <c r="X60" i="1"/>
  <c r="AD49" i="1"/>
  <c r="Y49" i="1"/>
  <c r="AI63" i="1"/>
  <c r="AH67" i="1" s="1"/>
  <c r="AI51" i="1" s="1"/>
  <c r="E24" i="1"/>
  <c r="H45" i="1" s="1"/>
  <c r="O50" i="1"/>
  <c r="N60" i="1" s="1"/>
  <c r="E29" i="1"/>
  <c r="T49" i="1"/>
  <c r="T64" i="1"/>
  <c r="E64" i="1"/>
  <c r="J49" i="1"/>
  <c r="O49" i="1"/>
  <c r="M49" i="1"/>
  <c r="M50" i="1" s="1"/>
  <c r="J64" i="1"/>
  <c r="E160" i="2"/>
  <c r="E161" i="2" s="1"/>
  <c r="C160" i="2"/>
  <c r="H154" i="2" a="1"/>
  <c r="H154" i="2" s="1"/>
  <c r="AB56" i="1" a="1"/>
  <c r="R55" i="1" a="1"/>
  <c r="M51" i="1" a="1"/>
  <c r="R56" i="1" a="1"/>
  <c r="AG56" i="1" a="1"/>
  <c r="AG55" i="1" a="1"/>
  <c r="E49" i="1" a="1"/>
  <c r="W56" i="1" a="1"/>
  <c r="AB55" i="1" a="1"/>
  <c r="H90" i="1" a="1"/>
  <c r="H91" i="1" a="1"/>
  <c r="H55" i="1" a="1"/>
  <c r="H56" i="1" a="1"/>
  <c r="C56" i="1" a="1"/>
  <c r="C55" i="1" a="1"/>
  <c r="W55" i="1" a="1"/>
  <c r="M52" i="1" a="1"/>
  <c r="I105" i="1" l="1"/>
  <c r="H91" i="1"/>
  <c r="H90" i="1"/>
  <c r="AC60" i="1"/>
  <c r="AG56" i="1"/>
  <c r="AG55" i="1"/>
  <c r="AB55" i="1"/>
  <c r="AB56" i="1"/>
  <c r="W56" i="1"/>
  <c r="W55" i="1"/>
  <c r="N64" i="1"/>
  <c r="O60" i="1"/>
  <c r="O64" i="1" s="1"/>
  <c r="N68" i="1" s="1"/>
  <c r="AH68" i="1"/>
  <c r="X63" i="1"/>
  <c r="Y60" i="1"/>
  <c r="Y63" i="1" s="1"/>
  <c r="X67" i="1" s="1"/>
  <c r="X68" i="1" s="1"/>
  <c r="I68" i="1"/>
  <c r="S68" i="1"/>
  <c r="S69" i="1" s="1"/>
  <c r="R56" i="1"/>
  <c r="R55" i="1"/>
  <c r="E49" i="1"/>
  <c r="M51" i="1"/>
  <c r="M52" i="1"/>
  <c r="C55" i="1"/>
  <c r="C56" i="1"/>
  <c r="D67" i="1" s="1"/>
  <c r="H56" i="1"/>
  <c r="H55" i="1"/>
  <c r="H108" i="1" a="1"/>
  <c r="M53" i="1" a="1"/>
  <c r="M54" i="1" a="1"/>
  <c r="R72" i="1" a="1"/>
  <c r="H72" i="1" a="1"/>
  <c r="C70" i="1" a="1"/>
  <c r="C70" i="1" l="1"/>
  <c r="H108" i="1"/>
  <c r="AC63" i="1"/>
  <c r="AD60" i="1"/>
  <c r="AD63" i="1" s="1"/>
  <c r="AC67" i="1" s="1"/>
  <c r="I69" i="1"/>
  <c r="R72" i="1"/>
  <c r="M54" i="1"/>
  <c r="M53" i="1"/>
  <c r="H72" i="1"/>
  <c r="M56" i="1" a="1"/>
  <c r="M55" i="1" a="1"/>
  <c r="R73" i="1" a="1"/>
  <c r="H73" i="1" a="1"/>
  <c r="C71" i="1" a="1"/>
  <c r="H73" i="1" l="1"/>
  <c r="R73" i="1"/>
  <c r="C71" i="1"/>
  <c r="AD51" i="1"/>
  <c r="AC68" i="1"/>
  <c r="M55" i="1"/>
  <c r="M56" i="1"/>
  <c r="M72" i="1" a="1"/>
  <c r="M72" i="1" l="1"/>
  <c r="N69" i="1"/>
  <c r="M73" i="1" a="1"/>
  <c r="M7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<sst xmlns="http://schemas.openxmlformats.org/spreadsheetml/2006/main" count="708" uniqueCount="418">
  <si>
    <t xml:space="preserve">Altura </t>
  </si>
  <si>
    <t>largo</t>
  </si>
  <si>
    <t>hipotenusa</t>
  </si>
  <si>
    <t>Distancia del rio</t>
  </si>
  <si>
    <t>De montaña a tierra</t>
  </si>
  <si>
    <t>Total Montaña</t>
  </si>
  <si>
    <t>Distancia</t>
  </si>
  <si>
    <t>Escala</t>
  </si>
  <si>
    <t>espacio entre tierra y rio</t>
  </si>
  <si>
    <t>Altura</t>
  </si>
  <si>
    <t>TRAMOS</t>
  </si>
  <si>
    <t>DIAMETRO DE TUBERIA EN CM</t>
  </si>
  <si>
    <t>DISTANCIA DE TUBERIAS</t>
  </si>
  <si>
    <t>PERDIDAS MENORES</t>
  </si>
  <si>
    <t>TIPOS DE VALVULAS</t>
  </si>
  <si>
    <t>COMPUERTA</t>
  </si>
  <si>
    <t>GLOBO</t>
  </si>
  <si>
    <t>BOLA</t>
  </si>
  <si>
    <t>MARIPOSA</t>
  </si>
  <si>
    <t>AGUJA</t>
  </si>
  <si>
    <t>GRADO DE APERTURA</t>
  </si>
  <si>
    <t>EL VALOR DE k INDICA EL TIPO DE SALIDA</t>
  </si>
  <si>
    <t>SE USA NORMALMENTE EL VALOR DE k = 1</t>
  </si>
  <si>
    <t>Tipos de Valvulas</t>
  </si>
  <si>
    <t>Rapidez del flujo volumetrico</t>
  </si>
  <si>
    <t>tamaño de tuberia</t>
  </si>
  <si>
    <t>Ejercicios</t>
  </si>
  <si>
    <t>Q</t>
  </si>
  <si>
    <t>material</t>
  </si>
  <si>
    <t>angulo</t>
  </si>
  <si>
    <t>diametro</t>
  </si>
  <si>
    <t>pared</t>
  </si>
  <si>
    <t>cobre</t>
  </si>
  <si>
    <t>Diametro 1</t>
  </si>
  <si>
    <t>diametro 2</t>
  </si>
  <si>
    <t xml:space="preserve">l/min </t>
  </si>
  <si>
    <t>m^3/s</t>
  </si>
  <si>
    <t>area 1</t>
  </si>
  <si>
    <t>c1</t>
  </si>
  <si>
    <t>carga de velocidad</t>
  </si>
  <si>
    <t>relacion de diametros</t>
  </si>
  <si>
    <t>interpolacion de tabla</t>
  </si>
  <si>
    <t>K</t>
  </si>
  <si>
    <t>HL</t>
  </si>
  <si>
    <t xml:space="preserve">perdida de energia </t>
  </si>
  <si>
    <t>tuberia</t>
  </si>
  <si>
    <t>dn150</t>
  </si>
  <si>
    <t>celula 40</t>
  </si>
  <si>
    <t>diametro interno</t>
  </si>
  <si>
    <t>area</t>
  </si>
  <si>
    <t>C1</t>
  </si>
  <si>
    <t>tuberia diametro interno</t>
  </si>
  <si>
    <t>caudal</t>
  </si>
  <si>
    <t>gal/mil</t>
  </si>
  <si>
    <t>1 gal</t>
  </si>
  <si>
    <t>m/s</t>
  </si>
  <si>
    <t>m^2</t>
  </si>
  <si>
    <t>m</t>
  </si>
  <si>
    <t>p1</t>
  </si>
  <si>
    <t>p2</t>
  </si>
  <si>
    <t>y</t>
  </si>
  <si>
    <t>HL = HL linea - accesorio</t>
  </si>
  <si>
    <t>Ft</t>
  </si>
  <si>
    <t>HL curva</t>
  </si>
  <si>
    <t>Re</t>
  </si>
  <si>
    <t>distancia</t>
  </si>
  <si>
    <t>bombeos</t>
  </si>
  <si>
    <t>depositos</t>
  </si>
  <si>
    <t xml:space="preserve">codos </t>
  </si>
  <si>
    <t>perdida por rozamiento</t>
  </si>
  <si>
    <t>F</t>
  </si>
  <si>
    <t>epsilon</t>
  </si>
  <si>
    <t>re</t>
  </si>
  <si>
    <t>perdida por linea</t>
  </si>
  <si>
    <t>tanque B</t>
  </si>
  <si>
    <t>tanque A</t>
  </si>
  <si>
    <t>Longitud</t>
  </si>
  <si>
    <t>gal/min</t>
  </si>
  <si>
    <t>factor</t>
  </si>
  <si>
    <t>velocidad</t>
  </si>
  <si>
    <t>carga</t>
  </si>
  <si>
    <t>acce 1</t>
  </si>
  <si>
    <t>acce 2</t>
  </si>
  <si>
    <t>acce 3</t>
  </si>
  <si>
    <t xml:space="preserve">acce4 </t>
  </si>
  <si>
    <t>acce5</t>
  </si>
  <si>
    <t>f</t>
  </si>
  <si>
    <t>Hlinea</t>
  </si>
  <si>
    <t>Hmenor</t>
  </si>
  <si>
    <t>Coeficiente de resistencia para accesorios</t>
  </si>
  <si>
    <t>Caudal</t>
  </si>
  <si>
    <t>L1</t>
  </si>
  <si>
    <t>L2</t>
  </si>
  <si>
    <t>D1</t>
  </si>
  <si>
    <t>D2</t>
  </si>
  <si>
    <t>A1</t>
  </si>
  <si>
    <t>A2</t>
  </si>
  <si>
    <t>C2</t>
  </si>
  <si>
    <t xml:space="preserve">Carga 1 </t>
  </si>
  <si>
    <t>Carga 2</t>
  </si>
  <si>
    <t>gravedad *2</t>
  </si>
  <si>
    <t>acce1</t>
  </si>
  <si>
    <t>ace2</t>
  </si>
  <si>
    <t>acc4</t>
  </si>
  <si>
    <t>acc5</t>
  </si>
  <si>
    <t>acc6</t>
  </si>
  <si>
    <t>acc3</t>
  </si>
  <si>
    <t>acc1</t>
  </si>
  <si>
    <t>acc7</t>
  </si>
  <si>
    <t>acc8</t>
  </si>
  <si>
    <t>total</t>
  </si>
  <si>
    <t>Re1</t>
  </si>
  <si>
    <t>Re2</t>
  </si>
  <si>
    <t>F2</t>
  </si>
  <si>
    <t>F1</t>
  </si>
  <si>
    <t>F1 por colebrok</t>
  </si>
  <si>
    <t>F2 por colbrok</t>
  </si>
  <si>
    <t>HL1</t>
  </si>
  <si>
    <t>HL2</t>
  </si>
  <si>
    <t>total perdidas</t>
  </si>
  <si>
    <t>eficiencia</t>
  </si>
  <si>
    <t>carga1</t>
  </si>
  <si>
    <t>carga2</t>
  </si>
  <si>
    <t>acc2</t>
  </si>
  <si>
    <t>linea 1</t>
  </si>
  <si>
    <t>linea2</t>
  </si>
  <si>
    <t>Ha</t>
  </si>
  <si>
    <t>potencia</t>
  </si>
  <si>
    <t>tramo inicial</t>
  </si>
  <si>
    <t>tramos en paralelo</t>
  </si>
  <si>
    <t>tramo final</t>
  </si>
  <si>
    <t xml:space="preserve">tramos </t>
  </si>
  <si>
    <t>longitud</t>
  </si>
  <si>
    <t>areas</t>
  </si>
  <si>
    <t>perdidas</t>
  </si>
  <si>
    <t>rama</t>
  </si>
  <si>
    <t>a</t>
  </si>
  <si>
    <t>b</t>
  </si>
  <si>
    <t>caudal total</t>
  </si>
  <si>
    <t>caudal final</t>
  </si>
  <si>
    <t>DENSIDAD</t>
  </si>
  <si>
    <t>VELOCIDAD</t>
  </si>
  <si>
    <t>DIAMETRO</t>
  </si>
  <si>
    <t>ETA</t>
  </si>
  <si>
    <t>densidad</t>
  </si>
  <si>
    <t>FORMULA DE REYNOLDS</t>
  </si>
  <si>
    <t>FLUJO LAMINAR Y TURBULENTO</t>
  </si>
  <si>
    <t xml:space="preserve">Fluido </t>
  </si>
  <si>
    <t xml:space="preserve">Gravedad específica sg </t>
  </si>
  <si>
    <t xml:space="preserve">Peso específico (kN/m³) </t>
  </si>
  <si>
    <t xml:space="preserve">Densidad p (kg/m³) </t>
  </si>
  <si>
    <t xml:space="preserve">Viscosidad dinámica η (Pa-s) </t>
  </si>
  <si>
    <t xml:space="preserve">Viscosidad cinemática P (m²/s) </t>
  </si>
  <si>
    <t xml:space="preserve">Acetona </t>
  </si>
  <si>
    <t xml:space="preserve">0.787 </t>
  </si>
  <si>
    <t xml:space="preserve">7.72 </t>
  </si>
  <si>
    <t xml:space="preserve">Alcohol, etilo </t>
  </si>
  <si>
    <t xml:space="preserve">Alcohol, metilo </t>
  </si>
  <si>
    <t xml:space="preserve">0.789 </t>
  </si>
  <si>
    <t xml:space="preserve">7.74 </t>
  </si>
  <si>
    <t xml:space="preserve">Alcohol, propilo </t>
  </si>
  <si>
    <t xml:space="preserve">0.802 </t>
  </si>
  <si>
    <t xml:space="preserve">7.87 </t>
  </si>
  <si>
    <t xml:space="preserve">Aguamarina amoniaco (25%) </t>
  </si>
  <si>
    <t xml:space="preserve">0.910 </t>
  </si>
  <si>
    <t xml:space="preserve">8.93 </t>
  </si>
  <si>
    <t>-</t>
  </si>
  <si>
    <t xml:space="preserve">Benceno </t>
  </si>
  <si>
    <t xml:space="preserve">0.876 </t>
  </si>
  <si>
    <t xml:space="preserve">8.59 </t>
  </si>
  <si>
    <t xml:space="preserve">Tetracloruro de carbono </t>
  </si>
  <si>
    <t xml:space="preserve">15.60 </t>
  </si>
  <si>
    <t xml:space="preserve">Aceite de ricino </t>
  </si>
  <si>
    <t xml:space="preserve">0.960 </t>
  </si>
  <si>
    <t xml:space="preserve">9.42 </t>
  </si>
  <si>
    <t xml:space="preserve">Etilenglicol </t>
  </si>
  <si>
    <t xml:space="preserve">10.79 </t>
  </si>
  <si>
    <t xml:space="preserve">Gasolina </t>
  </si>
  <si>
    <t xml:space="preserve">0.680 </t>
  </si>
  <si>
    <t xml:space="preserve">6.67 </t>
  </si>
  <si>
    <t xml:space="preserve">Glicerina </t>
  </si>
  <si>
    <t xml:space="preserve">12.34 </t>
  </si>
  <si>
    <t xml:space="preserve">Queroseno </t>
  </si>
  <si>
    <t xml:space="preserve">0.823 </t>
  </si>
  <si>
    <t xml:space="preserve">8.07 </t>
  </si>
  <si>
    <t xml:space="preserve">Mercurio </t>
  </si>
  <si>
    <t xml:space="preserve">13.54 </t>
  </si>
  <si>
    <t xml:space="preserve">132.8 </t>
  </si>
  <si>
    <t xml:space="preserve">Propano </t>
  </si>
  <si>
    <t xml:space="preserve">0.495 </t>
  </si>
  <si>
    <t xml:space="preserve">4.86 </t>
  </si>
  <si>
    <t xml:space="preserve">Agua de mar </t>
  </si>
  <si>
    <t xml:space="preserve">10.10 </t>
  </si>
  <si>
    <t xml:space="preserve">Aceite de oliva a 68°F (20°C) </t>
  </si>
  <si>
    <t xml:space="preserve">0.92 </t>
  </si>
  <si>
    <t xml:space="preserve">9.03 </t>
  </si>
  <si>
    <t xml:space="preserve">Miel a 70°F (21°C) </t>
  </si>
  <si>
    <t xml:space="preserve">1.42 </t>
  </si>
  <si>
    <t xml:space="preserve">13.93 </t>
  </si>
  <si>
    <t xml:space="preserve">Sangre a 78.6°F (37°C) </t>
  </si>
  <si>
    <t xml:space="preserve">1.06 </t>
  </si>
  <si>
    <t xml:space="preserve">10.20 </t>
  </si>
  <si>
    <t xml:space="preserve">Tipo de válvula / accesorio </t>
  </si>
  <si>
    <t xml:space="preserve">Longitud equivalente (Le/D) </t>
  </si>
  <si>
    <t xml:space="preserve">Válvula de globo totalmente abierta </t>
  </si>
  <si>
    <t xml:space="preserve">Válvula de ángulo totalmente abierta </t>
  </si>
  <si>
    <t xml:space="preserve">Válvula de compuerta totalmente abierta </t>
  </si>
  <si>
    <t xml:space="preserve">- abierta 3/4 </t>
  </si>
  <si>
    <t xml:space="preserve">- abierta 1/2 </t>
  </si>
  <si>
    <t xml:space="preserve">- abierta 1/4 </t>
  </si>
  <si>
    <t xml:space="preserve">Válvula de retención -tipo oscilante </t>
  </si>
  <si>
    <t xml:space="preserve">Válvula de retención-tipo bola </t>
  </si>
  <si>
    <t xml:space="preserve">Válvula de mariposa-totalmente abierta, 2-8 in </t>
  </si>
  <si>
    <t xml:space="preserve">- 10-14 in </t>
  </si>
  <si>
    <t xml:space="preserve">- 16-24 in </t>
  </si>
  <si>
    <t xml:space="preserve">Válvula de pie-tipo disco de vástago </t>
  </si>
  <si>
    <t xml:space="preserve">Válvula de pie-tipo disco de bisagras </t>
  </si>
  <si>
    <t xml:space="preserve">Codo estándar de 90° </t>
  </si>
  <si>
    <t xml:space="preserve">Codo de 90° y radio largo </t>
  </si>
  <si>
    <t xml:space="preserve">Codo de 90° para calle </t>
  </si>
  <si>
    <t xml:space="preserve">Codo estándar de 45° </t>
  </si>
  <si>
    <t xml:space="preserve">Codo de 45° para calle </t>
  </si>
  <si>
    <t xml:space="preserve">Doblez de retorno cerrado </t>
  </si>
  <si>
    <t xml:space="preserve">Te estándar -con flujo por la línea principal </t>
  </si>
  <si>
    <t xml:space="preserve">-con flujo por la ramificación </t>
  </si>
  <si>
    <t xml:space="preserve">Material de la tubería </t>
  </si>
  <si>
    <t xml:space="preserve">Rugosidad e (m) </t>
  </si>
  <si>
    <t xml:space="preserve">Rugosidad e (ft) </t>
  </si>
  <si>
    <t xml:space="preserve">Vidrio </t>
  </si>
  <si>
    <t xml:space="preserve">Liso </t>
  </si>
  <si>
    <t xml:space="preserve">Plástico </t>
  </si>
  <si>
    <t xml:space="preserve">Tubo estirado cobre, latón, acero </t>
  </si>
  <si>
    <t xml:space="preserve">Acero, comercial o soldado </t>
  </si>
  <si>
    <t xml:space="preserve">Hierro galvanizado </t>
  </si>
  <si>
    <t xml:space="preserve">Hierro dúctil-revestido </t>
  </si>
  <si>
    <t xml:space="preserve">Hierro dúctil-sin revestir </t>
  </si>
  <si>
    <t xml:space="preserve">Concreto, bien hecho </t>
  </si>
  <si>
    <t xml:space="preserve">Acero remachado </t>
  </si>
  <si>
    <t>Tamaño Nominal NPS (in)</t>
  </si>
  <si>
    <t>Tamaño Nominal DN (mm)</t>
  </si>
  <si>
    <t>Diámetro exterior (in)</t>
  </si>
  <si>
    <t>Diámetro exterior (mm)</t>
  </si>
  <si>
    <t>Espesor de pared (in)</t>
  </si>
  <si>
    <t>Espesor de pared (mm)</t>
  </si>
  <si>
    <t>Diámetro interior (in)</t>
  </si>
  <si>
    <t>Diámetro interior (ft)</t>
  </si>
  <si>
    <t>Diámetro interior (mm)</t>
  </si>
  <si>
    <t>Área de flujo (ft²)</t>
  </si>
  <si>
    <t>Área de flujo (m²)</t>
  </si>
  <si>
    <t xml:space="preserve">0.405 </t>
  </si>
  <si>
    <t xml:space="preserve">10.3 </t>
  </si>
  <si>
    <t xml:space="preserve">0.068 </t>
  </si>
  <si>
    <t xml:space="preserve">1.73 </t>
  </si>
  <si>
    <t xml:space="preserve">0.269 </t>
  </si>
  <si>
    <t xml:space="preserve">0.0224 </t>
  </si>
  <si>
    <t xml:space="preserve">6.8 </t>
  </si>
  <si>
    <t xml:space="preserve">0.540 </t>
  </si>
  <si>
    <t xml:space="preserve">13.7 </t>
  </si>
  <si>
    <t xml:space="preserve">0.088 </t>
  </si>
  <si>
    <t xml:space="preserve">2.24 </t>
  </si>
  <si>
    <t xml:space="preserve">0.364 </t>
  </si>
  <si>
    <t xml:space="preserve">0.0303 </t>
  </si>
  <si>
    <t xml:space="preserve">9.2 </t>
  </si>
  <si>
    <t xml:space="preserve">0.675 </t>
  </si>
  <si>
    <t xml:space="preserve">17.1 </t>
  </si>
  <si>
    <t xml:space="preserve">0.091 </t>
  </si>
  <si>
    <t xml:space="preserve">2.31 </t>
  </si>
  <si>
    <t xml:space="preserve">0.493 </t>
  </si>
  <si>
    <t xml:space="preserve">0.0411 </t>
  </si>
  <si>
    <t xml:space="preserve">12.5 </t>
  </si>
  <si>
    <t xml:space="preserve">0.840 </t>
  </si>
  <si>
    <t xml:space="preserve">21.3 </t>
  </si>
  <si>
    <t xml:space="preserve">0.109 </t>
  </si>
  <si>
    <t xml:space="preserve">2.77 </t>
  </si>
  <si>
    <t xml:space="preserve">0.622 </t>
  </si>
  <si>
    <t xml:space="preserve">0.0518 </t>
  </si>
  <si>
    <t xml:space="preserve">15.8 </t>
  </si>
  <si>
    <t xml:space="preserve">26.7 </t>
  </si>
  <si>
    <t xml:space="preserve">0.113 </t>
  </si>
  <si>
    <t xml:space="preserve">2.87 </t>
  </si>
  <si>
    <t xml:space="preserve">0.824 </t>
  </si>
  <si>
    <t xml:space="preserve">0.0687 </t>
  </si>
  <si>
    <t xml:space="preserve">20.9 </t>
  </si>
  <si>
    <t xml:space="preserve">33.4 </t>
  </si>
  <si>
    <t xml:space="preserve">0.133 </t>
  </si>
  <si>
    <t xml:space="preserve">3.38 </t>
  </si>
  <si>
    <t xml:space="preserve">0.0874 </t>
  </si>
  <si>
    <t xml:space="preserve">26.6 </t>
  </si>
  <si>
    <t xml:space="preserve">42.2 </t>
  </si>
  <si>
    <t xml:space="preserve">0.140 </t>
  </si>
  <si>
    <t xml:space="preserve">3.56 </t>
  </si>
  <si>
    <t xml:space="preserve">0.1150 </t>
  </si>
  <si>
    <t xml:space="preserve">35.1 </t>
  </si>
  <si>
    <t xml:space="preserve">48.3 </t>
  </si>
  <si>
    <t xml:space="preserve">0.145 </t>
  </si>
  <si>
    <t xml:space="preserve">3.68 </t>
  </si>
  <si>
    <t xml:space="preserve">0.1342 </t>
  </si>
  <si>
    <t xml:space="preserve">40.9 </t>
  </si>
  <si>
    <t xml:space="preserve">60.3 </t>
  </si>
  <si>
    <t xml:space="preserve">0.154 </t>
  </si>
  <si>
    <t xml:space="preserve">3.91 </t>
  </si>
  <si>
    <t xml:space="preserve">0.1723 </t>
  </si>
  <si>
    <t xml:space="preserve">52.5 </t>
  </si>
  <si>
    <t xml:space="preserve">73.0 </t>
  </si>
  <si>
    <t xml:space="preserve">0.203 </t>
  </si>
  <si>
    <t xml:space="preserve">5.16 </t>
  </si>
  <si>
    <t xml:space="preserve">0.2058 </t>
  </si>
  <si>
    <t xml:space="preserve">62.7 </t>
  </si>
  <si>
    <t xml:space="preserve">88.9 </t>
  </si>
  <si>
    <t xml:space="preserve">0.216 </t>
  </si>
  <si>
    <t xml:space="preserve">5.49 </t>
  </si>
  <si>
    <t xml:space="preserve">0.2557 </t>
  </si>
  <si>
    <t xml:space="preserve">77.9 </t>
  </si>
  <si>
    <t xml:space="preserve">101.6 </t>
  </si>
  <si>
    <t xml:space="preserve">0.226 </t>
  </si>
  <si>
    <t xml:space="preserve">5.74 </t>
  </si>
  <si>
    <t xml:space="preserve">0.2957 </t>
  </si>
  <si>
    <t xml:space="preserve">90.1 </t>
  </si>
  <si>
    <t xml:space="preserve">114.3 </t>
  </si>
  <si>
    <t xml:space="preserve">0.237 </t>
  </si>
  <si>
    <t xml:space="preserve">6.02 </t>
  </si>
  <si>
    <t xml:space="preserve">0.3355 </t>
  </si>
  <si>
    <t xml:space="preserve">102.3 </t>
  </si>
  <si>
    <t xml:space="preserve">141.3 </t>
  </si>
  <si>
    <t xml:space="preserve">0.258 </t>
  </si>
  <si>
    <t xml:space="preserve">6.55 </t>
  </si>
  <si>
    <t xml:space="preserve">0.4206 </t>
  </si>
  <si>
    <t xml:space="preserve">128.2 </t>
  </si>
  <si>
    <t xml:space="preserve">168.3 </t>
  </si>
  <si>
    <t xml:space="preserve">0.280 </t>
  </si>
  <si>
    <t xml:space="preserve">7.11 </t>
  </si>
  <si>
    <t xml:space="preserve">0.5054 </t>
  </si>
  <si>
    <t xml:space="preserve">154.1 </t>
  </si>
  <si>
    <t xml:space="preserve">219.1 </t>
  </si>
  <si>
    <t xml:space="preserve">0.322 </t>
  </si>
  <si>
    <t xml:space="preserve">8.18 </t>
  </si>
  <si>
    <t xml:space="preserve">0.6651 </t>
  </si>
  <si>
    <t xml:space="preserve">202.7 </t>
  </si>
  <si>
    <t>ALTURA</t>
  </si>
  <si>
    <t>PENDIENTE</t>
  </si>
  <si>
    <t>LONGITUD TUBERIA</t>
  </si>
  <si>
    <t>TRAMO 1</t>
  </si>
  <si>
    <t>CAUDAL</t>
  </si>
  <si>
    <t>LONGITUD DE TUBERIA</t>
  </si>
  <si>
    <t>AREA</t>
  </si>
  <si>
    <t>CARGA C</t>
  </si>
  <si>
    <t>viscosidad</t>
  </si>
  <si>
    <t>eta</t>
  </si>
  <si>
    <t>perdidas darcy</t>
  </si>
  <si>
    <t>Accesorios</t>
  </si>
  <si>
    <t>Factor friccion colebrok</t>
  </si>
  <si>
    <t>Factor friccion halland</t>
  </si>
  <si>
    <t>carga (m)</t>
  </si>
  <si>
    <t>altura</t>
  </si>
  <si>
    <t>z</t>
  </si>
  <si>
    <t>TRAMO 2</t>
  </si>
  <si>
    <t>entrada al rio proyectada</t>
  </si>
  <si>
    <t>valores de K</t>
  </si>
  <si>
    <t>2 codos de 45°</t>
  </si>
  <si>
    <t>valvula de retencion columpio</t>
  </si>
  <si>
    <t>valvula de compuerta</t>
  </si>
  <si>
    <t>salida a tanque receptor</t>
  </si>
  <si>
    <t>factor de friccion accesorios</t>
  </si>
  <si>
    <t>cantidad</t>
  </si>
  <si>
    <t>valores</t>
  </si>
  <si>
    <t>Para el tramo 2 se emplearan 2 estaciones de bombeo, los accesorios se emplearan para 1 estacion de bombeo, los datos luego seran duplicados para una contemplacion total</t>
  </si>
  <si>
    <t>Longitud por estacion</t>
  </si>
  <si>
    <t>2 codos de 60°</t>
  </si>
  <si>
    <t>carga total</t>
  </si>
  <si>
    <t>Accesorios por estación</t>
  </si>
  <si>
    <t>En Kw</t>
  </si>
  <si>
    <t>TRAMO 3</t>
  </si>
  <si>
    <t>2 codos de 51°</t>
  </si>
  <si>
    <t>succion de tanque previo</t>
  </si>
  <si>
    <t>Por Crane</t>
  </si>
  <si>
    <t>Interpolacion para valor K</t>
  </si>
  <si>
    <t>TRAMO 4</t>
  </si>
  <si>
    <t>salida de tanque previo</t>
  </si>
  <si>
    <t>2 codos de 90° (arreglo al suelo)</t>
  </si>
  <si>
    <t>Para este tramo se empleara un bomba de 2Kw, esto para evitar sobrecargas en la bomba hidraulica</t>
  </si>
  <si>
    <t>TRAMO 5</t>
  </si>
  <si>
    <t>TRAMO 6</t>
  </si>
  <si>
    <t>TRAMO 7</t>
  </si>
  <si>
    <t>2 codos de angulo dado</t>
  </si>
  <si>
    <t>Para este tramo se empleara una valvula de estrangulamiento al final de cada tanque, ya que el flujo de agua se mantendra a 1,34m/s</t>
  </si>
  <si>
    <t>carga total por estacion</t>
  </si>
  <si>
    <t>Valor de K para valvula de estrangulamiento</t>
  </si>
  <si>
    <t xml:space="preserve">TRAMO 8 </t>
  </si>
  <si>
    <t>DISTANCIA PREVIA A LA CARRETERA</t>
  </si>
  <si>
    <t>BAJADA</t>
  </si>
  <si>
    <t>DISTANCIA DE TUBERIA SUBTERRANEA</t>
  </si>
  <si>
    <t xml:space="preserve">CAMBIO DE DIRECCION </t>
  </si>
  <si>
    <t>DISTANCIA SUBTERRANEA</t>
  </si>
  <si>
    <t>DISTANCIA EN METROS</t>
  </si>
  <si>
    <t>DISTANCIA HASTA LA EMPRESA</t>
  </si>
  <si>
    <t>TOTAL METROS</t>
  </si>
  <si>
    <t>entrada al tanque</t>
  </si>
  <si>
    <t>TRAMO DE SUBIDA</t>
  </si>
  <si>
    <t>TOTAL DE TUBERIA</t>
  </si>
  <si>
    <t>TRAMO 8</t>
  </si>
  <si>
    <t>4 codos de 90°</t>
  </si>
  <si>
    <t>valvula de retencion</t>
  </si>
  <si>
    <t>salida a tanque en empresa</t>
  </si>
  <si>
    <t>potencia en HP</t>
  </si>
  <si>
    <t>En Hp</t>
  </si>
  <si>
    <t>CURVA DE BOMBA</t>
  </si>
  <si>
    <t>H</t>
  </si>
  <si>
    <t>Q/2</t>
  </si>
  <si>
    <t>Pbomba</t>
  </si>
  <si>
    <t>Pvapor</t>
  </si>
  <si>
    <t>rho</t>
  </si>
  <si>
    <t>h</t>
  </si>
  <si>
    <t>perdidas por friccion</t>
  </si>
  <si>
    <t>NPSHa</t>
  </si>
  <si>
    <t>NPSHr</t>
  </si>
  <si>
    <t>Comparacion</t>
  </si>
  <si>
    <t>gamma</t>
  </si>
  <si>
    <t>Ptanque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</si>
</sst>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,##0.00000"/>
    <numFmt numFmtId="165" formatCode="#,##0.000"/>
    <numFmt numFmtId="166" formatCode="#,##0.0000"/>
    <numFmt numFmtId="167" formatCode="0.0000"/>
    <numFmt numFmtId="168" formatCode="#,##0.0"/>
    <numFmt numFmtId="169" formatCode="0.00000"/>
    <numFmt numFmtId="170" formatCode="#,##0.000000"/>
    <numFmt numFmtId="171" formatCode="0.0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HP Simplified"/>
      <family val="2"/>
    </font>
    <font>
      <sz val="11"/>
      <color theme="1"/>
      <name val="HP Simplified"/>
      <family val="2"/>
    </font>
    <font>
      <sz val="11"/>
      <color rgb="FF1F1F1F"/>
      <name val="Arial"/>
      <family val="2"/>
    </font>
    <font>
      <b/>
      <sz val="11"/>
      <color rgb="FF1F1F1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9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6" fontId="2" fillId="0" borderId="1" xfId="0" applyNumberFormat="1" applyFont="1" applyBorder="1" applyAlignment="1">
      <alignment horizontal="center"/>
    </xf>
    <xf numFmtId="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4" fontId="0" fillId="0" borderId="0" xfId="0" applyNumberFormat="1"/>
    <xf numFmtId="169" fontId="0" fillId="0" borderId="0" xfId="0" applyNumberFormat="1" applyAlignment="1">
      <alignment horizontal="center"/>
    </xf>
    <xf numFmtId="167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left" vertical="center" wrapText="1" indent="1" readingOrder="1"/>
    </xf>
    <xf numFmtId="11" fontId="3" fillId="0" borderId="1" xfId="0" applyNumberFormat="1" applyFont="1" applyBorder="1" applyAlignment="1">
      <alignment horizontal="left" vertical="center" wrapText="1" indent="1" readingOrder="1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 readingOrder="1"/>
    </xf>
    <xf numFmtId="4" fontId="3" fillId="0" borderId="1" xfId="0" applyNumberFormat="1" applyFont="1" applyBorder="1" applyAlignment="1">
      <alignment horizontal="center" vertical="center" wrapText="1" readingOrder="1"/>
    </xf>
    <xf numFmtId="170" fontId="3" fillId="0" borderId="1" xfId="0" applyNumberFormat="1" applyFont="1" applyBorder="1" applyAlignment="1">
      <alignment horizontal="center" vertical="center" wrapText="1" readingOrder="1"/>
    </xf>
    <xf numFmtId="11" fontId="3" fillId="0" borderId="1" xfId="0" applyNumberFormat="1" applyFont="1" applyBorder="1" applyAlignment="1">
      <alignment horizontal="center" vertical="center" wrapText="1" readingOrder="1"/>
    </xf>
    <xf numFmtId="3" fontId="3" fillId="0" borderId="1" xfId="0" applyNumberFormat="1" applyFont="1" applyBorder="1" applyAlignment="1">
      <alignment horizontal="center" vertical="center" wrapText="1" readingOrder="1"/>
    </xf>
    <xf numFmtId="0" fontId="0" fillId="0" borderId="0" xfId="0" applyNumberFormat="1" applyAlignment="1">
      <alignment horizontal="center" wrapText="1"/>
    </xf>
    <xf numFmtId="4" fontId="3" fillId="0" borderId="2" xfId="0" applyNumberFormat="1" applyFont="1" applyBorder="1" applyAlignment="1">
      <alignment horizontal="center" vertical="center" wrapText="1" readingOrder="1"/>
    </xf>
    <xf numFmtId="0" fontId="3" fillId="0" borderId="1" xfId="0" applyFont="1" applyBorder="1" applyAlignment="1">
      <alignment horizontal="right" vertical="center" wrapText="1" indent="1" readingOrder="1"/>
    </xf>
    <xf numFmtId="0" fontId="4" fillId="0" borderId="0" xfId="0" applyFont="1" applyBorder="1" applyAlignment="1">
      <alignment horizontal="right" vertical="center" wrapText="1" indent="1" readingOrder="1"/>
    </xf>
    <xf numFmtId="0" fontId="3" fillId="0" borderId="0" xfId="0" applyFont="1" applyBorder="1" applyAlignment="1">
      <alignment horizontal="left" vertical="center" wrapText="1" indent="1" readingOrder="1"/>
    </xf>
    <xf numFmtId="0" fontId="0" fillId="0" borderId="0" xfId="0" applyBorder="1" applyAlignment="1">
      <alignment horizontal="center" wrapText="1"/>
    </xf>
    <xf numFmtId="3" fontId="3" fillId="0" borderId="0" xfId="0" applyNumberFormat="1" applyFont="1" applyBorder="1" applyAlignment="1">
      <alignment horizontal="left" vertical="center" wrapText="1" indent="1" readingOrder="1"/>
    </xf>
    <xf numFmtId="0" fontId="4" fillId="4" borderId="3" xfId="0" applyFont="1" applyFill="1" applyBorder="1" applyAlignment="1">
      <alignment horizontal="center" vertical="center" wrapText="1" readingOrder="1"/>
    </xf>
    <xf numFmtId="0" fontId="4" fillId="4" borderId="4" xfId="0" applyFont="1" applyFill="1" applyBorder="1" applyAlignment="1">
      <alignment horizontal="center" vertical="center" wrapText="1" readingOrder="1"/>
    </xf>
    <xf numFmtId="0" fontId="4" fillId="4" borderId="5" xfId="0" applyFont="1" applyFill="1" applyBorder="1" applyAlignment="1">
      <alignment horizontal="center" vertical="center" wrapText="1" readingOrder="1"/>
    </xf>
    <xf numFmtId="0" fontId="3" fillId="0" borderId="6" xfId="0" applyFont="1" applyBorder="1" applyAlignment="1">
      <alignment horizontal="center" vertical="center" wrapText="1" readingOrder="1"/>
    </xf>
    <xf numFmtId="0" fontId="3" fillId="0" borderId="7" xfId="0" applyFont="1" applyBorder="1" applyAlignment="1">
      <alignment horizontal="center" vertical="center" wrapText="1" readingOrder="1"/>
    </xf>
    <xf numFmtId="11" fontId="3" fillId="0" borderId="7" xfId="0" applyNumberFormat="1" applyFont="1" applyBorder="1" applyAlignment="1">
      <alignment horizontal="center" vertical="center" wrapText="1" readingOrder="1"/>
    </xf>
    <xf numFmtId="0" fontId="3" fillId="0" borderId="8" xfId="0" applyFont="1" applyBorder="1" applyAlignment="1">
      <alignment horizontal="center" vertical="center" wrapText="1" readingOrder="1"/>
    </xf>
    <xf numFmtId="11" fontId="3" fillId="0" borderId="9" xfId="0" applyNumberFormat="1" applyFont="1" applyBorder="1" applyAlignment="1">
      <alignment horizontal="center" vertical="center" wrapText="1" readingOrder="1"/>
    </xf>
    <xf numFmtId="11" fontId="3" fillId="0" borderId="10" xfId="0" applyNumberFormat="1" applyFont="1" applyBorder="1" applyAlignment="1">
      <alignment horizontal="center" vertical="center" wrapText="1" readingOrder="1"/>
    </xf>
    <xf numFmtId="0" fontId="4" fillId="3" borderId="3" xfId="0" applyFont="1" applyFill="1" applyBorder="1" applyAlignment="1">
      <alignment horizontal="center" vertical="center" wrapText="1" readingOrder="1"/>
    </xf>
    <xf numFmtId="0" fontId="4" fillId="3" borderId="4" xfId="0" applyFont="1" applyFill="1" applyBorder="1" applyAlignment="1">
      <alignment horizontal="center" vertical="center" wrapText="1" readingOrder="1"/>
    </xf>
    <xf numFmtId="0" fontId="4" fillId="3" borderId="5" xfId="0" applyFont="1" applyFill="1" applyBorder="1" applyAlignment="1">
      <alignment horizontal="center" vertical="center" wrapText="1" readingOrder="1"/>
    </xf>
    <xf numFmtId="11" fontId="3" fillId="0" borderId="7" xfId="0" applyNumberFormat="1" applyFont="1" applyBorder="1" applyAlignment="1">
      <alignment horizontal="left" vertical="center" wrapText="1" indent="1" readingOrder="1"/>
    </xf>
    <xf numFmtId="0" fontId="3" fillId="0" borderId="7" xfId="0" applyFont="1" applyBorder="1" applyAlignment="1">
      <alignment horizontal="right" vertical="center" wrapText="1" indent="1" readingOrder="1"/>
    </xf>
    <xf numFmtId="4" fontId="3" fillId="0" borderId="9" xfId="0" applyNumberFormat="1" applyFont="1" applyBorder="1" applyAlignment="1">
      <alignment horizontal="center" vertical="center" wrapText="1" readingOrder="1"/>
    </xf>
    <xf numFmtId="4" fontId="3" fillId="0" borderId="11" xfId="0" applyNumberFormat="1" applyFont="1" applyBorder="1" applyAlignment="1">
      <alignment horizontal="center" vertical="center" wrapText="1" readingOrder="1"/>
    </xf>
    <xf numFmtId="11" fontId="3" fillId="0" borderId="9" xfId="0" applyNumberFormat="1" applyFont="1" applyBorder="1" applyAlignment="1">
      <alignment horizontal="left" vertical="center" wrapText="1" indent="1" readingOrder="1"/>
    </xf>
    <xf numFmtId="11" fontId="3" fillId="0" borderId="10" xfId="0" applyNumberFormat="1" applyFont="1" applyBorder="1" applyAlignment="1">
      <alignment horizontal="left" vertical="center" wrapText="1" indent="1" readingOrder="1"/>
    </xf>
    <xf numFmtId="0" fontId="4" fillId="5" borderId="3" xfId="0" applyFont="1" applyFill="1" applyBorder="1" applyAlignment="1">
      <alignment horizontal="center" vertical="center" wrapText="1" readingOrder="1"/>
    </xf>
    <xf numFmtId="0" fontId="4" fillId="5" borderId="4" xfId="0" applyFont="1" applyFill="1" applyBorder="1" applyAlignment="1">
      <alignment horizontal="center" vertical="center" wrapText="1" readingOrder="1"/>
    </xf>
    <xf numFmtId="11" fontId="4" fillId="5" borderId="5" xfId="0" applyNumberFormat="1" applyFont="1" applyFill="1" applyBorder="1" applyAlignment="1">
      <alignment horizontal="center" vertical="center" wrapText="1" readingOrder="1"/>
    </xf>
    <xf numFmtId="4" fontId="3" fillId="0" borderId="6" xfId="0" applyNumberFormat="1" applyFont="1" applyBorder="1" applyAlignment="1">
      <alignment horizontal="center" vertical="center" wrapText="1" readingOrder="1"/>
    </xf>
    <xf numFmtId="4" fontId="3" fillId="0" borderId="8" xfId="0" applyNumberFormat="1" applyFont="1" applyBorder="1" applyAlignment="1">
      <alignment horizontal="center" vertical="center" wrapText="1" readingOrder="1"/>
    </xf>
    <xf numFmtId="0" fontId="3" fillId="0" borderId="9" xfId="0" applyFont="1" applyBorder="1" applyAlignment="1">
      <alignment horizontal="center" vertical="center" wrapText="1" readingOrder="1"/>
    </xf>
    <xf numFmtId="3" fontId="3" fillId="0" borderId="9" xfId="0" applyNumberFormat="1" applyFont="1" applyBorder="1" applyAlignment="1">
      <alignment horizontal="center" vertical="center" wrapText="1" readingOrder="1"/>
    </xf>
    <xf numFmtId="170" fontId="3" fillId="0" borderId="9" xfId="0" applyNumberFormat="1" applyFont="1" applyBorder="1" applyAlignment="1">
      <alignment horizontal="center" vertical="center" wrapText="1" readingOrder="1"/>
    </xf>
    <xf numFmtId="0" fontId="1" fillId="0" borderId="2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2" xfId="0" applyNumberFormat="1" applyFont="1" applyBorder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8" fontId="1" fillId="0" borderId="0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70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6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" fontId="1" fillId="0" borderId="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 readingOrder="1"/>
    </xf>
    <xf numFmtId="0" fontId="4" fillId="2" borderId="5" xfId="0" applyFont="1" applyFill="1" applyBorder="1" applyAlignment="1">
      <alignment horizontal="center" vertical="center" wrapText="1" readingOrder="1"/>
    </xf>
    <xf numFmtId="4" fontId="3" fillId="0" borderId="7" xfId="0" applyNumberFormat="1" applyFont="1" applyBorder="1" applyAlignment="1">
      <alignment horizontal="center" vertical="center" wrapText="1" readingOrder="1"/>
    </xf>
    <xf numFmtId="4" fontId="3" fillId="0" borderId="10" xfId="0" applyNumberFormat="1" applyFont="1" applyBorder="1" applyAlignment="1">
      <alignment horizontal="center" vertical="center" wrapText="1" readingOrder="1"/>
    </xf>
    <xf numFmtId="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" fontId="0" fillId="0" borderId="0" xfId="0" applyNumberFormat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171" fontId="0" fillId="0" borderId="1" xfId="0" applyNumberForma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" fontId="1" fillId="0" borderId="1" xfId="0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'MAPA TOPOGRAFICO'!$H$2</c:f>
              <c:strCache>
                <c:ptCount val="1"/>
                <c:pt idx="0">
                  <c:v>Altura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'MAPA TOPOGRAFICO'!$G$4:$G$11</c:f>
              <c:numCache>
                <c:formatCode>#,##0.00</c:formatCode>
                <c:ptCount val="8"/>
                <c:pt idx="0">
                  <c:v>320.15621187164243</c:v>
                </c:pt>
                <c:pt idx="1">
                  <c:v>502.68808668994734</c:v>
                </c:pt>
                <c:pt idx="2">
                  <c:v>615.07748495616386</c:v>
                </c:pt>
                <c:pt idx="3">
                  <c:v>778.94660439596248</c:v>
                </c:pt>
                <c:pt idx="4">
                  <c:v>1030.4921457730766</c:v>
                </c:pt>
                <c:pt idx="5">
                  <c:v>1159.5392403881813</c:v>
                </c:pt>
                <c:pt idx="6">
                  <c:v>1230.8692304627652</c:v>
                </c:pt>
                <c:pt idx="7">
                  <c:v>1288.4705080055189</c:v>
                </c:pt>
              </c:numCache>
            </c:numRef>
          </c:xVal>
          <c:yVal>
            <c:numRef>
              <c:f>'MAPA TOPOGRAFICO'!$H$4:$H$11</c:f>
              <c:numCache>
                <c:formatCode>#,##0.00</c:formatCode>
                <c:ptCount val="8"/>
                <c:pt idx="0">
                  <c:v>0</c:v>
                </c:pt>
                <c:pt idx="1">
                  <c:v>100</c:v>
                </c:pt>
                <c:pt idx="2">
                  <c:v>300</c:v>
                </c:pt>
                <c:pt idx="3">
                  <c:v>500</c:v>
                </c:pt>
                <c:pt idx="4">
                  <c:v>500</c:v>
                </c:pt>
                <c:pt idx="5">
                  <c:v>300</c:v>
                </c:pt>
                <c:pt idx="6">
                  <c:v>100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90-42FC-924B-FB98B15E7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2601471"/>
        <c:axId val="1072600223"/>
      </c:scatterChart>
      <c:valAx>
        <c:axId val="1072601471"/>
        <c:scaling>
          <c:orientation val="minMax"/>
          <c:max val="14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#,##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072600223"/>
        <c:crosses val="autoZero"/>
        <c:crossBetween val="midCat"/>
        <c:majorUnit val="100"/>
        <c:minorUnit val="50"/>
      </c:valAx>
      <c:valAx>
        <c:axId val="1072600223"/>
        <c:scaling>
          <c:orientation val="minMax"/>
          <c:max val="6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#,##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072601471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>
        <c:manualLayout>
          <c:layoutTarget val="inner"/>
          <c:xMode val="edge"/>
          <c:yMode val="edge"/>
          <c:x val="4.7218030218913798E-2"/>
          <c:y val="0.12852148237047589"/>
          <c:w val="0.90819825525781472"/>
          <c:h val="0.6991628443273431"/>
        </c:manualLayout>
      </c:layout>
      <c:scatterChart>
        <c:scatterStyle val="lineMarker"/>
        <c:varyColors val="0"/>
        <c:ser>
          <c:idx val="0"/>
          <c:order val="0"/>
          <c:tx>
            <c:strRef>
              <c:f>'MAPA TOPOGRAFICO'!$E$79</c:f>
              <c:strCache>
                <c:ptCount val="1"/>
                <c:pt idx="0">
                  <c:v>ALTURA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'MAPA TOPOGRAFICO'!$D$80:$D$85</c:f>
              <c:numCache>
                <c:formatCode>#,##0.00</c:formatCode>
                <c:ptCount val="6"/>
                <c:pt idx="0">
                  <c:v>250</c:v>
                </c:pt>
                <c:pt idx="1">
                  <c:v>250</c:v>
                </c:pt>
                <c:pt idx="2">
                  <c:v>562.5</c:v>
                </c:pt>
                <c:pt idx="3">
                  <c:v>587.5</c:v>
                </c:pt>
                <c:pt idx="4">
                  <c:v>1775</c:v>
                </c:pt>
                <c:pt idx="5">
                  <c:v>1837.5</c:v>
                </c:pt>
              </c:numCache>
            </c:numRef>
          </c:xVal>
          <c:yVal>
            <c:numRef>
              <c:f>'MAPA TOPOGRAFICO'!$E$80:$E$85</c:f>
              <c:numCache>
                <c:formatCode>General</c:formatCode>
                <c:ptCount val="6"/>
                <c:pt idx="0">
                  <c:v>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AD-49AB-9749-A535803DE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611904"/>
        <c:axId val="2091611072"/>
      </c:scatterChart>
      <c:valAx>
        <c:axId val="2091611904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2091611072"/>
        <c:crosses val="autoZero"/>
        <c:crossBetween val="midCat"/>
      </c:valAx>
      <c:valAx>
        <c:axId val="209161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2091611904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483869</xdr:colOff>
      <xdr:row>1</xdr:row>
      <xdr:rowOff>133350</xdr:rowOff>
    </xdr:from>
    <xdr:to>
      <xdr:col>18</xdr:col>
      <xdr:colOff>525779</xdr:colOff>
      <xdr:row>23</xdr:row>
      <xdr:rowOff>72391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D6A02F0-C2F5-471E-9F5A-C38A82B8E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693692</xdr:colOff>
      <xdr:row>87</xdr:row>
      <xdr:rowOff>26260</xdr:rowOff>
    </xdr:from>
    <xdr:to>
      <xdr:col>5</xdr:col>
      <xdr:colOff>870856</xdr:colOff>
      <xdr:row>107</xdr:row>
      <xdr:rowOff>122463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621D993-FA00-4872-B4AB-81C573A3E8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1</xdr:row>
      <xdr:rowOff>0</xdr:rowOff>
    </xdr:from>
    <xdr:to>
      <xdr:col>2</xdr:col>
      <xdr:colOff>592795</xdr:colOff>
      <xdr:row>7</xdr:row>
      <xdr:rowOff>133520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C7CF538-4ABF-4649-A885-6AEFF3BD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182880"/>
          <a:ext cx="2438740" cy="1219370"/>
        </a:xfrm>
        <a:prstGeom prst="rect">
          <a:avLst/>
        </a:prstGeom>
      </xdr:spPr>
    </xdr:pic>
    <xdr:clientData/>
  </xdr:twoCellAnchor>
  <xdr:twoCellAnchor editAs="oneCell">
    <xdr:from>
      <xdr:col>1</xdr:col>
      <xdr:colOff>335280</xdr:colOff>
      <xdr:row>13</xdr:row>
      <xdr:rowOff>144780</xdr:rowOff>
    </xdr:from>
    <xdr:to>
      <xdr:col>2</xdr:col>
      <xdr:colOff>531778</xdr:colOff>
      <xdr:row>19</xdr:row>
      <xdr:rowOff>93493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D45254D-2214-4A8C-8510-D81FFF40F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760" y="2522220"/>
          <a:ext cx="2029108" cy="1057423"/>
        </a:xfrm>
        <a:prstGeom prst="rect">
          <a:avLst/>
        </a:prstGeom>
      </xdr:spPr>
    </xdr:pic>
    <xdr:clientData/>
  </xdr:twoCellAnchor>
  <xdr:twoCellAnchor editAs="oneCell">
    <xdr:from>
      <xdr:col>0</xdr:col>
      <xdr:colOff>670560</xdr:colOff>
      <xdr:row>21</xdr:row>
      <xdr:rowOff>30480</xdr:rowOff>
    </xdr:from>
    <xdr:to>
      <xdr:col>3</xdr:col>
      <xdr:colOff>476703</xdr:colOff>
      <xdr:row>30</xdr:row>
      <xdr:rowOff>93586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7D4D86A-8162-46C0-92D0-DCBDA85AF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0560" y="3870960"/>
          <a:ext cx="3248478" cy="1724266"/>
        </a:xfrm>
        <a:prstGeom prst="rect">
          <a:avLst/>
        </a:prstGeom>
      </xdr:spPr>
    </xdr:pic>
    <xdr:clientData/>
  </xdr:twoCellAnchor>
  <xdr:twoCellAnchor editAs="oneCell">
    <xdr:from>
      <xdr:col>0</xdr:col>
      <xdr:colOff>291355</xdr:colOff>
      <xdr:row>31</xdr:row>
      <xdr:rowOff>60960</xdr:rowOff>
    </xdr:from>
    <xdr:to>
      <xdr:col>4</xdr:col>
      <xdr:colOff>592638</xdr:colOff>
      <xdr:row>45</xdr:row>
      <xdr:rowOff>22173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D303A49-03E8-4C40-84EF-EB852D8B0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91355" y="5730240"/>
          <a:ext cx="4343693" cy="2531058"/>
        </a:xfrm>
        <a:prstGeom prst="rect">
          <a:avLst/>
        </a:prstGeom>
      </xdr:spPr>
    </xdr:pic>
    <xdr:clientData/>
  </xdr:twoCellAnchor>
  <xdr:twoCellAnchor editAs="oneCell">
    <xdr:from>
      <xdr:col>0</xdr:col>
      <xdr:colOff>289560</xdr:colOff>
      <xdr:row>48</xdr:row>
      <xdr:rowOff>115872</xdr:rowOff>
    </xdr:from>
    <xdr:to>
      <xdr:col>12</xdr:col>
      <xdr:colOff>34499</xdr:colOff>
      <xdr:row>58</xdr:row>
      <xdr:rowOff>59409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DD40199-C26A-4DAB-A743-9B634CF83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9560" y="8894112"/>
          <a:ext cx="10628204" cy="1778052"/>
        </a:xfrm>
        <a:prstGeom prst="rect">
          <a:avLst/>
        </a:prstGeom>
      </xdr:spPr>
    </xdr:pic>
    <xdr:clientData/>
  </xdr:twoCellAnchor>
  <xdr:twoCellAnchor editAs="oneCell">
    <xdr:from>
      <xdr:col>0</xdr:col>
      <xdr:colOff>312420</xdr:colOff>
      <xdr:row>66</xdr:row>
      <xdr:rowOff>61824</xdr:rowOff>
    </xdr:from>
    <xdr:to>
      <xdr:col>8</xdr:col>
      <xdr:colOff>1049647</xdr:colOff>
      <xdr:row>73</xdr:row>
      <xdr:rowOff>97460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03F6535-8F81-464E-A754-C37A9C2FF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12420" y="12131904"/>
          <a:ext cx="8199112" cy="132151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83</xdr:row>
      <xdr:rowOff>1</xdr:rowOff>
    </xdr:from>
    <xdr:to>
      <xdr:col>5</xdr:col>
      <xdr:colOff>377190</xdr:colOff>
      <xdr:row>88</xdr:row>
      <xdr:rowOff>96055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EBA10330-36C7-452E-BD3F-1E0D4BFF8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2480" y="15179041"/>
          <a:ext cx="4709160" cy="100283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99</xdr:row>
      <xdr:rowOff>0</xdr:rowOff>
    </xdr:from>
    <xdr:to>
      <xdr:col>11</xdr:col>
      <xdr:colOff>136586</xdr:colOff>
      <xdr:row>102</xdr:row>
      <xdr:rowOff>173455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B318292-289B-4836-9859-0E97ED837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2480" y="18105120"/>
          <a:ext cx="9535856" cy="714475"/>
        </a:xfrm>
        <a:prstGeom prst="rect">
          <a:avLst/>
        </a:prstGeom>
      </xdr:spPr>
    </xdr:pic>
    <xdr:clientData/>
  </xdr:twoCellAnchor>
  <xdr:twoCellAnchor editAs="oneCell">
    <xdr:from>
      <xdr:col>9</xdr:col>
      <xdr:colOff>167640</xdr:colOff>
      <xdr:row>103</xdr:row>
      <xdr:rowOff>61738</xdr:rowOff>
    </xdr:from>
    <xdr:to>
      <xdr:col>17</xdr:col>
      <xdr:colOff>456506</xdr:colOff>
      <xdr:row>125</xdr:row>
      <xdr:rowOff>98001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978AB2FB-7CC5-4439-A5A7-EC3C8D510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299960" y="18898378"/>
          <a:ext cx="5828606" cy="40691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129</xdr:row>
      <xdr:rowOff>0</xdr:rowOff>
    </xdr:from>
    <xdr:to>
      <xdr:col>11</xdr:col>
      <xdr:colOff>1308</xdr:colOff>
      <xdr:row>138</xdr:row>
      <xdr:rowOff>59293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8DF5E3F6-D624-47B7-92D4-5C5936B9B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92480" y="23591520"/>
          <a:ext cx="9373908" cy="1705213"/>
        </a:xfrm>
        <a:prstGeom prst="rect">
          <a:avLst/>
        </a:prstGeom>
      </xdr:spPr>
    </xdr:pic>
    <xdr:clientData/>
  </xdr:twoCellAnchor>
  <xdr:twoCellAnchor editAs="oneCell">
    <xdr:from>
      <xdr:col>17</xdr:col>
      <xdr:colOff>121920</xdr:colOff>
      <xdr:row>2</xdr:row>
      <xdr:rowOff>170312</xdr:rowOff>
    </xdr:from>
    <xdr:to>
      <xdr:col>21</xdr:col>
      <xdr:colOff>513753</xdr:colOff>
      <xdr:row>13</xdr:row>
      <xdr:rowOff>132143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27ECDFCF-2273-4770-8BEE-942F5684F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594080" y="536072"/>
          <a:ext cx="3727488" cy="1988751"/>
        </a:xfrm>
        <a:prstGeom prst="rect">
          <a:avLst/>
        </a:prstGeom>
      </xdr:spPr>
    </xdr:pic>
    <xdr:clientData/>
  </xdr:twoCellAnchor>
  <xdr:twoCellAnchor editAs="oneCell">
    <xdr:from>
      <xdr:col>16</xdr:col>
      <xdr:colOff>703427</xdr:colOff>
      <xdr:row>35</xdr:row>
      <xdr:rowOff>114300</xdr:rowOff>
    </xdr:from>
    <xdr:to>
      <xdr:col>24</xdr:col>
      <xdr:colOff>517557</xdr:colOff>
      <xdr:row>55</xdr:row>
      <xdr:rowOff>15970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31C0D4A0-425E-4312-B0AE-EA4097770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251787" y="6515100"/>
          <a:ext cx="6336850" cy="3553555"/>
        </a:xfrm>
        <a:prstGeom prst="rect">
          <a:avLst/>
        </a:prstGeom>
      </xdr:spPr>
    </xdr:pic>
    <xdr:clientData/>
  </xdr:twoCellAnchor>
  <xdr:twoCellAnchor editAs="oneCell">
    <xdr:from>
      <xdr:col>16</xdr:col>
      <xdr:colOff>673130</xdr:colOff>
      <xdr:row>76</xdr:row>
      <xdr:rowOff>175260</xdr:rowOff>
    </xdr:from>
    <xdr:to>
      <xdr:col>26</xdr:col>
      <xdr:colOff>209013</xdr:colOff>
      <xdr:row>101</xdr:row>
      <xdr:rowOff>94149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856F6647-E98F-4C5E-8343-A720B1583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221490" y="14074140"/>
          <a:ext cx="7651183" cy="44985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1</xdr:row>
      <xdr:rowOff>57150</xdr:rowOff>
    </xdr:from>
    <xdr:to>
      <xdr:col>5</xdr:col>
      <xdr:colOff>59055</xdr:colOff>
      <xdr:row>7</xdr:row>
      <xdr:rowOff>168899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8C9990-F53D-4B79-9A64-B6BF295C9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9625" y="238125"/>
          <a:ext cx="3211830" cy="1197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8</xdr:col>
      <xdr:colOff>587607</xdr:colOff>
      <xdr:row>17</xdr:row>
      <xdr:rowOff>391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432F5DD-B511-4A1E-8673-22C6C4B16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2480" y="182880"/>
          <a:ext cx="6211167" cy="2800741"/>
        </a:xfrm>
        <a:prstGeom prst="rect">
          <a:avLst/>
        </a:prstGeom>
      </xdr:spPr>
    </xdr:pic>
    <xdr:clientData/>
  </xdr:twoCellAnchor>
  <xdr:twoCellAnchor editAs="oneCell">
    <xdr:from>
      <xdr:col>1</xdr:col>
      <xdr:colOff>38101</xdr:colOff>
      <xdr:row>22</xdr:row>
      <xdr:rowOff>35200</xdr:rowOff>
    </xdr:from>
    <xdr:to>
      <xdr:col>8</xdr:col>
      <xdr:colOff>287656</xdr:colOff>
      <xdr:row>41</xdr:row>
      <xdr:rowOff>155099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5488548-3817-4B2E-B927-2EECF54FB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0581" y="4058560"/>
          <a:ext cx="5882640" cy="344983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22860</xdr:rowOff>
    </xdr:from>
    <xdr:to>
      <xdr:col>9</xdr:col>
      <xdr:colOff>129540</xdr:colOff>
      <xdr:row>70</xdr:row>
      <xdr:rowOff>58621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A9BCA9F-8A60-4CAD-902B-D13ABCBC7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2480" y="9486900"/>
          <a:ext cx="6545580" cy="283230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440667</xdr:colOff>
      <xdr:row>0</xdr:row>
      <xdr:rowOff>167640</xdr:rowOff>
    </xdr:from>
    <xdr:to>
      <xdr:col>11</xdr:col>
      <xdr:colOff>448611</xdr:colOff>
      <xdr:row>16</xdr:row>
      <xdr:rowOff>45720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76B19C6-C47F-4953-B62D-895EED67E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7407" y="167640"/>
          <a:ext cx="4762824" cy="28041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F5345-6F78-449A-8BD3-7285486872AE}">
  <sheetPr codeName="Hoja1"/>
  <dimension ref="B2:AI109"/>
  <sheetViews>
    <sheetView tabSelected="1" topLeftCell="A53" zoomScaleNormal="70" workbookViewId="0">
      <selection activeCell="F30" sqref="F30"/>
    </sheetView>
  </sheetViews>
  <sheetFormatPr baseColWidth="10" defaultRowHeight="15" x14ac:dyDescent="0.3"/>
  <cols>
    <col min="1" max="1" width="11.5546875" style="69"/>
    <col min="2" max="2" width="35.77734375" style="69" bestFit="1" customWidth="1"/>
    <col min="3" max="3" width="22.88671875" style="69" bestFit="1" customWidth="1"/>
    <col min="4" max="4" width="26.6640625" style="69" bestFit="1" customWidth="1"/>
    <col min="5" max="5" width="11.21875" style="69" bestFit="1" customWidth="1"/>
    <col min="6" max="6" width="18.5546875" style="69" bestFit="1" customWidth="1"/>
    <col min="7" max="7" width="28.44140625" style="69" bestFit="1" customWidth="1"/>
    <col min="8" max="8" width="12.21875" style="69" bestFit="1" customWidth="1"/>
    <col min="9" max="9" width="26.6640625" style="69" bestFit="1" customWidth="1"/>
    <col min="10" max="10" width="10.77734375" style="69" bestFit="1" customWidth="1"/>
    <col min="11" max="11" width="11.5546875" style="69"/>
    <col min="12" max="12" width="28.44140625" style="69" bestFit="1" customWidth="1"/>
    <col min="13" max="13" width="12.21875" style="69" bestFit="1" customWidth="1"/>
    <col min="14" max="14" width="24.5546875" style="69" bestFit="1" customWidth="1"/>
    <col min="15" max="15" width="10.77734375" style="69" bestFit="1" customWidth="1"/>
    <col min="16" max="16" width="11.5546875" style="69"/>
    <col min="17" max="17" width="30.77734375" style="69" bestFit="1" customWidth="1"/>
    <col min="18" max="18" width="11.88671875" style="69" bestFit="1" customWidth="1"/>
    <col min="19" max="19" width="24.5546875" style="69" bestFit="1" customWidth="1"/>
    <col min="20" max="20" width="10.77734375" style="69" bestFit="1" customWidth="1"/>
    <col min="21" max="21" width="11.5546875" style="69"/>
    <col min="22" max="22" width="23.109375" style="69" bestFit="1" customWidth="1"/>
    <col min="23" max="23" width="12.21875" style="69" bestFit="1" customWidth="1"/>
    <col min="24" max="24" width="24.5546875" style="69" bestFit="1" customWidth="1"/>
    <col min="25" max="25" width="10.77734375" style="69" bestFit="1" customWidth="1"/>
    <col min="26" max="26" width="11.5546875" style="69"/>
    <col min="27" max="27" width="23.109375" style="69" bestFit="1" customWidth="1"/>
    <col min="28" max="28" width="12.21875" style="69" bestFit="1" customWidth="1"/>
    <col min="29" max="29" width="41.88671875" style="69" bestFit="1" customWidth="1"/>
    <col min="30" max="30" width="10.77734375" style="69" bestFit="1" customWidth="1"/>
    <col min="31" max="31" width="11.5546875" style="69"/>
    <col min="32" max="32" width="23.109375" style="69" bestFit="1" customWidth="1"/>
    <col min="33" max="33" width="11.88671875" style="69" bestFit="1" customWidth="1"/>
    <col min="34" max="34" width="41.88671875" style="69" bestFit="1" customWidth="1"/>
    <col min="35" max="35" width="10.77734375" style="69" bestFit="1" customWidth="1"/>
    <col min="36" max="16384" width="11.5546875" style="69"/>
  </cols>
  <sheetData>
    <row r="2" spans="2:8" x14ac:dyDescent="0.3">
      <c r="B2" s="68" t="s">
        <v>0</v>
      </c>
      <c r="C2" s="68" t="s">
        <v>1</v>
      </c>
      <c r="D2" s="68" t="s">
        <v>2</v>
      </c>
      <c r="E2" s="68">
        <v>0</v>
      </c>
      <c r="F2" s="60">
        <v>0</v>
      </c>
      <c r="G2" s="68" t="s">
        <v>6</v>
      </c>
      <c r="H2" s="68" t="s">
        <v>9</v>
      </c>
    </row>
    <row r="3" spans="2:8" x14ac:dyDescent="0.3">
      <c r="B3" s="68">
        <v>1.6</v>
      </c>
      <c r="C3" s="68">
        <v>2</v>
      </c>
      <c r="D3" s="61">
        <f>SQRT(SUM(B3^2,C3^2))</f>
        <v>2.5612496949731396</v>
      </c>
      <c r="E3" s="68">
        <v>0</v>
      </c>
      <c r="F3" s="62">
        <f>+D3/$C$17</f>
        <v>320.15621187164243</v>
      </c>
      <c r="G3" s="61">
        <f>+D19</f>
        <v>87.499999999999986</v>
      </c>
      <c r="H3" s="61">
        <v>0</v>
      </c>
    </row>
    <row r="4" spans="2:8" x14ac:dyDescent="0.3">
      <c r="B4" s="68">
        <v>2.5</v>
      </c>
      <c r="C4" s="68">
        <v>3.15</v>
      </c>
      <c r="D4" s="61">
        <f>SQRT(SUM(B4^2,C4^2))</f>
        <v>4.0215046935195788</v>
      </c>
      <c r="E4" s="68">
        <v>100</v>
      </c>
      <c r="F4" s="62">
        <f>+D4/$C$17</f>
        <v>502.68808668994734</v>
      </c>
      <c r="G4" s="61">
        <f t="shared" ref="G4:G11" si="0">F3</f>
        <v>320.15621187164243</v>
      </c>
      <c r="H4" s="61">
        <f t="shared" ref="H4:H11" si="1">E3</f>
        <v>0</v>
      </c>
    </row>
    <row r="5" spans="2:8" x14ac:dyDescent="0.3">
      <c r="B5" s="68">
        <v>3</v>
      </c>
      <c r="C5" s="68">
        <v>3.65</v>
      </c>
      <c r="D5" s="61">
        <f>SQRT(SUM(B6^2,C5^2))</f>
        <v>4.920619879649311</v>
      </c>
      <c r="E5" s="68">
        <v>300</v>
      </c>
      <c r="F5" s="62">
        <f t="shared" ref="F5:F10" si="2">+D5/$C$17</f>
        <v>615.07748495616386</v>
      </c>
      <c r="G5" s="61">
        <f t="shared" si="0"/>
        <v>502.68808668994734</v>
      </c>
      <c r="H5" s="61">
        <f t="shared" si="1"/>
        <v>100</v>
      </c>
    </row>
    <row r="6" spans="2:8" x14ac:dyDescent="0.3">
      <c r="B6" s="68">
        <v>3.3</v>
      </c>
      <c r="C6" s="68">
        <v>3.85</v>
      </c>
      <c r="D6" s="61">
        <f>SQRT(SUM(B7^2,C6^2))</f>
        <v>6.2315728351677002</v>
      </c>
      <c r="E6" s="68">
        <v>500</v>
      </c>
      <c r="F6" s="62">
        <f t="shared" si="2"/>
        <v>778.94660439596248</v>
      </c>
      <c r="G6" s="61">
        <f t="shared" si="0"/>
        <v>615.07748495616386</v>
      </c>
      <c r="H6" s="61">
        <f t="shared" si="1"/>
        <v>300</v>
      </c>
    </row>
    <row r="7" spans="2:8" x14ac:dyDescent="0.3">
      <c r="B7" s="68">
        <v>4.9000000000000004</v>
      </c>
      <c r="C7" s="68">
        <v>6.05</v>
      </c>
      <c r="D7" s="61">
        <f>SQRT(SUM(B8^2,C7^2))</f>
        <v>8.2439371661846135</v>
      </c>
      <c r="E7" s="68">
        <v>500</v>
      </c>
      <c r="F7" s="62">
        <f t="shared" si="2"/>
        <v>1030.4921457730766</v>
      </c>
      <c r="G7" s="61">
        <f t="shared" si="0"/>
        <v>778.94660439596248</v>
      </c>
      <c r="H7" s="61">
        <f t="shared" si="1"/>
        <v>500</v>
      </c>
    </row>
    <row r="8" spans="2:8" x14ac:dyDescent="0.3">
      <c r="B8" s="68">
        <v>5.6</v>
      </c>
      <c r="C8" s="68">
        <v>6.9</v>
      </c>
      <c r="D8" s="61">
        <f>SQRT(SUM(B9^2,C8^2))</f>
        <v>9.2763139231054499</v>
      </c>
      <c r="E8" s="68">
        <v>300</v>
      </c>
      <c r="F8" s="62">
        <f t="shared" si="2"/>
        <v>1159.5392403881813</v>
      </c>
      <c r="G8" s="61">
        <f t="shared" si="0"/>
        <v>1030.4921457730766</v>
      </c>
      <c r="H8" s="61">
        <f t="shared" si="1"/>
        <v>500</v>
      </c>
    </row>
    <row r="9" spans="2:8" x14ac:dyDescent="0.3">
      <c r="B9" s="68">
        <v>6.2</v>
      </c>
      <c r="C9" s="68">
        <v>7.65</v>
      </c>
      <c r="D9" s="61">
        <f>SQRT(SUM(B9^2,C9^2))</f>
        <v>9.8469538437021225</v>
      </c>
      <c r="E9" s="68">
        <v>100</v>
      </c>
      <c r="F9" s="62">
        <f t="shared" si="2"/>
        <v>1230.8692304627652</v>
      </c>
      <c r="G9" s="61">
        <f t="shared" si="0"/>
        <v>1159.5392403881813</v>
      </c>
      <c r="H9" s="61">
        <f t="shared" si="1"/>
        <v>300</v>
      </c>
    </row>
    <row r="10" spans="2:8" x14ac:dyDescent="0.3">
      <c r="B10" s="68">
        <v>6.5</v>
      </c>
      <c r="C10" s="68">
        <v>8</v>
      </c>
      <c r="D10" s="61">
        <f>SQRT(SUM(B10^2,C10^2))</f>
        <v>10.307764064044152</v>
      </c>
      <c r="E10" s="68">
        <v>0</v>
      </c>
      <c r="F10" s="62">
        <f t="shared" si="2"/>
        <v>1288.4705080055189</v>
      </c>
      <c r="G10" s="61">
        <f t="shared" si="0"/>
        <v>1230.8692304627652</v>
      </c>
      <c r="H10" s="61">
        <f t="shared" si="1"/>
        <v>100</v>
      </c>
    </row>
    <row r="11" spans="2:8" x14ac:dyDescent="0.3">
      <c r="E11" s="68">
        <v>0</v>
      </c>
      <c r="F11" s="68">
        <f>15/C17+F10</f>
        <v>3163.4705080055192</v>
      </c>
      <c r="G11" s="61">
        <f t="shared" si="0"/>
        <v>1288.4705080055189</v>
      </c>
      <c r="H11" s="61">
        <f t="shared" si="1"/>
        <v>0</v>
      </c>
    </row>
    <row r="12" spans="2:8" x14ac:dyDescent="0.3">
      <c r="G12" s="68">
        <f>14.5/C17+G11</f>
        <v>3100.9705080055192</v>
      </c>
      <c r="H12" s="61">
        <v>0</v>
      </c>
    </row>
    <row r="13" spans="2:8" x14ac:dyDescent="0.3">
      <c r="B13" s="93" t="s">
        <v>3</v>
      </c>
      <c r="C13" s="93"/>
      <c r="D13" s="61">
        <f>+D10-D3</f>
        <v>7.7465143690710123</v>
      </c>
      <c r="G13" s="68">
        <f>$F$11</f>
        <v>3163.4705080055192</v>
      </c>
      <c r="H13" s="61">
        <v>100</v>
      </c>
    </row>
    <row r="14" spans="2:8" x14ac:dyDescent="0.3">
      <c r="B14" s="93" t="s">
        <v>4</v>
      </c>
      <c r="C14" s="93"/>
      <c r="D14" s="61">
        <f>+D10-D9</f>
        <v>0.46081022034202945</v>
      </c>
    </row>
    <row r="15" spans="2:8" x14ac:dyDescent="0.3">
      <c r="B15" s="93" t="s">
        <v>5</v>
      </c>
      <c r="C15" s="93"/>
      <c r="D15" s="61">
        <f>+D13-D14</f>
        <v>7.2857041487289829</v>
      </c>
      <c r="E15" s="63"/>
    </row>
    <row r="17" spans="2:8" x14ac:dyDescent="0.3">
      <c r="B17" s="68" t="s">
        <v>7</v>
      </c>
      <c r="C17" s="64">
        <f>(24/3000)</f>
        <v>8.0000000000000002E-3</v>
      </c>
      <c r="D17" s="63"/>
    </row>
    <row r="19" spans="2:8" x14ac:dyDescent="0.3">
      <c r="B19" s="93" t="s">
        <v>8</v>
      </c>
      <c r="C19" s="93"/>
      <c r="D19" s="61">
        <f>0.7/C17</f>
        <v>87.499999999999986</v>
      </c>
    </row>
    <row r="22" spans="2:8" x14ac:dyDescent="0.3">
      <c r="B22" s="68" t="s">
        <v>10</v>
      </c>
      <c r="C22" s="68" t="s">
        <v>12</v>
      </c>
      <c r="D22" s="68" t="s">
        <v>338</v>
      </c>
      <c r="E22" s="68" t="s">
        <v>339</v>
      </c>
      <c r="F22" s="68" t="s">
        <v>340</v>
      </c>
    </row>
    <row r="23" spans="2:8" x14ac:dyDescent="0.3">
      <c r="B23" s="68">
        <v>1</v>
      </c>
      <c r="C23" s="61">
        <f>+G5-G4</f>
        <v>182.53187481830491</v>
      </c>
      <c r="D23" s="68">
        <v>100</v>
      </c>
      <c r="E23" s="68" cm="1">
        <f t="array" ref="E23">CalcularArcoTangente(D23,C23)</f>
        <v>28.72</v>
      </c>
      <c r="F23" s="61">
        <f>SQRT(C23^2+D23^2)+3</f>
        <v>211.12949172254596</v>
      </c>
    </row>
    <row r="24" spans="2:8" x14ac:dyDescent="0.3">
      <c r="B24" s="68">
        <v>2</v>
      </c>
      <c r="C24" s="61">
        <f t="shared" ref="C24:C29" si="3">+G6-G5</f>
        <v>112.38939826621652</v>
      </c>
      <c r="D24" s="68">
        <v>200</v>
      </c>
      <c r="E24" s="68" cm="1">
        <f t="array" ref="E24">CalcularArcoTangente(D24,C24)</f>
        <v>60.67</v>
      </c>
      <c r="F24" s="61">
        <f>SQRT(C24^2+D24^2)+6</f>
        <v>235.41529339310017</v>
      </c>
    </row>
    <row r="25" spans="2:8" x14ac:dyDescent="0.3">
      <c r="B25" s="68">
        <v>3</v>
      </c>
      <c r="C25" s="61">
        <f t="shared" si="3"/>
        <v>163.86911943979862</v>
      </c>
      <c r="D25" s="68">
        <v>200</v>
      </c>
      <c r="E25" s="68" cm="1">
        <f t="array" ref="E25">CalcularArcoTangente(D25,C25)</f>
        <v>50.67</v>
      </c>
      <c r="F25" s="61">
        <f>SQRT(C25^2+D25^2)+6</f>
        <v>264.55964168055112</v>
      </c>
      <c r="H25" s="65"/>
    </row>
    <row r="26" spans="2:8" x14ac:dyDescent="0.3">
      <c r="B26" s="68">
        <v>4</v>
      </c>
      <c r="C26" s="61">
        <f t="shared" si="3"/>
        <v>251.54554137711409</v>
      </c>
      <c r="D26" s="68">
        <v>0</v>
      </c>
      <c r="E26" s="68" cm="1">
        <f t="array" ref="E26">CalcularArcoTangente(D26,C26)</f>
        <v>0</v>
      </c>
      <c r="F26" s="61">
        <f>SQRT(C26^2+D26^2)+3</f>
        <v>254.54554137711409</v>
      </c>
    </row>
    <row r="27" spans="2:8" x14ac:dyDescent="0.3">
      <c r="B27" s="68">
        <v>5</v>
      </c>
      <c r="C27" s="61">
        <f t="shared" si="3"/>
        <v>129.0470946151047</v>
      </c>
      <c r="D27" s="68">
        <v>-200</v>
      </c>
      <c r="E27" s="68" cm="1">
        <f t="array" ref="E27">CalcularArcoTangente(D27,C27)</f>
        <v>-57.17</v>
      </c>
      <c r="F27" s="61">
        <f>SQRT(C27^2+D27^2)-3</f>
        <v>235.01922743467551</v>
      </c>
    </row>
    <row r="28" spans="2:8" x14ac:dyDescent="0.3">
      <c r="B28" s="68">
        <v>6</v>
      </c>
      <c r="C28" s="61">
        <f t="shared" si="3"/>
        <v>71.329990074583975</v>
      </c>
      <c r="D28" s="68">
        <v>-200</v>
      </c>
      <c r="E28" s="68" cm="1">
        <f t="array" ref="E28">CalcularArcoTangente(D28,C28)</f>
        <v>-70.37</v>
      </c>
      <c r="F28" s="61">
        <f>SQRT(C28^2+D28^2)-3</f>
        <v>209.33927447375405</v>
      </c>
    </row>
    <row r="29" spans="2:8" x14ac:dyDescent="0.3">
      <c r="B29" s="68">
        <v>7</v>
      </c>
      <c r="C29" s="61">
        <f t="shared" si="3"/>
        <v>57.601277542753678</v>
      </c>
      <c r="D29" s="68">
        <v>-100</v>
      </c>
      <c r="E29" s="68" cm="1">
        <f t="array" ref="E29">CalcularArcoTangente(D29,C29)</f>
        <v>-60.06</v>
      </c>
      <c r="F29" s="61">
        <f>SQRT(C29^2+D29^2)-3</f>
        <v>112.40323727936465</v>
      </c>
    </row>
    <row r="30" spans="2:8" x14ac:dyDescent="0.3">
      <c r="B30" s="75"/>
      <c r="C30" s="76"/>
      <c r="F30" s="63">
        <f>SUM(F23:F29)</f>
        <v>1522.4117073611058</v>
      </c>
    </row>
    <row r="31" spans="2:8" x14ac:dyDescent="0.3">
      <c r="B31" s="75"/>
      <c r="C31" s="76"/>
    </row>
    <row r="32" spans="2:8" x14ac:dyDescent="0.3">
      <c r="C32" s="63"/>
      <c r="D32" s="63"/>
    </row>
    <row r="34" spans="2:35" x14ac:dyDescent="0.3">
      <c r="B34" s="94" t="s">
        <v>11</v>
      </c>
      <c r="C34" s="94"/>
      <c r="D34" s="94"/>
    </row>
    <row r="36" spans="2:35" x14ac:dyDescent="0.3">
      <c r="C36" s="68" t="s">
        <v>65</v>
      </c>
      <c r="D36" s="63">
        <f>SUM(F30,C87)</f>
        <v>3433.9275166499056</v>
      </c>
    </row>
    <row r="37" spans="2:35" x14ac:dyDescent="0.3">
      <c r="C37" s="68" t="s">
        <v>66</v>
      </c>
      <c r="D37" s="69">
        <v>7</v>
      </c>
    </row>
    <row r="38" spans="2:35" x14ac:dyDescent="0.3">
      <c r="C38" s="68" t="s">
        <v>67</v>
      </c>
      <c r="D38" s="69">
        <v>12</v>
      </c>
    </row>
    <row r="39" spans="2:35" x14ac:dyDescent="0.3">
      <c r="C39" s="68" t="s">
        <v>68</v>
      </c>
    </row>
    <row r="40" spans="2:35" x14ac:dyDescent="0.3">
      <c r="C40" s="68" t="s">
        <v>69</v>
      </c>
    </row>
    <row r="44" spans="2:35" ht="15" customHeight="1" x14ac:dyDescent="0.3">
      <c r="B44" s="93" t="s">
        <v>341</v>
      </c>
      <c r="C44" s="93"/>
      <c r="D44" s="93"/>
      <c r="E44" s="93"/>
      <c r="G44" s="93" t="s">
        <v>355</v>
      </c>
      <c r="H44" s="93"/>
      <c r="I44" s="93"/>
      <c r="J44" s="93"/>
      <c r="L44" s="93" t="s">
        <v>371</v>
      </c>
      <c r="M44" s="93"/>
      <c r="N44" s="93"/>
      <c r="O44" s="93"/>
      <c r="Q44" s="93" t="s">
        <v>376</v>
      </c>
      <c r="R44" s="93"/>
      <c r="S44" s="93"/>
      <c r="T44" s="93"/>
      <c r="V44" s="93" t="s">
        <v>380</v>
      </c>
      <c r="W44" s="93"/>
      <c r="X44" s="93"/>
      <c r="Y44" s="93"/>
      <c r="AA44" s="93" t="s">
        <v>381</v>
      </c>
      <c r="AB44" s="93"/>
      <c r="AC44" s="93"/>
      <c r="AD44" s="93"/>
      <c r="AF44" s="93" t="s">
        <v>382</v>
      </c>
      <c r="AG44" s="93"/>
      <c r="AH44" s="93"/>
      <c r="AI44" s="93"/>
    </row>
    <row r="45" spans="2:35" x14ac:dyDescent="0.3">
      <c r="B45" s="68" t="s">
        <v>339</v>
      </c>
      <c r="C45" s="68">
        <f>+E23</f>
        <v>28.72</v>
      </c>
      <c r="D45" s="68" t="s">
        <v>144</v>
      </c>
      <c r="E45" s="68">
        <v>998</v>
      </c>
      <c r="G45" s="68" t="s">
        <v>339</v>
      </c>
      <c r="H45" s="68">
        <f>E24</f>
        <v>60.67</v>
      </c>
      <c r="I45" s="68" t="s">
        <v>144</v>
      </c>
      <c r="J45" s="68">
        <v>998</v>
      </c>
      <c r="L45" s="68" t="s">
        <v>339</v>
      </c>
      <c r="M45" s="68">
        <f>E25</f>
        <v>50.67</v>
      </c>
      <c r="N45" s="68" t="s">
        <v>144</v>
      </c>
      <c r="O45" s="68">
        <v>998</v>
      </c>
      <c r="Q45" s="68" t="s">
        <v>339</v>
      </c>
      <c r="R45" s="68">
        <f>E26</f>
        <v>0</v>
      </c>
      <c r="S45" s="68" t="s">
        <v>144</v>
      </c>
      <c r="T45" s="68">
        <v>998</v>
      </c>
      <c r="V45" s="68" t="s">
        <v>339</v>
      </c>
      <c r="W45" s="68">
        <f>(E27)*-1</f>
        <v>57.17</v>
      </c>
      <c r="X45" s="68" t="s">
        <v>144</v>
      </c>
      <c r="Y45" s="68">
        <v>998</v>
      </c>
      <c r="AA45" s="68" t="s">
        <v>339</v>
      </c>
      <c r="AB45" s="68">
        <f>(E28)*-1</f>
        <v>70.37</v>
      </c>
      <c r="AC45" s="68" t="s">
        <v>144</v>
      </c>
      <c r="AD45" s="68">
        <v>998</v>
      </c>
      <c r="AF45" s="68" t="s">
        <v>339</v>
      </c>
      <c r="AG45" s="68">
        <v>60.06</v>
      </c>
      <c r="AH45" s="68" t="s">
        <v>144</v>
      </c>
      <c r="AI45" s="68">
        <v>998</v>
      </c>
    </row>
    <row r="46" spans="2:35" x14ac:dyDescent="0.3">
      <c r="B46" s="68" t="s">
        <v>342</v>
      </c>
      <c r="C46" s="68">
        <f>0.025</f>
        <v>2.5000000000000001E-2</v>
      </c>
      <c r="D46" s="68" t="s">
        <v>346</v>
      </c>
      <c r="E46" s="67">
        <f>1*10^-3</f>
        <v>1E-3</v>
      </c>
      <c r="G46" s="68" t="s">
        <v>342</v>
      </c>
      <c r="H46" s="68">
        <f>$C$46</f>
        <v>2.5000000000000001E-2</v>
      </c>
      <c r="I46" s="68" t="s">
        <v>346</v>
      </c>
      <c r="J46" s="66">
        <f>E46</f>
        <v>1E-3</v>
      </c>
      <c r="L46" s="68" t="s">
        <v>342</v>
      </c>
      <c r="M46" s="68">
        <f>$C$46</f>
        <v>2.5000000000000001E-2</v>
      </c>
      <c r="N46" s="68" t="s">
        <v>346</v>
      </c>
      <c r="O46" s="66">
        <f>1*10^-3</f>
        <v>1E-3</v>
      </c>
      <c r="Q46" s="68" t="s">
        <v>342</v>
      </c>
      <c r="R46" s="68">
        <f>$C$46</f>
        <v>2.5000000000000001E-2</v>
      </c>
      <c r="S46" s="68" t="s">
        <v>346</v>
      </c>
      <c r="T46" s="66">
        <f>1*10^-3</f>
        <v>1E-3</v>
      </c>
      <c r="V46" s="68" t="s">
        <v>342</v>
      </c>
      <c r="W46" s="68">
        <f>$C$46</f>
        <v>2.5000000000000001E-2</v>
      </c>
      <c r="X46" s="68" t="s">
        <v>346</v>
      </c>
      <c r="Y46" s="66">
        <f>1*10^-3</f>
        <v>1E-3</v>
      </c>
      <c r="AA46" s="68" t="s">
        <v>342</v>
      </c>
      <c r="AB46" s="68">
        <f>$C$46</f>
        <v>2.5000000000000001E-2</v>
      </c>
      <c r="AC46" s="68" t="s">
        <v>346</v>
      </c>
      <c r="AD46" s="66">
        <f>1*10^-3</f>
        <v>1E-3</v>
      </c>
      <c r="AF46" s="68" t="s">
        <v>342</v>
      </c>
      <c r="AG46" s="68">
        <f>$C$46</f>
        <v>2.5000000000000001E-2</v>
      </c>
      <c r="AH46" s="68" t="s">
        <v>346</v>
      </c>
      <c r="AI46" s="66">
        <f>1*10^-3</f>
        <v>1E-3</v>
      </c>
    </row>
    <row r="47" spans="2:35" x14ac:dyDescent="0.3">
      <c r="B47" s="68" t="s">
        <v>343</v>
      </c>
      <c r="C47" s="61">
        <f>+F23</f>
        <v>211.12949172254596</v>
      </c>
      <c r="D47" s="68" t="s">
        <v>347</v>
      </c>
      <c r="E47" s="68">
        <f>4.6*10^-5</f>
        <v>4.6E-5</v>
      </c>
      <c r="G47" s="68" t="s">
        <v>343</v>
      </c>
      <c r="H47" s="61">
        <f>+F24</f>
        <v>235.41529339310017</v>
      </c>
      <c r="I47" s="68" t="s">
        <v>347</v>
      </c>
      <c r="J47" s="68">
        <f>E47</f>
        <v>4.6E-5</v>
      </c>
      <c r="L47" s="68" t="s">
        <v>343</v>
      </c>
      <c r="M47" s="61">
        <f>F25</f>
        <v>264.55964168055112</v>
      </c>
      <c r="N47" s="68" t="s">
        <v>347</v>
      </c>
      <c r="O47" s="68">
        <f>4.6*10^-5</f>
        <v>4.6E-5</v>
      </c>
      <c r="Q47" s="68" t="s">
        <v>343</v>
      </c>
      <c r="R47" s="61">
        <f>F26</f>
        <v>254.54554137711409</v>
      </c>
      <c r="S47" s="68" t="s">
        <v>347</v>
      </c>
      <c r="T47" s="68">
        <f>4.6*10^-5</f>
        <v>4.6E-5</v>
      </c>
      <c r="V47" s="68" t="s">
        <v>343</v>
      </c>
      <c r="W47" s="61">
        <f>+F27</f>
        <v>235.01922743467551</v>
      </c>
      <c r="X47" s="68" t="s">
        <v>347</v>
      </c>
      <c r="Y47" s="68">
        <f>4.6*10^-5</f>
        <v>4.6E-5</v>
      </c>
      <c r="AA47" s="68" t="s">
        <v>343</v>
      </c>
      <c r="AB47" s="61">
        <f>+F28</f>
        <v>209.33927447375405</v>
      </c>
      <c r="AC47" s="68" t="s">
        <v>347</v>
      </c>
      <c r="AD47" s="68">
        <f>4.6*10^-5</f>
        <v>4.6E-5</v>
      </c>
      <c r="AF47" s="68" t="s">
        <v>343</v>
      </c>
      <c r="AG47" s="61">
        <f>+F29</f>
        <v>112.40323727936465</v>
      </c>
      <c r="AH47" s="68" t="s">
        <v>347</v>
      </c>
      <c r="AI47" s="68">
        <f>4.6*10^-5</f>
        <v>4.6E-5</v>
      </c>
    </row>
    <row r="48" spans="2:35" x14ac:dyDescent="0.3">
      <c r="B48" s="68" t="s">
        <v>142</v>
      </c>
      <c r="C48" s="68">
        <v>0.15409999999999999</v>
      </c>
      <c r="D48" s="68" t="s">
        <v>362</v>
      </c>
      <c r="E48" s="68">
        <v>1.4999999999999999E-2</v>
      </c>
      <c r="G48" s="68" t="s">
        <v>142</v>
      </c>
      <c r="H48" s="68">
        <f>$C$48</f>
        <v>0.15409999999999999</v>
      </c>
      <c r="I48" s="68" t="s">
        <v>366</v>
      </c>
      <c r="J48" s="61">
        <f>+H47/2</f>
        <v>117.70764669655009</v>
      </c>
      <c r="L48" s="68" t="s">
        <v>142</v>
      </c>
      <c r="M48" s="68">
        <f>$C$48</f>
        <v>0.15409999999999999</v>
      </c>
      <c r="N48" s="68" t="s">
        <v>366</v>
      </c>
      <c r="O48" s="61">
        <f>+M47/2</f>
        <v>132.27982084027556</v>
      </c>
      <c r="Q48" s="68" t="s">
        <v>142</v>
      </c>
      <c r="R48" s="68">
        <f>$C$48</f>
        <v>0.15409999999999999</v>
      </c>
      <c r="S48" s="68" t="s">
        <v>366</v>
      </c>
      <c r="T48" s="61">
        <f>R47</f>
        <v>254.54554137711409</v>
      </c>
      <c r="V48" s="68" t="s">
        <v>142</v>
      </c>
      <c r="W48" s="68">
        <f>$C$48</f>
        <v>0.15409999999999999</v>
      </c>
      <c r="X48" s="68" t="s">
        <v>366</v>
      </c>
      <c r="Y48" s="61">
        <f>W47/2</f>
        <v>117.50961371733776</v>
      </c>
      <c r="AA48" s="68" t="s">
        <v>142</v>
      </c>
      <c r="AB48" s="68">
        <f>$C$48</f>
        <v>0.15409999999999999</v>
      </c>
      <c r="AC48" s="68" t="s">
        <v>366</v>
      </c>
      <c r="AD48" s="61">
        <f>AB47/2</f>
        <v>104.66963723687702</v>
      </c>
      <c r="AF48" s="68" t="s">
        <v>142</v>
      </c>
      <c r="AG48" s="68">
        <f>$C$48</f>
        <v>0.15409999999999999</v>
      </c>
      <c r="AH48" s="68" t="s">
        <v>366</v>
      </c>
      <c r="AI48" s="61">
        <f>AG47</f>
        <v>112.40323727936465</v>
      </c>
    </row>
    <row r="49" spans="2:35" x14ac:dyDescent="0.3">
      <c r="B49" s="68" t="s">
        <v>344</v>
      </c>
      <c r="C49" s="64" cm="1">
        <f t="array" ref="C49">Calcular_Area(C48)</f>
        <v>1.8650700960548158E-2</v>
      </c>
      <c r="D49" s="68" t="s">
        <v>374</v>
      </c>
      <c r="E49" s="70" cm="1">
        <f t="array" ref="E49">CalcularPerdidasMayores($C$53,C47,$C$48,$C$50)</f>
        <v>2.2144211694664575</v>
      </c>
      <c r="G49" s="68" t="s">
        <v>344</v>
      </c>
      <c r="H49" s="61" cm="1">
        <f t="array" ref="H49">Calcular_Area(H48)</f>
        <v>1.8650700960548158E-2</v>
      </c>
      <c r="I49" s="68" t="s">
        <v>374</v>
      </c>
      <c r="J49" s="66" cm="1">
        <f t="array" ref="J49">CalcularPerdidasMayores($C$53,J48,$C$48,$C$50)</f>
        <v>1.2345707959902432</v>
      </c>
      <c r="L49" s="68" t="s">
        <v>344</v>
      </c>
      <c r="M49" s="61" cm="1">
        <f t="array" ref="M49">Calcular_Area(M48)</f>
        <v>1.8650700960548158E-2</v>
      </c>
      <c r="N49" s="68" t="s">
        <v>374</v>
      </c>
      <c r="O49" s="66" cm="1">
        <f t="array" ref="O49">CalcularPerdidasMayores($C$53,O48,$C$48,$C$50)</f>
        <v>1.3874103194776743</v>
      </c>
      <c r="Q49" s="68" t="s">
        <v>344</v>
      </c>
      <c r="R49" s="61" cm="1">
        <f t="array" ref="R49">Calcular_Area(R48)</f>
        <v>1.8650700960548158E-2</v>
      </c>
      <c r="S49" s="68" t="s">
        <v>374</v>
      </c>
      <c r="T49" s="66" cm="1">
        <f t="array" ref="T49">CalcularPerdidasMayores($C$53,T48,$C$48,$C$50)</f>
        <v>2.6697882461609157</v>
      </c>
      <c r="V49" s="68" t="s">
        <v>344</v>
      </c>
      <c r="W49" s="61" cm="1">
        <f t="array" ref="W49">Calcular_Area(W48)</f>
        <v>1.8650700960548158E-2</v>
      </c>
      <c r="X49" s="68" t="s">
        <v>374</v>
      </c>
      <c r="Y49" s="66" cm="1">
        <f t="array" ref="Y49">CalcularPerdidasMayores($C$53,Y48,$C$48,$C$50)</f>
        <v>1.2324937369406408</v>
      </c>
      <c r="AA49" s="68" t="s">
        <v>344</v>
      </c>
      <c r="AB49" s="61" cm="1">
        <f t="array" ref="AB49">Calcular_Area(AB48)</f>
        <v>1.8650700960548158E-2</v>
      </c>
      <c r="AC49" s="68" t="s">
        <v>374</v>
      </c>
      <c r="AD49" s="66" cm="1">
        <f t="array" ref="AD49">CalcularPerdidasMayores($C$53,AD48,$C$48,$C$50)</f>
        <v>1.0978222824611841</v>
      </c>
      <c r="AF49" s="68" t="s">
        <v>344</v>
      </c>
      <c r="AG49" s="61" cm="1">
        <f t="array" ref="AG49">Calcular_Area(AG48)</f>
        <v>1.8650700960548158E-2</v>
      </c>
      <c r="AH49" s="68" t="s">
        <v>374</v>
      </c>
      <c r="AI49" s="66" cm="1">
        <f t="array" ref="AI49">CalcularPerdidasMayores($C$53,AI48,$C$48,$C$50)</f>
        <v>1.1789357617318894</v>
      </c>
    </row>
    <row r="50" spans="2:35" x14ac:dyDescent="0.3">
      <c r="B50" s="68" t="s">
        <v>141</v>
      </c>
      <c r="C50" s="61">
        <f>C46/C49</f>
        <v>1.3404321935611172</v>
      </c>
      <c r="G50" s="68" t="s">
        <v>141</v>
      </c>
      <c r="H50" s="61">
        <f>H46/H49</f>
        <v>1.3404321935611172</v>
      </c>
      <c r="L50" s="68" t="s">
        <v>141</v>
      </c>
      <c r="M50" s="61">
        <f>M46/M49</f>
        <v>1.3404321935611172</v>
      </c>
      <c r="N50" s="68" t="s">
        <v>375</v>
      </c>
      <c r="O50" s="68" cm="1">
        <f t="array" ref="O50">Interpolar(45,15,60,25,M45)</f>
        <v>18.78</v>
      </c>
      <c r="Q50" s="68" t="s">
        <v>141</v>
      </c>
      <c r="R50" s="61">
        <f>R46/R49</f>
        <v>1.3404321935611172</v>
      </c>
      <c r="S50" s="68" t="s">
        <v>375</v>
      </c>
      <c r="T50" s="68">
        <v>0</v>
      </c>
      <c r="V50" s="68" t="s">
        <v>141</v>
      </c>
      <c r="W50" s="61">
        <f>W46/W49</f>
        <v>1.3404321935611172</v>
      </c>
      <c r="X50" s="68" t="s">
        <v>375</v>
      </c>
      <c r="Y50" s="61" cm="1">
        <f t="array" ref="Y50">Interpolar(45,15,60,25,W45)</f>
        <v>23.113333333333333</v>
      </c>
      <c r="AA50" s="68" t="s">
        <v>141</v>
      </c>
      <c r="AB50" s="61">
        <f>AB46/AB49</f>
        <v>1.3404321935611172</v>
      </c>
      <c r="AC50" s="68" t="s">
        <v>375</v>
      </c>
      <c r="AD50" s="68" cm="1">
        <f t="array" ref="AD50">Interpolar(60,25,75,40,AB45)</f>
        <v>35.370000000000005</v>
      </c>
      <c r="AF50" s="68" t="s">
        <v>141</v>
      </c>
      <c r="AG50" s="61">
        <f>AG46/AG49</f>
        <v>1.3404321935611172</v>
      </c>
      <c r="AH50" s="68" t="s">
        <v>375</v>
      </c>
      <c r="AI50" s="68">
        <v>0</v>
      </c>
    </row>
    <row r="51" spans="2:35" x14ac:dyDescent="0.3">
      <c r="B51" s="68" t="s">
        <v>345</v>
      </c>
      <c r="C51" s="70" cm="1">
        <f t="array" ref="C51">Calcular_Carga_Velocidad(C50)</f>
        <v>9.1577903442154343E-2</v>
      </c>
      <c r="G51" s="68" t="s">
        <v>345</v>
      </c>
      <c r="H51" s="66" cm="1">
        <f t="array" ref="H51">Calcular_Carga_Velocidad(H50)</f>
        <v>9.1577903442154343E-2</v>
      </c>
      <c r="L51" s="68" t="s">
        <v>345</v>
      </c>
      <c r="M51" s="66" cm="1">
        <f t="array" ref="M51">Calcular_Carga_Velocidad(M50)</f>
        <v>9.1577903442154343E-2</v>
      </c>
      <c r="Q51" s="68" t="s">
        <v>345</v>
      </c>
      <c r="R51" s="66" cm="1">
        <f t="array" ref="R51">Calcular_Carga_Velocidad(R50)</f>
        <v>9.1577903442154343E-2</v>
      </c>
      <c r="V51" s="68" t="s">
        <v>345</v>
      </c>
      <c r="W51" s="66" cm="1">
        <f t="array" ref="W51">Calcular_Carga_Velocidad(W50)</f>
        <v>9.1577903442154343E-2</v>
      </c>
      <c r="AA51" s="68" t="s">
        <v>345</v>
      </c>
      <c r="AB51" s="66" cm="1">
        <f t="array" ref="AB51">Calcular_Carga_Velocidad(AB50)</f>
        <v>9.1577903442154343E-2</v>
      </c>
      <c r="AC51" s="95" t="s">
        <v>386</v>
      </c>
      <c r="AD51" s="96">
        <f>(100-AC67)/AB51</f>
        <v>1077.4175192966395</v>
      </c>
      <c r="AF51" s="68" t="s">
        <v>345</v>
      </c>
      <c r="AG51" s="66" cm="1">
        <f t="array" ref="AG51">Calcular_Carga_Velocidad(AG50)</f>
        <v>9.1577903442154343E-2</v>
      </c>
      <c r="AH51" s="95" t="s">
        <v>386</v>
      </c>
      <c r="AI51" s="96">
        <f>(100-AH67)/AG51</f>
        <v>1076.8428872999255</v>
      </c>
    </row>
    <row r="52" spans="2:35" x14ac:dyDescent="0.3">
      <c r="B52" s="68" t="s">
        <v>64</v>
      </c>
      <c r="C52" s="61" cm="1">
        <f t="array" ref="C52">Calcular_Numero_Reynolds(E45,C50,C48,E46)</f>
        <v>206147.47982571259</v>
      </c>
      <c r="G52" s="68" t="s">
        <v>64</v>
      </c>
      <c r="H52" s="61" cm="1">
        <f t="array" ref="H52">Calcular_Numero_Reynolds(J45,H50,H48,J46)</f>
        <v>206147.47982571259</v>
      </c>
      <c r="L52" s="68" t="s">
        <v>64</v>
      </c>
      <c r="M52" s="61" cm="1">
        <f t="array" ref="M52">Calcular_Numero_Reynolds(O45,M50,M48,O46)</f>
        <v>206147.47982571259</v>
      </c>
      <c r="Q52" s="68" t="s">
        <v>64</v>
      </c>
      <c r="R52" s="61" cm="1">
        <f t="array" ref="R52">Calcular_Numero_Reynolds(T45,R50,R48,T46)</f>
        <v>206147.47982571259</v>
      </c>
      <c r="V52" s="68" t="s">
        <v>64</v>
      </c>
      <c r="W52" s="61" cm="1">
        <f t="array" ref="W52">Calcular_Numero_Reynolds(Y45,W50,W48,Y46)</f>
        <v>206147.47982571259</v>
      </c>
      <c r="AA52" s="68" t="s">
        <v>64</v>
      </c>
      <c r="AB52" s="61" cm="1">
        <f t="array" ref="AB52">Calcular_Numero_Reynolds(AD45,AB50,AB48,AD46)</f>
        <v>206147.47982571259</v>
      </c>
      <c r="AC52" s="95"/>
      <c r="AD52" s="96"/>
      <c r="AF52" s="68" t="s">
        <v>64</v>
      </c>
      <c r="AG52" s="61" cm="1">
        <f t="array" ref="AG52">Calcular_Numero_Reynolds(AI45,AG50,AG48,AI46)</f>
        <v>206147.47982571259</v>
      </c>
      <c r="AH52" s="95"/>
      <c r="AI52" s="96"/>
    </row>
    <row r="53" spans="2:35" x14ac:dyDescent="0.3">
      <c r="B53" s="68" t="s">
        <v>350</v>
      </c>
      <c r="C53" s="67" cm="1">
        <f t="array" ref="C53">Colebrook_White(E47,C48,C52)</f>
        <v>1.7649128471056784E-2</v>
      </c>
      <c r="G53" s="68" t="s">
        <v>350</v>
      </c>
      <c r="H53" s="67" cm="1">
        <f t="array" ref="H53">Colebrook_White(J47,H48,H52)</f>
        <v>1.7649128471056784E-2</v>
      </c>
      <c r="L53" s="68" t="s">
        <v>350</v>
      </c>
      <c r="M53" s="67" cm="1">
        <f t="array" ref="M53">Colebrook_White(O47,M48,M52)</f>
        <v>1.7649128471056784E-2</v>
      </c>
      <c r="Q53" s="68" t="s">
        <v>350</v>
      </c>
      <c r="R53" s="67" cm="1">
        <f t="array" ref="R53">Colebrook_White(T47,R48,R52)</f>
        <v>1.7649128471056784E-2</v>
      </c>
      <c r="V53" s="68" t="s">
        <v>350</v>
      </c>
      <c r="W53" s="67" cm="1">
        <f t="array" ref="W53">Colebrook_White(Y47,W48,W52)</f>
        <v>1.7649128471056784E-2</v>
      </c>
      <c r="AA53" s="68" t="s">
        <v>350</v>
      </c>
      <c r="AB53" s="67" cm="1">
        <f t="array" ref="AB53">Colebrook_White(AD47,AB48,AB52)</f>
        <v>1.7649128471056784E-2</v>
      </c>
      <c r="AF53" s="68" t="s">
        <v>350</v>
      </c>
      <c r="AG53" s="67" cm="1">
        <f t="array" ref="AG53">Colebrook_White(AI47,AG48,AG52)</f>
        <v>1.7649128471056784E-2</v>
      </c>
    </row>
    <row r="54" spans="2:35" x14ac:dyDescent="0.3">
      <c r="B54" s="68" t="s">
        <v>351</v>
      </c>
      <c r="C54" s="67" cm="1">
        <f t="array" ref="C54">Factor_Haaland(E47,C48,C52)</f>
        <v>1.7438119823159692E-2</v>
      </c>
      <c r="G54" s="68" t="s">
        <v>351</v>
      </c>
      <c r="H54" s="67" cm="1">
        <f t="array" ref="H54">Factor_Haaland(J47,H48,H52)</f>
        <v>1.7438119823159692E-2</v>
      </c>
      <c r="L54" s="68" t="s">
        <v>351</v>
      </c>
      <c r="M54" s="67" cm="1">
        <f t="array" ref="M54">Factor_Haaland(O47,M48,M52)</f>
        <v>1.7438119823159692E-2</v>
      </c>
      <c r="Q54" s="68" t="s">
        <v>351</v>
      </c>
      <c r="R54" s="67" cm="1">
        <f t="array" ref="R54">Factor_Haaland(T47,R48,R52)</f>
        <v>1.7438119823159692E-2</v>
      </c>
      <c r="V54" s="68" t="s">
        <v>351</v>
      </c>
      <c r="W54" s="67" cm="1">
        <f t="array" ref="W54">Factor_Haaland(Y47,W48,W52)</f>
        <v>1.7438119823159692E-2</v>
      </c>
      <c r="AA54" s="68" t="s">
        <v>351</v>
      </c>
      <c r="AB54" s="67" cm="1">
        <f t="array" ref="AB54">Factor_Haaland(AD47,AB48,AB52)</f>
        <v>1.7438119823159692E-2</v>
      </c>
      <c r="AF54" s="68" t="s">
        <v>351</v>
      </c>
      <c r="AG54" s="67" cm="1">
        <f t="array" ref="AG54">Factor_Haaland(AI47,AG48,AG52)</f>
        <v>1.7438119823159692E-2</v>
      </c>
    </row>
    <row r="55" spans="2:35" x14ac:dyDescent="0.3">
      <c r="B55" s="68" t="s">
        <v>348</v>
      </c>
      <c r="C55" s="70" cm="1">
        <f t="array" ref="C55">Perdida_Friccion_Darcy(C53,$C$47,$C$48,$C$50)</f>
        <v>2.2144211694664575</v>
      </c>
      <c r="G55" s="68" t="s">
        <v>348</v>
      </c>
      <c r="H55" s="61" cm="1">
        <f t="array" ref="H55">Perdida_Friccion_Darcy(H53,$C$47,$C$48,$C$50)</f>
        <v>2.2144211694664575</v>
      </c>
      <c r="L55" s="68" t="s">
        <v>348</v>
      </c>
      <c r="M55" s="61" cm="1">
        <f t="array" ref="M55">Perdida_Friccion_Darcy(M53,$C$47,$C$48,$C$50)</f>
        <v>2.2144211694664575</v>
      </c>
      <c r="Q55" s="68" t="s">
        <v>348</v>
      </c>
      <c r="R55" s="61" cm="1">
        <f t="array" ref="R55">Perdida_Friccion_Darcy(R53,$C$47,$C$48,$C$50)</f>
        <v>2.2144211694664575</v>
      </c>
      <c r="V55" s="68" t="s">
        <v>348</v>
      </c>
      <c r="W55" s="61" cm="1">
        <f t="array" ref="W55">Perdida_Friccion_Darcy(W53,$C$47,$C$48,$C$50)</f>
        <v>2.2144211694664575</v>
      </c>
      <c r="AA55" s="68" t="s">
        <v>348</v>
      </c>
      <c r="AB55" s="61" cm="1">
        <f t="array" ref="AB55">Perdida_Friccion_Darcy(AB53,$C$47,$C$48,$C$50)</f>
        <v>2.2144211694664575</v>
      </c>
      <c r="AF55" s="68" t="s">
        <v>348</v>
      </c>
      <c r="AG55" s="61" cm="1">
        <f t="array" ref="AG55">Perdida_Friccion_Darcy(AG53,$C$47,$C$48,$C$50)</f>
        <v>2.2144211694664575</v>
      </c>
    </row>
    <row r="56" spans="2:35" x14ac:dyDescent="0.3">
      <c r="B56" s="68" t="s">
        <v>348</v>
      </c>
      <c r="C56" s="70" cm="1">
        <f t="array" ref="C56">Perdida_Friccion_Darcy(C54,$C$47,$C$48,$C$50)</f>
        <v>2.187946093509586</v>
      </c>
      <c r="G56" s="68" t="s">
        <v>348</v>
      </c>
      <c r="H56" s="61" cm="1">
        <f t="array" ref="H56">Perdida_Friccion_Darcy(H54,$C$47,$C$48,$C$50)</f>
        <v>2.187946093509586</v>
      </c>
      <c r="L56" s="68" t="s">
        <v>348</v>
      </c>
      <c r="M56" s="61" cm="1">
        <f t="array" ref="M56">Perdida_Friccion_Darcy(M54,$C$47,$C$48,$C$50)</f>
        <v>2.187946093509586</v>
      </c>
      <c r="Q56" s="68" t="s">
        <v>348</v>
      </c>
      <c r="R56" s="61" cm="1">
        <f t="array" ref="R56">Perdida_Friccion_Darcy(R54,$C$47,$C$48,$C$50)</f>
        <v>2.187946093509586</v>
      </c>
      <c r="V56" s="68" t="s">
        <v>348</v>
      </c>
      <c r="W56" s="61" cm="1">
        <f t="array" ref="W56">Perdida_Friccion_Darcy(W54,$C$47,$C$48,$C$50)</f>
        <v>2.187946093509586</v>
      </c>
      <c r="AA56" s="68" t="s">
        <v>348</v>
      </c>
      <c r="AB56" s="61" cm="1">
        <f t="array" ref="AB56">Perdida_Friccion_Darcy(AB54,$C$47,$C$48,$C$50)</f>
        <v>2.187946093509586</v>
      </c>
      <c r="AF56" s="68" t="s">
        <v>348</v>
      </c>
      <c r="AG56" s="61" cm="1">
        <f t="array" ref="AG56">Perdida_Friccion_Darcy(AG54,$C$47,$C$48,$C$50)</f>
        <v>2.187946093509586</v>
      </c>
    </row>
    <row r="58" spans="2:35" ht="30" customHeight="1" x14ac:dyDescent="0.3">
      <c r="B58" s="68" t="s">
        <v>349</v>
      </c>
      <c r="C58" s="68" t="s">
        <v>363</v>
      </c>
      <c r="D58" s="71" t="s">
        <v>357</v>
      </c>
      <c r="E58" s="68" t="s">
        <v>352</v>
      </c>
      <c r="G58" s="68" t="s">
        <v>369</v>
      </c>
      <c r="H58" s="68" t="s">
        <v>363</v>
      </c>
      <c r="I58" s="68" t="s">
        <v>364</v>
      </c>
      <c r="J58" s="68" t="s">
        <v>352</v>
      </c>
      <c r="L58" s="68" t="s">
        <v>369</v>
      </c>
      <c r="M58" s="68" t="s">
        <v>363</v>
      </c>
      <c r="N58" s="68" t="s">
        <v>364</v>
      </c>
      <c r="O58" s="68" t="s">
        <v>352</v>
      </c>
      <c r="Q58" s="68" t="s">
        <v>369</v>
      </c>
      <c r="R58" s="68" t="s">
        <v>363</v>
      </c>
      <c r="S58" s="68" t="s">
        <v>364</v>
      </c>
      <c r="T58" s="68" t="s">
        <v>352</v>
      </c>
      <c r="V58" s="68" t="s">
        <v>369</v>
      </c>
      <c r="W58" s="68" t="s">
        <v>363</v>
      </c>
      <c r="X58" s="68" t="s">
        <v>364</v>
      </c>
      <c r="Y58" s="68" t="s">
        <v>352</v>
      </c>
      <c r="AA58" s="68" t="s">
        <v>369</v>
      </c>
      <c r="AB58" s="68" t="s">
        <v>363</v>
      </c>
      <c r="AC58" s="68" t="s">
        <v>364</v>
      </c>
      <c r="AD58" s="68" t="s">
        <v>352</v>
      </c>
      <c r="AF58" s="68" t="s">
        <v>369</v>
      </c>
      <c r="AG58" s="68" t="s">
        <v>363</v>
      </c>
      <c r="AH58" s="68" t="s">
        <v>364</v>
      </c>
      <c r="AI58" s="68" t="s">
        <v>352</v>
      </c>
    </row>
    <row r="59" spans="2:35" x14ac:dyDescent="0.3">
      <c r="B59" s="68" t="s">
        <v>356</v>
      </c>
      <c r="C59" s="68">
        <v>1</v>
      </c>
      <c r="D59" s="68">
        <f>C59*0.5</f>
        <v>0.5</v>
      </c>
      <c r="E59" s="70">
        <f>C59*D59*$C$51</f>
        <v>4.5788951721077172E-2</v>
      </c>
      <c r="G59" s="68" t="s">
        <v>373</v>
      </c>
      <c r="H59" s="68">
        <v>1</v>
      </c>
      <c r="I59" s="68">
        <f>0.5</f>
        <v>0.5</v>
      </c>
      <c r="J59" s="70">
        <f>H59*I59*$C$51</f>
        <v>4.5788951721077172E-2</v>
      </c>
      <c r="L59" s="68" t="s">
        <v>377</v>
      </c>
      <c r="M59" s="68">
        <v>1</v>
      </c>
      <c r="N59" s="68">
        <f>0.5</f>
        <v>0.5</v>
      </c>
      <c r="O59" s="70">
        <f>M59*N59*$C$51</f>
        <v>4.5788951721077172E-2</v>
      </c>
      <c r="Q59" s="68" t="s">
        <v>377</v>
      </c>
      <c r="R59" s="68">
        <v>1</v>
      </c>
      <c r="S59" s="68">
        <f>0.5</f>
        <v>0.5</v>
      </c>
      <c r="T59" s="70">
        <f>R59*S59*$C$51</f>
        <v>4.5788951721077172E-2</v>
      </c>
      <c r="V59" s="68" t="s">
        <v>377</v>
      </c>
      <c r="W59" s="68">
        <v>1</v>
      </c>
      <c r="X59" s="68">
        <f>0.5</f>
        <v>0.5</v>
      </c>
      <c r="Y59" s="70">
        <f>W59*X59*$C$51</f>
        <v>4.5788951721077172E-2</v>
      </c>
      <c r="AA59" s="68" t="s">
        <v>377</v>
      </c>
      <c r="AB59" s="68">
        <v>1</v>
      </c>
      <c r="AC59" s="68">
        <f>0.5</f>
        <v>0.5</v>
      </c>
      <c r="AD59" s="70">
        <f>AB59*AC59*$C$51</f>
        <v>4.5788951721077172E-2</v>
      </c>
      <c r="AF59" s="68" t="s">
        <v>377</v>
      </c>
      <c r="AG59" s="68">
        <v>1</v>
      </c>
      <c r="AH59" s="68">
        <f>0.5</f>
        <v>0.5</v>
      </c>
      <c r="AI59" s="70">
        <f>AG59*AH59*$C$51</f>
        <v>4.5788951721077172E-2</v>
      </c>
    </row>
    <row r="60" spans="2:35" x14ac:dyDescent="0.3">
      <c r="B60" s="68" t="s">
        <v>358</v>
      </c>
      <c r="C60" s="68">
        <v>2</v>
      </c>
      <c r="D60" s="68">
        <f>8*$E$48</f>
        <v>0.12</v>
      </c>
      <c r="E60" s="70">
        <f>C60*D60*$C$51</f>
        <v>2.1978696826117042E-2</v>
      </c>
      <c r="G60" s="68" t="s">
        <v>367</v>
      </c>
      <c r="H60" s="68">
        <v>2</v>
      </c>
      <c r="I60" s="68">
        <f>25*$E$48</f>
        <v>0.375</v>
      </c>
      <c r="J60" s="70">
        <f>H60*I60*$C$51</f>
        <v>6.8683427581615761E-2</v>
      </c>
      <c r="L60" s="68" t="s">
        <v>372</v>
      </c>
      <c r="M60" s="68">
        <v>2</v>
      </c>
      <c r="N60" s="61">
        <f>O50*$E$48</f>
        <v>0.28170000000000001</v>
      </c>
      <c r="O60" s="70">
        <f>M60*N60*$C$51</f>
        <v>5.1594990799309758E-2</v>
      </c>
      <c r="Q60" s="68" t="s">
        <v>378</v>
      </c>
      <c r="R60" s="68">
        <v>2</v>
      </c>
      <c r="S60" s="61">
        <f>30*$E$48</f>
        <v>0.44999999999999996</v>
      </c>
      <c r="T60" s="70">
        <f>R60*S60*$C$51</f>
        <v>8.2420113097938896E-2</v>
      </c>
      <c r="V60" s="68" t="s">
        <v>383</v>
      </c>
      <c r="W60" s="68">
        <v>2</v>
      </c>
      <c r="X60" s="61">
        <f>Y50*$E$48</f>
        <v>0.34670000000000001</v>
      </c>
      <c r="Y60" s="70">
        <f>W60*X60*$C$51</f>
        <v>6.3500118246789819E-2</v>
      </c>
      <c r="AA60" s="68" t="s">
        <v>383</v>
      </c>
      <c r="AB60" s="68">
        <v>2</v>
      </c>
      <c r="AC60" s="61">
        <f>AD50*$E$48</f>
        <v>0.53055000000000008</v>
      </c>
      <c r="AD60" s="70">
        <f>AB60*AC60*$C$51</f>
        <v>9.7173313342469994E-2</v>
      </c>
      <c r="AF60" s="68" t="s">
        <v>367</v>
      </c>
      <c r="AG60" s="68">
        <v>2</v>
      </c>
      <c r="AH60" s="61">
        <f>25*$E$48</f>
        <v>0.375</v>
      </c>
      <c r="AI60" s="70">
        <f>AG60*AH60*$C$51</f>
        <v>6.8683427581615761E-2</v>
      </c>
    </row>
    <row r="61" spans="2:35" x14ac:dyDescent="0.3">
      <c r="B61" s="68" t="s">
        <v>359</v>
      </c>
      <c r="C61" s="68">
        <v>0</v>
      </c>
      <c r="D61" s="68">
        <f>C61*100*$E$48</f>
        <v>0</v>
      </c>
      <c r="E61" s="70">
        <f t="shared" ref="E61:E63" si="4">C61*D61*$C$51</f>
        <v>0</v>
      </c>
      <c r="G61" s="68" t="s">
        <v>359</v>
      </c>
      <c r="H61" s="68">
        <v>0</v>
      </c>
      <c r="I61" s="68">
        <f>100*$E$48</f>
        <v>1.5</v>
      </c>
      <c r="J61" s="70">
        <f t="shared" ref="J61:J63" si="5">H61*I61*$C$51</f>
        <v>0</v>
      </c>
      <c r="L61" s="68" t="s">
        <v>359</v>
      </c>
      <c r="M61" s="68">
        <v>0</v>
      </c>
      <c r="N61" s="68">
        <f>100*$E$48</f>
        <v>1.5</v>
      </c>
      <c r="O61" s="70">
        <f t="shared" ref="O61:O63" si="6">M61*N61*$C$51</f>
        <v>0</v>
      </c>
      <c r="Q61" s="68" t="s">
        <v>359</v>
      </c>
      <c r="R61" s="68">
        <v>0</v>
      </c>
      <c r="S61" s="68">
        <f>100*$E$48</f>
        <v>1.5</v>
      </c>
      <c r="T61" s="70">
        <f t="shared" ref="T61:T63" si="7">R61*S61*$C$51</f>
        <v>0</v>
      </c>
      <c r="V61" s="68" t="s">
        <v>360</v>
      </c>
      <c r="W61" s="68">
        <v>0</v>
      </c>
      <c r="X61" s="68">
        <f>8*$E$48</f>
        <v>0.12</v>
      </c>
      <c r="Y61" s="70">
        <f t="shared" ref="Y61:Y62" si="8">W61*X61*$C$51</f>
        <v>0</v>
      </c>
      <c r="AA61" s="68" t="s">
        <v>360</v>
      </c>
      <c r="AB61" s="68">
        <v>0</v>
      </c>
      <c r="AC61" s="68">
        <f>8*$E$48</f>
        <v>0.12</v>
      </c>
      <c r="AD61" s="70">
        <f t="shared" ref="AD61:AD62" si="9">AB61*AC61*$C$51</f>
        <v>0</v>
      </c>
      <c r="AF61" s="68" t="s">
        <v>360</v>
      </c>
      <c r="AG61" s="68">
        <v>0</v>
      </c>
      <c r="AH61" s="68">
        <f>8*$E$48</f>
        <v>0.12</v>
      </c>
      <c r="AI61" s="70">
        <f t="shared" ref="AI61:AI62" si="10">AG61*AH61*$C$51</f>
        <v>0</v>
      </c>
    </row>
    <row r="62" spans="2:35" x14ac:dyDescent="0.3">
      <c r="B62" s="68" t="s">
        <v>360</v>
      </c>
      <c r="C62" s="68">
        <v>0</v>
      </c>
      <c r="D62" s="68">
        <f>C62*8*$E$48</f>
        <v>0</v>
      </c>
      <c r="E62" s="70">
        <f t="shared" si="4"/>
        <v>0</v>
      </c>
      <c r="G62" s="68" t="s">
        <v>360</v>
      </c>
      <c r="H62" s="68">
        <v>0</v>
      </c>
      <c r="I62" s="68">
        <f>8*$E$48</f>
        <v>0.12</v>
      </c>
      <c r="J62" s="70">
        <f t="shared" si="5"/>
        <v>0</v>
      </c>
      <c r="L62" s="68" t="s">
        <v>360</v>
      </c>
      <c r="M62" s="68">
        <v>0</v>
      </c>
      <c r="N62" s="68">
        <f>8*$E$48</f>
        <v>0.12</v>
      </c>
      <c r="O62" s="70">
        <f t="shared" si="6"/>
        <v>0</v>
      </c>
      <c r="Q62" s="68" t="s">
        <v>360</v>
      </c>
      <c r="R62" s="68">
        <v>0</v>
      </c>
      <c r="S62" s="68">
        <f>8*$E$48</f>
        <v>0.12</v>
      </c>
      <c r="T62" s="70">
        <f t="shared" si="7"/>
        <v>0</v>
      </c>
      <c r="V62" s="68" t="s">
        <v>361</v>
      </c>
      <c r="W62" s="68">
        <v>1</v>
      </c>
      <c r="X62" s="68">
        <v>1</v>
      </c>
      <c r="Y62" s="70">
        <f t="shared" si="8"/>
        <v>9.1577903442154343E-2</v>
      </c>
      <c r="AA62" s="68" t="s">
        <v>361</v>
      </c>
      <c r="AB62" s="68">
        <v>1</v>
      </c>
      <c r="AC62" s="68">
        <v>1</v>
      </c>
      <c r="AD62" s="70">
        <f t="shared" si="9"/>
        <v>9.1577903442154343E-2</v>
      </c>
      <c r="AF62" s="68" t="s">
        <v>361</v>
      </c>
      <c r="AG62" s="68">
        <v>1</v>
      </c>
      <c r="AH62" s="68">
        <v>1</v>
      </c>
      <c r="AI62" s="70">
        <f t="shared" si="10"/>
        <v>9.1577903442154343E-2</v>
      </c>
    </row>
    <row r="63" spans="2:35" x14ac:dyDescent="0.3">
      <c r="B63" s="68" t="s">
        <v>361</v>
      </c>
      <c r="C63" s="68">
        <v>1</v>
      </c>
      <c r="D63" s="68">
        <v>1</v>
      </c>
      <c r="E63" s="70">
        <f t="shared" si="4"/>
        <v>9.1577903442154343E-2</v>
      </c>
      <c r="G63" s="68" t="s">
        <v>361</v>
      </c>
      <c r="H63" s="68">
        <v>1</v>
      </c>
      <c r="I63" s="68">
        <v>1</v>
      </c>
      <c r="J63" s="70">
        <f t="shared" si="5"/>
        <v>9.1577903442154343E-2</v>
      </c>
      <c r="L63" s="68" t="s">
        <v>361</v>
      </c>
      <c r="M63" s="68">
        <v>1</v>
      </c>
      <c r="N63" s="68">
        <v>1</v>
      </c>
      <c r="O63" s="70">
        <f t="shared" si="6"/>
        <v>9.1577903442154343E-2</v>
      </c>
      <c r="Q63" s="68" t="s">
        <v>361</v>
      </c>
      <c r="R63" s="68">
        <v>1</v>
      </c>
      <c r="S63" s="68">
        <v>1</v>
      </c>
      <c r="T63" s="70">
        <f t="shared" si="7"/>
        <v>9.1577903442154343E-2</v>
      </c>
      <c r="V63" s="75"/>
      <c r="W63" s="75"/>
      <c r="X63" s="61">
        <f>SUM(X59:X62)+X60</f>
        <v>2.3133999999999997</v>
      </c>
      <c r="Y63" s="61">
        <f>SUM(Y59:Y62)</f>
        <v>0.20086697341002135</v>
      </c>
      <c r="AA63" s="75"/>
      <c r="AB63" s="75"/>
      <c r="AC63" s="61">
        <f>SUM(AC59:AC62)+AC60</f>
        <v>2.6810999999999998</v>
      </c>
      <c r="AD63" s="61">
        <f>SUM(AD59:AD62)</f>
        <v>0.23454016850570153</v>
      </c>
      <c r="AF63" s="75"/>
      <c r="AG63" s="75"/>
      <c r="AH63" s="61">
        <f>SUM(AH59:AH62)+AH60</f>
        <v>2.37</v>
      </c>
      <c r="AI63" s="61">
        <f>SUM(AI59:AI62)</f>
        <v>0.20605028274484727</v>
      </c>
    </row>
    <row r="64" spans="2:35" x14ac:dyDescent="0.3">
      <c r="D64" s="61">
        <f>SUM(D59:D63)</f>
        <v>1.62</v>
      </c>
      <c r="E64" s="61">
        <f>SUM(E59:E63)</f>
        <v>0.15934555198934858</v>
      </c>
      <c r="G64" s="75"/>
      <c r="H64" s="75"/>
      <c r="I64" s="61">
        <f>SUM(I59:I63)+I60</f>
        <v>3.87</v>
      </c>
      <c r="J64" s="70">
        <f>SUM(J59:J63)</f>
        <v>0.20605028274484727</v>
      </c>
      <c r="L64" s="75"/>
      <c r="M64" s="75"/>
      <c r="N64" s="61">
        <f>SUM(N59:N63)+N60</f>
        <v>3.6833999999999998</v>
      </c>
      <c r="O64" s="61">
        <f>SUM(O59:O63)</f>
        <v>0.18896184596254129</v>
      </c>
      <c r="Q64" s="75"/>
      <c r="R64" s="75"/>
      <c r="S64" s="61">
        <f>SUM(S59:S63)+S60</f>
        <v>4.0200000000000005</v>
      </c>
      <c r="T64" s="61">
        <f>SUM(T59:T63)</f>
        <v>0.21978696826117039</v>
      </c>
      <c r="V64" s="75"/>
      <c r="W64" s="75"/>
      <c r="X64" s="75"/>
      <c r="Y64" s="74"/>
      <c r="AA64" s="75"/>
      <c r="AB64" s="75"/>
      <c r="AC64" s="75"/>
      <c r="AD64" s="74"/>
      <c r="AF64" s="75"/>
      <c r="AG64" s="75"/>
      <c r="AH64" s="75"/>
      <c r="AI64" s="74"/>
    </row>
    <row r="65" spans="2:35" x14ac:dyDescent="0.3">
      <c r="G65" s="75"/>
      <c r="H65" s="75"/>
      <c r="I65" s="75"/>
      <c r="J65" s="74"/>
      <c r="L65" s="75"/>
      <c r="M65" s="75"/>
      <c r="N65" s="75"/>
      <c r="O65" s="74"/>
      <c r="Q65" s="75"/>
      <c r="R65" s="75"/>
      <c r="S65" s="75"/>
      <c r="T65" s="74"/>
      <c r="V65" s="75"/>
      <c r="W65" s="75"/>
      <c r="X65" s="75"/>
      <c r="Y65" s="74"/>
      <c r="AA65" s="75"/>
      <c r="AB65" s="75"/>
      <c r="AC65" s="75"/>
      <c r="AD65" s="74"/>
      <c r="AF65" s="75"/>
      <c r="AG65" s="75"/>
      <c r="AH65" s="75"/>
      <c r="AI65" s="74"/>
    </row>
    <row r="66" spans="2:35" x14ac:dyDescent="0.3">
      <c r="B66" s="68" t="s">
        <v>354</v>
      </c>
      <c r="C66" s="68" t="s">
        <v>353</v>
      </c>
      <c r="D66" s="61">
        <v>100</v>
      </c>
      <c r="G66" s="75"/>
      <c r="H66" s="75"/>
      <c r="I66" s="75"/>
      <c r="J66" s="74"/>
      <c r="L66" s="75"/>
      <c r="M66" s="75"/>
      <c r="N66" s="75"/>
      <c r="O66" s="74"/>
      <c r="Q66" s="75"/>
      <c r="R66" s="75"/>
      <c r="S66" s="75"/>
      <c r="T66" s="74"/>
      <c r="V66" s="68" t="s">
        <v>354</v>
      </c>
      <c r="W66" s="68" t="s">
        <v>353</v>
      </c>
      <c r="X66" s="61">
        <v>0</v>
      </c>
      <c r="AA66" s="68" t="s">
        <v>354</v>
      </c>
      <c r="AB66" s="68" t="s">
        <v>353</v>
      </c>
      <c r="AC66" s="61">
        <v>0</v>
      </c>
      <c r="AF66" s="68" t="s">
        <v>354</v>
      </c>
      <c r="AG66" s="68" t="s">
        <v>353</v>
      </c>
      <c r="AH66" s="61">
        <v>0</v>
      </c>
    </row>
    <row r="67" spans="2:35" ht="30" x14ac:dyDescent="0.3">
      <c r="B67" s="68"/>
      <c r="C67" s="68" t="s">
        <v>110</v>
      </c>
      <c r="D67" s="70">
        <f>SUM(D66,E64,C56)</f>
        <v>102.34729164549893</v>
      </c>
      <c r="G67" s="68" t="s">
        <v>354</v>
      </c>
      <c r="H67" s="68" t="s">
        <v>353</v>
      </c>
      <c r="I67" s="61">
        <v>100</v>
      </c>
      <c r="L67" s="68" t="s">
        <v>354</v>
      </c>
      <c r="M67" s="68" t="s">
        <v>353</v>
      </c>
      <c r="N67" s="61">
        <v>100</v>
      </c>
      <c r="Q67" s="68" t="s">
        <v>354</v>
      </c>
      <c r="R67" s="68" t="s">
        <v>353</v>
      </c>
      <c r="S67" s="61">
        <v>0</v>
      </c>
      <c r="V67" s="68"/>
      <c r="W67" s="71" t="s">
        <v>385</v>
      </c>
      <c r="X67" s="61">
        <f>SUM(X66,Y63,Y49)</f>
        <v>1.4333607103506623</v>
      </c>
      <c r="AA67" s="68"/>
      <c r="AB67" s="71" t="s">
        <v>385</v>
      </c>
      <c r="AC67" s="64">
        <f>SUM(AC66,AD63,AD49)</f>
        <v>1.3323624509668857</v>
      </c>
      <c r="AF67" s="68"/>
      <c r="AG67" s="68" t="s">
        <v>110</v>
      </c>
      <c r="AH67" s="61">
        <f>SUM(AH66,AI63,AI49)</f>
        <v>1.3849860444767366</v>
      </c>
    </row>
    <row r="68" spans="2:35" ht="30" x14ac:dyDescent="0.3">
      <c r="D68" s="74"/>
      <c r="G68" s="68"/>
      <c r="H68" s="71" t="s">
        <v>385</v>
      </c>
      <c r="I68" s="61">
        <f>SUM(I67,J64,J49)</f>
        <v>101.44062107873508</v>
      </c>
      <c r="L68" s="68"/>
      <c r="M68" s="71" t="s">
        <v>385</v>
      </c>
      <c r="N68" s="61">
        <f>SUM(N67,O64,O49)</f>
        <v>101.57637216544022</v>
      </c>
      <c r="Q68" s="68"/>
      <c r="R68" s="68" t="s">
        <v>110</v>
      </c>
      <c r="S68" s="61">
        <f>SUM(S67,T64,T49)</f>
        <v>2.8895752144220861</v>
      </c>
      <c r="V68" s="75"/>
      <c r="W68" s="71" t="s">
        <v>110</v>
      </c>
      <c r="X68" s="61">
        <f>+X67*2</f>
        <v>2.8667214207013245</v>
      </c>
      <c r="AA68" s="75"/>
      <c r="AB68" s="71" t="s">
        <v>368</v>
      </c>
      <c r="AC68" s="64">
        <f>+AC67*2</f>
        <v>2.6647249019337713</v>
      </c>
      <c r="AF68" s="75"/>
      <c r="AG68" s="68" t="s">
        <v>368</v>
      </c>
      <c r="AH68" s="61">
        <f>+AH67</f>
        <v>1.3849860444767366</v>
      </c>
    </row>
    <row r="69" spans="2:35" x14ac:dyDescent="0.3">
      <c r="G69" s="75"/>
      <c r="H69" s="68" t="s">
        <v>368</v>
      </c>
      <c r="I69" s="61">
        <f>+I68*2</f>
        <v>202.88124215747015</v>
      </c>
      <c r="L69" s="75"/>
      <c r="M69" s="68" t="s">
        <v>368</v>
      </c>
      <c r="N69" s="61">
        <f>+N68*2</f>
        <v>203.15274433088044</v>
      </c>
      <c r="Q69" s="75"/>
      <c r="R69" s="68" t="s">
        <v>368</v>
      </c>
      <c r="S69" s="61">
        <f>+S68</f>
        <v>2.8895752144220861</v>
      </c>
      <c r="V69" s="75"/>
      <c r="W69" s="75"/>
      <c r="X69" s="76"/>
      <c r="AA69" s="75"/>
      <c r="AB69" s="75"/>
      <c r="AC69" s="76"/>
      <c r="AF69" s="75"/>
      <c r="AG69" s="75"/>
      <c r="AH69" s="76"/>
    </row>
    <row r="70" spans="2:35" x14ac:dyDescent="0.3">
      <c r="B70" s="68" t="s">
        <v>127</v>
      </c>
      <c r="C70" s="61" cm="1">
        <f t="array" ref="C70">PotenciaMotorBomba(E45,C46,D67,1)</f>
        <v>25.050471929506497</v>
      </c>
      <c r="D70" s="83" t="s">
        <v>370</v>
      </c>
      <c r="G70" s="75"/>
      <c r="H70" s="75"/>
      <c r="I70" s="76"/>
      <c r="L70" s="75"/>
      <c r="M70" s="75"/>
      <c r="N70" s="76"/>
      <c r="Q70" s="75"/>
      <c r="R70" s="75"/>
      <c r="S70" s="76"/>
    </row>
    <row r="71" spans="2:35" x14ac:dyDescent="0.3">
      <c r="B71" s="83" t="s">
        <v>403</v>
      </c>
      <c r="C71" s="85" cm="1">
        <f t="array" ref="C71">Convertir_kW_a_HP(C70)</f>
        <v>33.593183866906806</v>
      </c>
      <c r="D71" s="83" t="s">
        <v>404</v>
      </c>
      <c r="V71" s="68" t="s">
        <v>127</v>
      </c>
      <c r="W71" s="61">
        <v>0</v>
      </c>
      <c r="X71" s="68" t="s">
        <v>370</v>
      </c>
      <c r="AA71" s="68" t="s">
        <v>127</v>
      </c>
      <c r="AB71" s="61">
        <v>0</v>
      </c>
      <c r="AC71" s="68" t="s">
        <v>370</v>
      </c>
      <c r="AF71" s="68" t="s">
        <v>127</v>
      </c>
      <c r="AG71" s="61">
        <v>0</v>
      </c>
      <c r="AH71" s="68" t="s">
        <v>370</v>
      </c>
    </row>
    <row r="72" spans="2:35" x14ac:dyDescent="0.3">
      <c r="G72" s="68" t="s">
        <v>127</v>
      </c>
      <c r="H72" s="61" cm="1">
        <f t="array" ref="H72">PotenciaMotorBomba(J45,H46,I68,0.8)</f>
        <v>31.035694618650826</v>
      </c>
      <c r="I72" s="68" t="s">
        <v>370</v>
      </c>
      <c r="L72" s="68" t="s">
        <v>127</v>
      </c>
      <c r="M72" s="61" cm="1">
        <f t="array" ref="M72">PotenciaMotorBomba(O45,M46,N68,0.8)</f>
        <v>31.077227578783834</v>
      </c>
      <c r="N72" s="68" t="s">
        <v>370</v>
      </c>
      <c r="Q72" s="68" t="s">
        <v>127</v>
      </c>
      <c r="R72" s="61" cm="1">
        <f t="array" ref="R72">PotenciaMotorBomba(T45,R46,S68,0.8)</f>
        <v>0.88406373086792811</v>
      </c>
      <c r="S72" s="68" t="s">
        <v>370</v>
      </c>
      <c r="V72" s="83" t="s">
        <v>403</v>
      </c>
      <c r="W72" s="85" cm="1">
        <f t="array" ref="W72">Convertir_kW_a_HP(W71)</f>
        <v>0</v>
      </c>
      <c r="X72" s="83" t="s">
        <v>404</v>
      </c>
      <c r="AA72" s="83" t="s">
        <v>403</v>
      </c>
      <c r="AB72" s="85" cm="1">
        <f t="array" ref="AB72">Convertir_kW_a_HP(AB71)</f>
        <v>0</v>
      </c>
      <c r="AC72" s="83" t="s">
        <v>404</v>
      </c>
      <c r="AF72" s="83" t="s">
        <v>403</v>
      </c>
      <c r="AG72" s="85" cm="1">
        <f t="array" ref="AG72">Convertir_kW_a_HP(AG71)</f>
        <v>0</v>
      </c>
      <c r="AH72" s="83" t="s">
        <v>404</v>
      </c>
    </row>
    <row r="73" spans="2:35" s="86" customFormat="1" x14ac:dyDescent="0.3">
      <c r="G73" s="83" t="s">
        <v>403</v>
      </c>
      <c r="H73" s="85" cm="1">
        <f t="array" ref="H73">Convertir_kW_a_HP(H72)</f>
        <v>41.619487197503133</v>
      </c>
      <c r="I73" s="83" t="s">
        <v>404</v>
      </c>
      <c r="L73" s="83" t="s">
        <v>403</v>
      </c>
      <c r="M73" s="85" cm="1">
        <f t="array" ref="M73">Convertir_kW_a_HP(M72)</f>
        <v>41.675183727700698</v>
      </c>
      <c r="N73" s="83" t="s">
        <v>404</v>
      </c>
      <c r="Q73" s="83" t="s">
        <v>403</v>
      </c>
      <c r="R73" s="85" cm="1">
        <f t="array" ref="R73">Convertir_kW_a_HP(R72)</f>
        <v>1.1855471443685091</v>
      </c>
      <c r="S73" s="83" t="s">
        <v>404</v>
      </c>
    </row>
    <row r="74" spans="2:35" ht="51" customHeight="1" x14ac:dyDescent="0.3">
      <c r="G74" s="95" t="s">
        <v>365</v>
      </c>
      <c r="H74" s="95"/>
      <c r="I74" s="95"/>
      <c r="J74" s="95"/>
      <c r="L74" s="95" t="s">
        <v>365</v>
      </c>
      <c r="M74" s="95"/>
      <c r="N74" s="95"/>
      <c r="O74" s="95"/>
      <c r="Q74" s="95" t="s">
        <v>379</v>
      </c>
      <c r="R74" s="95"/>
      <c r="S74" s="95"/>
      <c r="T74" s="95"/>
      <c r="V74" s="95" t="s">
        <v>384</v>
      </c>
      <c r="W74" s="95"/>
      <c r="X74" s="95"/>
      <c r="Y74" s="95"/>
      <c r="AA74" s="95" t="s">
        <v>384</v>
      </c>
      <c r="AB74" s="95"/>
      <c r="AC74" s="95"/>
      <c r="AD74" s="95"/>
      <c r="AF74" s="95"/>
      <c r="AG74" s="95"/>
      <c r="AH74" s="95"/>
      <c r="AI74" s="95"/>
    </row>
    <row r="75" spans="2:35" ht="15" customHeight="1" x14ac:dyDescent="0.3">
      <c r="H75" s="63"/>
    </row>
    <row r="77" spans="2:35" x14ac:dyDescent="0.3">
      <c r="G77" s="77"/>
      <c r="H77" s="77"/>
      <c r="I77" s="77"/>
      <c r="J77" s="77"/>
    </row>
    <row r="78" spans="2:35" x14ac:dyDescent="0.3">
      <c r="G78" s="77"/>
      <c r="H78" s="77"/>
      <c r="I78" s="77"/>
      <c r="J78" s="77"/>
    </row>
    <row r="79" spans="2:35" x14ac:dyDescent="0.3">
      <c r="B79" s="72" t="s">
        <v>387</v>
      </c>
      <c r="C79" s="72" t="s">
        <v>393</v>
      </c>
      <c r="D79" s="72" t="s">
        <v>395</v>
      </c>
      <c r="E79" s="72" t="s">
        <v>338</v>
      </c>
      <c r="G79" s="93" t="s">
        <v>399</v>
      </c>
      <c r="H79" s="93"/>
      <c r="I79" s="93"/>
      <c r="J79" s="93"/>
    </row>
    <row r="80" spans="2:35" x14ac:dyDescent="0.3">
      <c r="B80" s="72" t="s">
        <v>388</v>
      </c>
      <c r="C80" s="82">
        <f>2/C17</f>
        <v>250</v>
      </c>
      <c r="D80" s="82">
        <f>+C80</f>
        <v>250</v>
      </c>
      <c r="E80" s="72">
        <v>0</v>
      </c>
      <c r="G80" s="72" t="s">
        <v>339</v>
      </c>
      <c r="H80" s="72">
        <f>+J57</f>
        <v>0</v>
      </c>
      <c r="I80" s="72" t="s">
        <v>144</v>
      </c>
      <c r="J80" s="72">
        <v>998</v>
      </c>
    </row>
    <row r="81" spans="2:10" x14ac:dyDescent="0.3">
      <c r="B81" s="72" t="s">
        <v>389</v>
      </c>
      <c r="C81" s="82">
        <v>0</v>
      </c>
      <c r="D81" s="82">
        <f>+D80+C81</f>
        <v>250</v>
      </c>
      <c r="E81" s="72">
        <v>-10</v>
      </c>
      <c r="G81" s="72" t="s">
        <v>342</v>
      </c>
      <c r="H81" s="72">
        <f>0.025</f>
        <v>2.5000000000000001E-2</v>
      </c>
      <c r="I81" s="72" t="s">
        <v>346</v>
      </c>
      <c r="J81" s="67">
        <f>1*10^-3</f>
        <v>1E-3</v>
      </c>
    </row>
    <row r="82" spans="2:10" x14ac:dyDescent="0.3">
      <c r="B82" s="72" t="s">
        <v>390</v>
      </c>
      <c r="C82" s="82">
        <f>2.5/C17</f>
        <v>312.5</v>
      </c>
      <c r="D82" s="82">
        <f>+D81+C82</f>
        <v>562.5</v>
      </c>
      <c r="E82" s="72">
        <v>-10</v>
      </c>
      <c r="G82" s="72" t="s">
        <v>343</v>
      </c>
      <c r="H82" s="82">
        <f>C87</f>
        <v>1911.5158092888</v>
      </c>
      <c r="I82" s="72" t="s">
        <v>347</v>
      </c>
      <c r="J82" s="72">
        <f>4.6*10^-5</f>
        <v>4.6E-5</v>
      </c>
    </row>
    <row r="83" spans="2:10" x14ac:dyDescent="0.3">
      <c r="B83" s="72" t="s">
        <v>391</v>
      </c>
      <c r="C83" s="82">
        <v>25</v>
      </c>
      <c r="D83" s="82">
        <f>+D82+C83</f>
        <v>587.5</v>
      </c>
      <c r="E83" s="72">
        <v>-10</v>
      </c>
      <c r="G83" s="72" t="s">
        <v>142</v>
      </c>
      <c r="H83" s="72">
        <v>0.15409999999999999</v>
      </c>
      <c r="I83" s="72" t="s">
        <v>362</v>
      </c>
      <c r="J83" s="72">
        <v>1.4999999999999999E-2</v>
      </c>
    </row>
    <row r="84" spans="2:10" x14ac:dyDescent="0.3">
      <c r="B84" s="72" t="s">
        <v>392</v>
      </c>
      <c r="C84" s="82">
        <f>9.5/C17</f>
        <v>1187.5</v>
      </c>
      <c r="D84" s="82">
        <f>+D83+C84</f>
        <v>1775</v>
      </c>
      <c r="E84" s="72">
        <v>-10</v>
      </c>
      <c r="G84" s="72" t="s">
        <v>344</v>
      </c>
      <c r="H84" s="64" cm="1">
        <f t="array" ref="H84">Calcular_Area(H83)</f>
        <v>1.8650700960548158E-2</v>
      </c>
      <c r="I84" s="72" t="s">
        <v>374</v>
      </c>
      <c r="J84" s="70" cm="1">
        <f t="array" ref="J84">CalcularPerdidasMayores($C$53,H82,$C$48,$C$50)</f>
        <v>20.048838460813222</v>
      </c>
    </row>
    <row r="85" spans="2:10" x14ac:dyDescent="0.3">
      <c r="B85" s="72" t="s">
        <v>394</v>
      </c>
      <c r="C85" s="82">
        <f>0.5/C17</f>
        <v>62.5</v>
      </c>
      <c r="D85" s="82">
        <f>+D84+C85</f>
        <v>1837.5</v>
      </c>
      <c r="E85" s="72">
        <v>100</v>
      </c>
      <c r="G85" s="72" t="s">
        <v>141</v>
      </c>
      <c r="H85" s="82">
        <f>H81/H84</f>
        <v>1.3404321935611172</v>
      </c>
      <c r="I85" s="73"/>
      <c r="J85" s="73"/>
    </row>
    <row r="86" spans="2:10" x14ac:dyDescent="0.3">
      <c r="B86" s="69" t="s">
        <v>397</v>
      </c>
      <c r="C86" s="63">
        <f>SQRT(C85^2+110^2)</f>
        <v>126.51580928879996</v>
      </c>
      <c r="G86" s="72" t="s">
        <v>345</v>
      </c>
      <c r="H86" s="70" cm="1">
        <f t="array" ref="H86">Calcular_Carga_Velocidad(H85)</f>
        <v>9.1577903442154343E-2</v>
      </c>
      <c r="I86" s="73"/>
      <c r="J86" s="73"/>
    </row>
    <row r="87" spans="2:10" x14ac:dyDescent="0.3">
      <c r="B87" s="69" t="s">
        <v>398</v>
      </c>
      <c r="C87" s="63">
        <f>SUM(C86,C80:C84,10)</f>
        <v>1911.5158092888</v>
      </c>
      <c r="G87" s="72" t="s">
        <v>64</v>
      </c>
      <c r="H87" s="82" cm="1">
        <f t="array" ref="H87">Calcular_Numero_Reynolds(J80,H85,H83,J81)</f>
        <v>206147.47982571259</v>
      </c>
      <c r="I87" s="73"/>
      <c r="J87" s="73"/>
    </row>
    <row r="88" spans="2:10" x14ac:dyDescent="0.3">
      <c r="G88" s="72" t="s">
        <v>350</v>
      </c>
      <c r="H88" s="67" cm="1">
        <f t="array" ref="H88">Colebrook_White(J82,H83,H87)</f>
        <v>1.7649128471056784E-2</v>
      </c>
      <c r="I88" s="73"/>
      <c r="J88" s="73"/>
    </row>
    <row r="89" spans="2:10" x14ac:dyDescent="0.3">
      <c r="G89" s="72" t="s">
        <v>351</v>
      </c>
      <c r="H89" s="67" cm="1">
        <f t="array" ref="H89">Factor_Haaland(J82,H83,H87)</f>
        <v>1.7438119823159692E-2</v>
      </c>
      <c r="I89" s="73"/>
      <c r="J89" s="73"/>
    </row>
    <row r="90" spans="2:10" x14ac:dyDescent="0.3">
      <c r="G90" s="72" t="s">
        <v>348</v>
      </c>
      <c r="H90" s="70" cm="1">
        <f t="array" ref="H90">Perdida_Friccion_Darcy(H88,$C$47,$C$48,$C$50)</f>
        <v>2.2144211694664575</v>
      </c>
      <c r="I90" s="73"/>
      <c r="J90" s="73"/>
    </row>
    <row r="91" spans="2:10" x14ac:dyDescent="0.3">
      <c r="G91" s="72" t="s">
        <v>348</v>
      </c>
      <c r="H91" s="70" cm="1">
        <f t="array" ref="H91">Perdida_Friccion_Darcy(H89,$C$47,$C$48,$C$50)</f>
        <v>2.187946093509586</v>
      </c>
      <c r="I91" s="73"/>
      <c r="J91" s="73"/>
    </row>
    <row r="92" spans="2:10" x14ac:dyDescent="0.3">
      <c r="G92" s="73"/>
      <c r="H92" s="73"/>
      <c r="I92" s="73"/>
      <c r="J92" s="73"/>
    </row>
    <row r="93" spans="2:10" x14ac:dyDescent="0.3">
      <c r="G93" s="83" t="s">
        <v>349</v>
      </c>
      <c r="H93" s="83" t="s">
        <v>363</v>
      </c>
      <c r="I93" s="84" t="s">
        <v>357</v>
      </c>
      <c r="J93" s="83" t="s">
        <v>352</v>
      </c>
    </row>
    <row r="94" spans="2:10" x14ac:dyDescent="0.3">
      <c r="G94" s="83" t="s">
        <v>396</v>
      </c>
      <c r="H94" s="83">
        <v>1</v>
      </c>
      <c r="I94" s="83">
        <f>H94*0.5</f>
        <v>0.5</v>
      </c>
      <c r="J94" s="70">
        <f>H94*I94*$C$51</f>
        <v>4.5788951721077172E-2</v>
      </c>
    </row>
    <row r="95" spans="2:10" x14ac:dyDescent="0.3">
      <c r="G95" s="83" t="s">
        <v>400</v>
      </c>
      <c r="H95" s="83">
        <v>4</v>
      </c>
      <c r="I95" s="83">
        <f>30*$E$48</f>
        <v>0.44999999999999996</v>
      </c>
      <c r="J95" s="70">
        <f>H95*I95*$C$51</f>
        <v>0.16484022619587779</v>
      </c>
    </row>
    <row r="96" spans="2:10" x14ac:dyDescent="0.3">
      <c r="G96" s="83" t="s">
        <v>367</v>
      </c>
      <c r="H96" s="83">
        <v>2</v>
      </c>
      <c r="I96" s="83">
        <f>25*$E$48</f>
        <v>0.375</v>
      </c>
      <c r="J96" s="70">
        <f t="shared" ref="J96:J99" si="11">H96*I96*$C$51</f>
        <v>6.8683427581615761E-2</v>
      </c>
    </row>
    <row r="97" spans="7:10" x14ac:dyDescent="0.3">
      <c r="G97" s="83" t="s">
        <v>360</v>
      </c>
      <c r="H97" s="83">
        <v>1</v>
      </c>
      <c r="I97" s="83">
        <f>H97*8*$E$48</f>
        <v>0.12</v>
      </c>
      <c r="J97" s="70">
        <f t="shared" si="11"/>
        <v>1.0989348413058521E-2</v>
      </c>
    </row>
    <row r="98" spans="7:10" x14ac:dyDescent="0.3">
      <c r="G98" s="83" t="s">
        <v>401</v>
      </c>
      <c r="H98" s="83">
        <v>1</v>
      </c>
      <c r="I98" s="83">
        <f>H98*100*$E$48</f>
        <v>1.5</v>
      </c>
      <c r="J98" s="70">
        <f t="shared" si="11"/>
        <v>0.13736685516323152</v>
      </c>
    </row>
    <row r="99" spans="7:10" x14ac:dyDescent="0.3">
      <c r="G99" s="83" t="s">
        <v>402</v>
      </c>
      <c r="H99" s="83">
        <v>1</v>
      </c>
      <c r="I99" s="85">
        <v>1</v>
      </c>
      <c r="J99" s="70">
        <f t="shared" si="11"/>
        <v>9.1577903442154343E-2</v>
      </c>
    </row>
    <row r="100" spans="7:10" x14ac:dyDescent="0.3">
      <c r="G100" s="83"/>
      <c r="H100" s="83"/>
      <c r="I100" s="85">
        <f>SUM(I94,I97:I99,2*I96,4*I95)</f>
        <v>5.67</v>
      </c>
      <c r="J100" s="85">
        <f>SUM(J94:J99)</f>
        <v>0.51924671251701515</v>
      </c>
    </row>
    <row r="101" spans="7:10" x14ac:dyDescent="0.3">
      <c r="G101" s="73"/>
      <c r="H101" s="73"/>
      <c r="I101" s="76"/>
      <c r="J101" s="76"/>
    </row>
    <row r="102" spans="7:10" x14ac:dyDescent="0.3">
      <c r="G102" s="73"/>
      <c r="H102" s="73"/>
      <c r="I102" s="76"/>
      <c r="J102" s="76"/>
    </row>
    <row r="103" spans="7:10" x14ac:dyDescent="0.3">
      <c r="G103" s="73"/>
      <c r="H103" s="73"/>
      <c r="I103" s="73"/>
      <c r="J103" s="73"/>
    </row>
    <row r="104" spans="7:10" x14ac:dyDescent="0.3">
      <c r="G104" s="72" t="s">
        <v>354</v>
      </c>
      <c r="H104" s="72" t="s">
        <v>353</v>
      </c>
      <c r="I104" s="82">
        <v>100</v>
      </c>
      <c r="J104" s="73"/>
    </row>
    <row r="105" spans="7:10" x14ac:dyDescent="0.3">
      <c r="G105" s="72"/>
      <c r="H105" s="72" t="s">
        <v>110</v>
      </c>
      <c r="I105" s="70">
        <f>SUM(I104,J100,J84)</f>
        <v>120.56808517333025</v>
      </c>
      <c r="J105" s="73"/>
    </row>
    <row r="106" spans="7:10" x14ac:dyDescent="0.3">
      <c r="G106" s="73"/>
      <c r="H106" s="73"/>
      <c r="I106" s="74"/>
      <c r="J106" s="73"/>
    </row>
    <row r="107" spans="7:10" x14ac:dyDescent="0.3">
      <c r="G107" s="73"/>
      <c r="H107" s="73"/>
      <c r="I107" s="73"/>
      <c r="J107" s="73"/>
    </row>
    <row r="108" spans="7:10" x14ac:dyDescent="0.3">
      <c r="G108" s="72" t="s">
        <v>127</v>
      </c>
      <c r="H108" s="82" cm="1">
        <f t="array" ref="H108">PotenciaMotorBomba(J80,H81,I105,0.8)</f>
        <v>36.887730303727153</v>
      </c>
      <c r="I108" s="72" t="s">
        <v>370</v>
      </c>
      <c r="J108" s="73"/>
    </row>
    <row r="109" spans="7:10" x14ac:dyDescent="0.3">
      <c r="G109" s="83" t="s">
        <v>403</v>
      </c>
      <c r="H109" s="85" cm="1">
        <f t="array" ref="H109">Convertir_kW_a_HP(H108)</f>
        <v>49.467184091904194</v>
      </c>
      <c r="I109" s="83" t="s">
        <v>404</v>
      </c>
    </row>
  </sheetData>
  <mergeCells count="23">
    <mergeCell ref="L44:O44"/>
    <mergeCell ref="L74:O74"/>
    <mergeCell ref="B44:E44"/>
    <mergeCell ref="G44:J44"/>
    <mergeCell ref="AF44:AI44"/>
    <mergeCell ref="AF74:AI74"/>
    <mergeCell ref="AC51:AC52"/>
    <mergeCell ref="AD51:AD52"/>
    <mergeCell ref="AH51:AH52"/>
    <mergeCell ref="AI51:AI52"/>
    <mergeCell ref="Q44:T44"/>
    <mergeCell ref="Q74:T74"/>
    <mergeCell ref="V44:Y44"/>
    <mergeCell ref="V74:Y74"/>
    <mergeCell ref="AA44:AD44"/>
    <mergeCell ref="AA74:AD74"/>
    <mergeCell ref="G79:J79"/>
    <mergeCell ref="B13:C13"/>
    <mergeCell ref="B14:C14"/>
    <mergeCell ref="B15:C15"/>
    <mergeCell ref="B34:D34"/>
    <mergeCell ref="B19:C19"/>
    <mergeCell ref="G74:J7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68122-95BB-4A80-87A9-ED10522DC202}">
  <sheetPr codeName="Hoja2"/>
  <dimension ref="B2:Y161"/>
  <sheetViews>
    <sheetView topLeftCell="A46" zoomScaleNormal="100" workbookViewId="0">
      <selection activeCell="F18" sqref="F18:H19"/>
    </sheetView>
  </sheetViews>
  <sheetFormatPr baseColWidth="10" defaultRowHeight="14.4" x14ac:dyDescent="0.3"/>
  <cols>
    <col min="1" max="1" width="11.5546875" style="1"/>
    <col min="2" max="2" width="26.6640625" style="1" bestFit="1" customWidth="1"/>
    <col min="3" max="3" width="12" style="1" bestFit="1" customWidth="1"/>
    <col min="4" max="4" width="8.44140625" style="1" bestFit="1" customWidth="1"/>
    <col min="5" max="5" width="15.77734375" style="1" bestFit="1" customWidth="1"/>
    <col min="6" max="6" width="8" style="1" bestFit="1" customWidth="1"/>
    <col min="7" max="7" width="16" style="1" bestFit="1" customWidth="1"/>
    <col min="8" max="8" width="10.21875" style="1" bestFit="1" customWidth="1"/>
    <col min="9" max="9" width="19.88671875" style="1" bestFit="1" customWidth="1"/>
    <col min="10" max="10" width="12" style="1" bestFit="1" customWidth="1"/>
    <col min="11" max="11" width="7.44140625" style="1" bestFit="1" customWidth="1"/>
    <col min="12" max="12" width="10.44140625" style="1" bestFit="1" customWidth="1"/>
    <col min="13" max="13" width="4.44140625" style="1" bestFit="1" customWidth="1"/>
    <col min="14" max="17" width="11.5546875" style="1"/>
    <col min="18" max="18" width="13.6640625" style="1" bestFit="1" customWidth="1"/>
    <col min="19" max="19" width="11.44140625" style="1" bestFit="1" customWidth="1"/>
    <col min="20" max="20" width="10" style="1" bestFit="1" customWidth="1"/>
    <col min="21" max="21" width="13.5546875" style="1" bestFit="1" customWidth="1"/>
    <col min="22" max="22" width="12" style="1" bestFit="1" customWidth="1"/>
    <col min="23" max="16384" width="11.5546875" style="1"/>
  </cols>
  <sheetData>
    <row r="2" spans="6:22" x14ac:dyDescent="0.3">
      <c r="F2" s="98" t="s">
        <v>13</v>
      </c>
      <c r="G2" s="98"/>
    </row>
    <row r="6" spans="6:22" x14ac:dyDescent="0.3">
      <c r="F6" s="98" t="s">
        <v>14</v>
      </c>
      <c r="G6" s="98"/>
    </row>
    <row r="7" spans="6:22" x14ac:dyDescent="0.3">
      <c r="F7" s="98" t="s">
        <v>15</v>
      </c>
      <c r="G7" s="98"/>
    </row>
    <row r="8" spans="6:22" x14ac:dyDescent="0.3">
      <c r="F8" s="98" t="s">
        <v>16</v>
      </c>
      <c r="G8" s="98"/>
    </row>
    <row r="9" spans="6:22" x14ac:dyDescent="0.3">
      <c r="F9" s="97" t="s">
        <v>17</v>
      </c>
      <c r="G9" s="97"/>
    </row>
    <row r="10" spans="6:22" x14ac:dyDescent="0.3">
      <c r="F10" s="97" t="s">
        <v>18</v>
      </c>
      <c r="G10" s="97"/>
    </row>
    <row r="11" spans="6:22" x14ac:dyDescent="0.3">
      <c r="F11" s="97" t="s">
        <v>19</v>
      </c>
      <c r="G11" s="97"/>
    </row>
    <row r="12" spans="6:22" x14ac:dyDescent="0.3">
      <c r="F12" s="97" t="s">
        <v>20</v>
      </c>
      <c r="G12" s="97"/>
    </row>
    <row r="15" spans="6:22" x14ac:dyDescent="0.3">
      <c r="F15" s="99" t="s">
        <v>21</v>
      </c>
      <c r="G15" s="99"/>
      <c r="H15" s="99"/>
      <c r="U15" s="1" t="s">
        <v>78</v>
      </c>
      <c r="V15" s="1">
        <f>(264.2*60)</f>
        <v>15852</v>
      </c>
    </row>
    <row r="16" spans="6:22" x14ac:dyDescent="0.3">
      <c r="F16" s="99"/>
      <c r="G16" s="99"/>
      <c r="H16" s="99"/>
      <c r="R16" s="1" t="s">
        <v>52</v>
      </c>
      <c r="S16" s="1">
        <v>250</v>
      </c>
      <c r="T16" s="1" t="s">
        <v>77</v>
      </c>
      <c r="U16" s="4">
        <f>+S16/V15</f>
        <v>1.5770880645975271E-2</v>
      </c>
      <c r="V16" s="4" cm="1">
        <f t="array" ref="V16">ConvertirCaudal_m3s(S16,"GPM")</f>
        <v>1.5772541666666667E-2</v>
      </c>
    </row>
    <row r="17" spans="6:22" x14ac:dyDescent="0.3">
      <c r="R17" s="1" t="s">
        <v>75</v>
      </c>
    </row>
    <row r="18" spans="6:22" x14ac:dyDescent="0.3">
      <c r="F18" s="99" t="s">
        <v>22</v>
      </c>
      <c r="G18" s="99"/>
      <c r="H18" s="99"/>
      <c r="R18" s="1" t="s">
        <v>74</v>
      </c>
    </row>
    <row r="19" spans="6:22" x14ac:dyDescent="0.3">
      <c r="F19" s="99"/>
      <c r="G19" s="99"/>
      <c r="H19" s="99"/>
      <c r="R19" s="1" t="s">
        <v>76</v>
      </c>
      <c r="U19" s="2">
        <f>276000+9780*(6.4+S21+S32)</f>
        <v>861596.1111347113</v>
      </c>
      <c r="V19" s="2">
        <f>+U19/100000</f>
        <v>8.6159611113471133</v>
      </c>
    </row>
    <row r="20" spans="6:22" x14ac:dyDescent="0.3">
      <c r="R20" s="1" t="s">
        <v>79</v>
      </c>
      <c r="S20" s="2">
        <f>0.01577/(PRODUCT(PI(),0.0522^2)/4)</f>
        <v>7.3688684915347356</v>
      </c>
      <c r="T20" s="1" t="s">
        <v>55</v>
      </c>
    </row>
    <row r="21" spans="6:22" x14ac:dyDescent="0.3">
      <c r="R21" s="1" t="s">
        <v>80</v>
      </c>
      <c r="S21" s="2" cm="1">
        <f t="array" ref="S21">Calcular_Carga_Velocidad(S20)</f>
        <v>2.7675954559395213</v>
      </c>
      <c r="T21" s="1" t="s">
        <v>57</v>
      </c>
    </row>
    <row r="22" spans="6:22" x14ac:dyDescent="0.3">
      <c r="R22" s="1" t="s">
        <v>81</v>
      </c>
      <c r="S22" s="2">
        <f>0.5*S21</f>
        <v>1.3837977279697606</v>
      </c>
    </row>
    <row r="23" spans="6:22" x14ac:dyDescent="0.3">
      <c r="F23" s="99" t="s">
        <v>89</v>
      </c>
      <c r="G23" s="99"/>
      <c r="H23" s="99"/>
      <c r="R23" s="1" t="s">
        <v>82</v>
      </c>
      <c r="S23" s="2">
        <f>160*0.019*S21</f>
        <v>8.4134901860561442</v>
      </c>
    </row>
    <row r="24" spans="6:22" x14ac:dyDescent="0.3">
      <c r="F24" s="99"/>
      <c r="G24" s="99"/>
      <c r="H24" s="99"/>
      <c r="R24" s="1" t="s">
        <v>83</v>
      </c>
      <c r="S24" s="2">
        <f>30*0.019*S21</f>
        <v>1.577529409885527</v>
      </c>
    </row>
    <row r="25" spans="6:22" x14ac:dyDescent="0.3">
      <c r="R25" s="1" t="s">
        <v>84</v>
      </c>
      <c r="S25" s="2">
        <f>S24</f>
        <v>1.577529409885527</v>
      </c>
    </row>
    <row r="26" spans="6:22" x14ac:dyDescent="0.3">
      <c r="R26" s="1" t="s">
        <v>85</v>
      </c>
      <c r="S26" s="2">
        <f>1*S21</f>
        <v>2.7675954559395213</v>
      </c>
    </row>
    <row r="27" spans="6:22" x14ac:dyDescent="0.3">
      <c r="S27" s="2">
        <f>SUM(S22:S26)</f>
        <v>15.719942189736479</v>
      </c>
    </row>
    <row r="29" spans="6:22" x14ac:dyDescent="0.3">
      <c r="R29" s="1" t="s">
        <v>64</v>
      </c>
      <c r="S29" s="2">
        <f>+(S20*0.0525*997)/0.000891</f>
        <v>432890.01012138824</v>
      </c>
    </row>
    <row r="30" spans="6:22" x14ac:dyDescent="0.3">
      <c r="R30" s="1" t="s">
        <v>86</v>
      </c>
      <c r="S30" s="1">
        <v>1.9769999999999999E-2</v>
      </c>
    </row>
    <row r="31" spans="6:22" x14ac:dyDescent="0.3">
      <c r="R31" s="1" t="s">
        <v>87</v>
      </c>
      <c r="S31" s="2">
        <f>0.01981*(33.5/0.0525)*2.768</f>
        <v>34.989365333333332</v>
      </c>
    </row>
    <row r="32" spans="6:22" x14ac:dyDescent="0.3">
      <c r="R32" s="1" t="s">
        <v>88</v>
      </c>
      <c r="S32" s="2">
        <f>S27+S31</f>
        <v>50.70930752306981</v>
      </c>
    </row>
    <row r="34" spans="7:7" x14ac:dyDescent="0.3">
      <c r="G34" s="1" t="s">
        <v>23</v>
      </c>
    </row>
    <row r="58" spans="2:23" x14ac:dyDescent="0.3">
      <c r="R58" s="6" t="s">
        <v>90</v>
      </c>
      <c r="S58" s="6">
        <f>1.5*10^-2</f>
        <v>1.4999999999999999E-2</v>
      </c>
      <c r="U58" s="6" t="s">
        <v>100</v>
      </c>
      <c r="V58" s="6">
        <f>2*9.81</f>
        <v>19.62</v>
      </c>
      <c r="W58" s="1">
        <v>0.4526</v>
      </c>
    </row>
    <row r="59" spans="2:23" x14ac:dyDescent="0.3">
      <c r="R59" s="6" t="s">
        <v>91</v>
      </c>
      <c r="S59" s="16">
        <f>100/1000</f>
        <v>0.1</v>
      </c>
      <c r="U59" s="6" t="s">
        <v>107</v>
      </c>
      <c r="V59" s="18">
        <f>0.78*0.4526</f>
        <v>0.35302800000000001</v>
      </c>
      <c r="W59" s="1">
        <v>1.7000000000000001E-2</v>
      </c>
    </row>
    <row r="60" spans="2:23" x14ac:dyDescent="0.3">
      <c r="B60" s="1" t="s">
        <v>24</v>
      </c>
      <c r="R60" s="6" t="s">
        <v>92</v>
      </c>
      <c r="S60" s="16">
        <f>300/1000</f>
        <v>0.3</v>
      </c>
      <c r="U60" s="6" t="s">
        <v>102</v>
      </c>
      <c r="V60" s="6">
        <f>30*0.017*0.4526</f>
        <v>0.230826</v>
      </c>
    </row>
    <row r="61" spans="2:23" x14ac:dyDescent="0.3">
      <c r="R61" s="6" t="s">
        <v>93</v>
      </c>
      <c r="S61" s="16">
        <f>80/1000</f>
        <v>0.08</v>
      </c>
      <c r="T61" s="1">
        <v>0.15</v>
      </c>
      <c r="U61" s="6" t="s">
        <v>106</v>
      </c>
      <c r="V61" s="6">
        <f>160*W58*W59</f>
        <v>1.2310719999999999</v>
      </c>
      <c r="W61" s="2" cm="1">
        <f t="array" ref="W61">Calcular_Area(S61)</f>
        <v>5.0265482457436689E-3</v>
      </c>
    </row>
    <row r="62" spans="2:23" x14ac:dyDescent="0.3">
      <c r="R62" s="6" t="s">
        <v>94</v>
      </c>
      <c r="S62" s="16">
        <f>228/1000</f>
        <v>0.22800000000000001</v>
      </c>
      <c r="U62" s="6" t="s">
        <v>103</v>
      </c>
      <c r="V62" s="6">
        <f>V60</f>
        <v>0.230826</v>
      </c>
    </row>
    <row r="63" spans="2:23" x14ac:dyDescent="0.3">
      <c r="R63" s="6" t="s">
        <v>95</v>
      </c>
      <c r="S63" s="6">
        <f>PRODUCT(PI(),S61^2)/4</f>
        <v>5.0265482457436689E-3</v>
      </c>
      <c r="U63" s="6" t="s">
        <v>104</v>
      </c>
      <c r="V63" s="18">
        <f>V59</f>
        <v>0.35302800000000001</v>
      </c>
    </row>
    <row r="64" spans="2:23" x14ac:dyDescent="0.3">
      <c r="R64" s="6" t="s">
        <v>96</v>
      </c>
      <c r="S64" s="6">
        <f>PRODUCT(PI(),S62^2)/4</f>
        <v>4.0828138126052953E-2</v>
      </c>
      <c r="U64" s="6" t="s">
        <v>105</v>
      </c>
      <c r="V64" s="6">
        <f>30*0.014*0.006865</f>
        <v>2.8832999999999997E-3</v>
      </c>
    </row>
    <row r="65" spans="2:22" x14ac:dyDescent="0.3">
      <c r="R65" s="6" t="s">
        <v>50</v>
      </c>
      <c r="S65" s="17">
        <f>$S$58/S63</f>
        <v>2.9841551829730375</v>
      </c>
      <c r="T65" s="1">
        <v>1.415</v>
      </c>
      <c r="U65" s="6" t="s">
        <v>108</v>
      </c>
      <c r="V65" s="6">
        <f>30*0.014*0.006865</f>
        <v>2.8832999999999997E-3</v>
      </c>
    </row>
    <row r="66" spans="2:22" x14ac:dyDescent="0.3">
      <c r="R66" s="6" t="s">
        <v>97</v>
      </c>
      <c r="S66" s="17">
        <f>$S$58/S64</f>
        <v>0.36739368211425516</v>
      </c>
      <c r="U66" s="6" t="s">
        <v>109</v>
      </c>
      <c r="V66" s="6">
        <f>1*0.006865</f>
        <v>6.8649999999999996E-3</v>
      </c>
    </row>
    <row r="67" spans="2:22" x14ac:dyDescent="0.3">
      <c r="R67" s="6" t="s">
        <v>98</v>
      </c>
      <c r="S67" s="17">
        <f>S65^2/$V$58</f>
        <v>0.45388288257211223</v>
      </c>
      <c r="U67" s="6" t="s">
        <v>110</v>
      </c>
      <c r="V67" s="17">
        <f>SUM(V59:V66)</f>
        <v>2.4114116000000001</v>
      </c>
    </row>
    <row r="68" spans="2:22" x14ac:dyDescent="0.3">
      <c r="R68" s="6" t="s">
        <v>99</v>
      </c>
      <c r="S68" s="17">
        <f>S66^2/$V$58</f>
        <v>6.8796186369760627E-3</v>
      </c>
    </row>
    <row r="69" spans="2:22" x14ac:dyDescent="0.3">
      <c r="R69" s="6" t="s">
        <v>144</v>
      </c>
      <c r="S69" s="6">
        <v>1000</v>
      </c>
      <c r="T69" s="1">
        <v>998</v>
      </c>
    </row>
    <row r="70" spans="2:22" x14ac:dyDescent="0.3">
      <c r="R70" s="6" t="s">
        <v>111</v>
      </c>
      <c r="S70" s="18">
        <f>+PRODUCT(S65,S61,1000)/0.0013</f>
        <v>183640.31895218694</v>
      </c>
      <c r="T70" s="2" cm="1">
        <f t="array" ref="T70">Calcular_Numero_Reynolds(T69,T65,T61,0.001)</f>
        <v>211825.5</v>
      </c>
      <c r="U70" s="6" t="s">
        <v>117</v>
      </c>
      <c r="V70" s="6">
        <f>+S74*(100/0.08)*0.4523</f>
        <v>10.934352499999999</v>
      </c>
    </row>
    <row r="71" spans="2:22" x14ac:dyDescent="0.3">
      <c r="R71" s="6" t="s">
        <v>112</v>
      </c>
      <c r="S71" s="18">
        <f>+PRODUCT(S66,S62,1000)/0.0013</f>
        <v>64435.199632346288</v>
      </c>
      <c r="U71" s="6" t="s">
        <v>118</v>
      </c>
      <c r="V71" s="6">
        <f>0.02191*(300/0.228)*0.006865</f>
        <v>0.19791072368421048</v>
      </c>
    </row>
    <row r="72" spans="2:22" x14ac:dyDescent="0.3">
      <c r="R72" s="6" t="s">
        <v>114</v>
      </c>
      <c r="S72" s="6">
        <f>(-1.8*LOG((C159/(3.7*S61))^1.11) + (6.9/S70))^-2</f>
        <v>1.7269871129825823E-2</v>
      </c>
      <c r="U72" s="6"/>
      <c r="V72" s="6">
        <f>SUM(V70:V71)</f>
        <v>11.132263223684209</v>
      </c>
    </row>
    <row r="73" spans="2:22" x14ac:dyDescent="0.3">
      <c r="R73" s="6" t="s">
        <v>113</v>
      </c>
      <c r="S73" s="6">
        <f>(-1.8*LOG(($C$159/(3.7*S62))^1.11) + (6.9/S71))^-2</f>
        <v>1.3781303046793536E-2</v>
      </c>
    </row>
    <row r="74" spans="2:22" x14ac:dyDescent="0.3">
      <c r="R74" s="6" t="s">
        <v>115</v>
      </c>
      <c r="S74" s="6">
        <v>1.934E-2</v>
      </c>
      <c r="U74" s="1" t="s">
        <v>119</v>
      </c>
      <c r="V74" s="4">
        <f>+V72+V67</f>
        <v>13.54367482368421</v>
      </c>
    </row>
    <row r="75" spans="2:22" x14ac:dyDescent="0.3">
      <c r="B75" s="1" t="s">
        <v>25</v>
      </c>
      <c r="R75" s="6" t="s">
        <v>116</v>
      </c>
      <c r="S75" s="6">
        <f>-2*LOG(($C$159/(3.7*S61))+(2.51/(S70*SQRT(0.008))))</f>
        <v>7.0222824769656595</v>
      </c>
      <c r="U75" s="4"/>
    </row>
    <row r="76" spans="2:22" x14ac:dyDescent="0.3">
      <c r="S76" s="15" cm="1">
        <f t="array" ref="S76">Colebrook_White(C159,S61,S70)</f>
        <v>1.9336460957657394E-2</v>
      </c>
      <c r="T76" s="1" cm="1">
        <f t="array" ref="T76">Factor_Haaland(0.000046,S61,S70)</f>
        <v>1.915467252479381E-2</v>
      </c>
      <c r="U76" s="4"/>
    </row>
    <row r="81" spans="2:13" x14ac:dyDescent="0.3">
      <c r="B81" s="1" t="s">
        <v>26</v>
      </c>
      <c r="J81" s="1" t="s">
        <v>35</v>
      </c>
      <c r="K81" s="1" t="s">
        <v>36</v>
      </c>
    </row>
    <row r="82" spans="2:13" x14ac:dyDescent="0.3">
      <c r="I82" s="1" t="s">
        <v>27</v>
      </c>
      <c r="J82" s="1">
        <v>100</v>
      </c>
      <c r="K82" s="5">
        <f>+J82/60000</f>
        <v>1.6666666666666668E-3</v>
      </c>
    </row>
    <row r="83" spans="2:13" x14ac:dyDescent="0.3">
      <c r="I83" s="1" t="s">
        <v>28</v>
      </c>
      <c r="J83" s="1" t="s">
        <v>32</v>
      </c>
    </row>
    <row r="84" spans="2:13" x14ac:dyDescent="0.3">
      <c r="I84" s="1" t="s">
        <v>29</v>
      </c>
      <c r="J84" s="1">
        <v>30</v>
      </c>
    </row>
    <row r="86" spans="2:13" x14ac:dyDescent="0.3">
      <c r="I86" s="1" t="s">
        <v>30</v>
      </c>
      <c r="J86" s="1">
        <v>25</v>
      </c>
      <c r="K86" s="1">
        <f>+J86/1000</f>
        <v>2.5000000000000001E-2</v>
      </c>
      <c r="L86" s="1" t="s">
        <v>33</v>
      </c>
      <c r="M86" s="2">
        <f>+K86-2*K87</f>
        <v>2.2000000000000002E-2</v>
      </c>
    </row>
    <row r="87" spans="2:13" x14ac:dyDescent="0.3">
      <c r="I87" s="1" t="s">
        <v>31</v>
      </c>
      <c r="J87" s="1">
        <v>1.5</v>
      </c>
      <c r="K87" s="1">
        <f>+J87/1000</f>
        <v>1.5E-3</v>
      </c>
      <c r="L87" s="1" t="s">
        <v>34</v>
      </c>
      <c r="M87" s="2">
        <f>+K89-2*K90</f>
        <v>7.4400000000000008E-2</v>
      </c>
    </row>
    <row r="88" spans="2:13" x14ac:dyDescent="0.3">
      <c r="K88" s="1">
        <f>+J88/1000</f>
        <v>0</v>
      </c>
    </row>
    <row r="89" spans="2:13" x14ac:dyDescent="0.3">
      <c r="I89" s="1" t="s">
        <v>30</v>
      </c>
      <c r="J89" s="1">
        <v>80</v>
      </c>
      <c r="K89" s="1">
        <f>+J89/1000</f>
        <v>0.08</v>
      </c>
    </row>
    <row r="90" spans="2:13" x14ac:dyDescent="0.3">
      <c r="I90" s="1" t="s">
        <v>31</v>
      </c>
      <c r="J90" s="1">
        <v>2.8</v>
      </c>
      <c r="K90" s="1">
        <f>+J90/1000</f>
        <v>2.8E-3</v>
      </c>
    </row>
    <row r="91" spans="2:13" x14ac:dyDescent="0.3">
      <c r="B91" s="1" t="s">
        <v>41</v>
      </c>
    </row>
    <row r="92" spans="2:13" x14ac:dyDescent="0.3">
      <c r="B92" s="1">
        <v>3</v>
      </c>
      <c r="C92" s="1">
        <v>4</v>
      </c>
      <c r="I92" s="1" t="s">
        <v>37</v>
      </c>
      <c r="J92" s="1">
        <f>PRODUCT(PI(),M86^2)/4</f>
        <v>3.8013271108436504E-4</v>
      </c>
    </row>
    <row r="93" spans="2:13" x14ac:dyDescent="0.3">
      <c r="B93" s="1">
        <v>0.71</v>
      </c>
      <c r="C93" s="1">
        <v>0.79</v>
      </c>
      <c r="I93" s="1" t="s">
        <v>38</v>
      </c>
      <c r="J93" s="2">
        <f>+K82/J92</f>
        <v>4.3844336939916069</v>
      </c>
    </row>
    <row r="94" spans="2:13" x14ac:dyDescent="0.3">
      <c r="B94" s="1">
        <v>0.7</v>
      </c>
      <c r="C94" s="1">
        <v>0.78</v>
      </c>
    </row>
    <row r="95" spans="2:13" x14ac:dyDescent="0.3">
      <c r="I95" s="1" t="s">
        <v>39</v>
      </c>
      <c r="J95" s="4">
        <f>+J93^2/(2*9.81)</f>
        <v>0.97977873685060579</v>
      </c>
    </row>
    <row r="96" spans="2:13" x14ac:dyDescent="0.3">
      <c r="B96" s="1" t="s">
        <v>42</v>
      </c>
      <c r="C96" s="1">
        <v>0.73799999999999999</v>
      </c>
      <c r="I96" s="1" t="s">
        <v>40</v>
      </c>
      <c r="J96" s="2">
        <f>+M87/M86</f>
        <v>3.3818181818181818</v>
      </c>
    </row>
    <row r="97" spans="2:24" x14ac:dyDescent="0.3">
      <c r="I97" s="1" t="s">
        <v>43</v>
      </c>
      <c r="J97" s="2">
        <f>J95*C96</f>
        <v>0.72307670779574706</v>
      </c>
    </row>
    <row r="104" spans="2:24" x14ac:dyDescent="0.3">
      <c r="T104" s="1" t="s">
        <v>52</v>
      </c>
      <c r="U104" s="1">
        <f>54/3600</f>
        <v>1.4999999999999999E-2</v>
      </c>
      <c r="W104" s="1" t="s">
        <v>101</v>
      </c>
      <c r="X104" s="1">
        <f>0.5*0.17</f>
        <v>8.5000000000000006E-2</v>
      </c>
    </row>
    <row r="105" spans="2:24" x14ac:dyDescent="0.3">
      <c r="T105" s="1" t="s">
        <v>120</v>
      </c>
      <c r="U105" s="7">
        <v>0.76</v>
      </c>
      <c r="W105" s="1" t="s">
        <v>123</v>
      </c>
      <c r="X105" s="1">
        <f>340*0.019*2.24</f>
        <v>14.470400000000001</v>
      </c>
    </row>
    <row r="106" spans="2:24" x14ac:dyDescent="0.3">
      <c r="B106" s="1" t="s">
        <v>44</v>
      </c>
      <c r="T106" s="1" t="s">
        <v>93</v>
      </c>
      <c r="U106" s="1">
        <f>102.3/1000</f>
        <v>0.1023</v>
      </c>
      <c r="W106" s="1" t="s">
        <v>106</v>
      </c>
      <c r="X106" s="1">
        <f>30*0.019*2.24</f>
        <v>1.2767999999999999</v>
      </c>
    </row>
    <row r="107" spans="2:24" x14ac:dyDescent="0.3">
      <c r="T107" s="1" t="s">
        <v>94</v>
      </c>
      <c r="U107" s="1">
        <f>52.5/1000</f>
        <v>5.2499999999999998E-2</v>
      </c>
      <c r="W107" s="1" t="s">
        <v>103</v>
      </c>
      <c r="X107" s="1">
        <f>30*0.019*2.24</f>
        <v>1.2767999999999999</v>
      </c>
    </row>
    <row r="108" spans="2:24" x14ac:dyDescent="0.3">
      <c r="B108" s="1" t="s">
        <v>27</v>
      </c>
      <c r="C108" s="1">
        <v>0.04</v>
      </c>
      <c r="D108" s="1" t="s">
        <v>36</v>
      </c>
      <c r="T108" s="1" t="s">
        <v>95</v>
      </c>
      <c r="U108" s="1">
        <f>8.213*10^-3</f>
        <v>8.2129999999999998E-3</v>
      </c>
      <c r="W108" s="1" t="s">
        <v>104</v>
      </c>
      <c r="X108" s="1">
        <v>2.2400000000000002</v>
      </c>
    </row>
    <row r="109" spans="2:24" x14ac:dyDescent="0.3">
      <c r="T109" s="1" t="s">
        <v>96</v>
      </c>
      <c r="U109" s="1">
        <f>2.168*10^-3</f>
        <v>2.1680000000000002E-3</v>
      </c>
      <c r="X109" s="1">
        <f>SUM(X104:X108)</f>
        <v>19.349000000000004</v>
      </c>
    </row>
    <row r="110" spans="2:24" x14ac:dyDescent="0.3">
      <c r="B110" s="1" t="s">
        <v>45</v>
      </c>
      <c r="C110" s="1" t="s">
        <v>46</v>
      </c>
      <c r="D110" s="1" t="s">
        <v>47</v>
      </c>
      <c r="T110" s="1" t="s">
        <v>50</v>
      </c>
      <c r="U110" s="4">
        <f>+$U$104/U108</f>
        <v>1.8263728235723853</v>
      </c>
    </row>
    <row r="111" spans="2:24" x14ac:dyDescent="0.3">
      <c r="T111" s="1" t="s">
        <v>97</v>
      </c>
      <c r="U111" s="4">
        <f>+$U$104/U109</f>
        <v>6.9188191881918808</v>
      </c>
      <c r="W111" s="1" t="s">
        <v>124</v>
      </c>
      <c r="X111" s="1">
        <f>0.02531*(15/U106)*0.17</f>
        <v>0.63089442815249264</v>
      </c>
    </row>
    <row r="112" spans="2:24" x14ac:dyDescent="0.3">
      <c r="B112" s="1" t="s">
        <v>30</v>
      </c>
      <c r="C112" s="1">
        <v>168.3</v>
      </c>
      <c r="D112" s="1">
        <f>+C112/1000</f>
        <v>0.16830000000000001</v>
      </c>
      <c r="T112" s="1" t="s">
        <v>121</v>
      </c>
      <c r="U112" s="4">
        <f>+U110^2/19.62</f>
        <v>0.17001211471374961</v>
      </c>
      <c r="W112" s="1" t="s">
        <v>125</v>
      </c>
      <c r="X112" s="1">
        <f>0.01966*(200/U107)*2.44</f>
        <v>182.74438095238096</v>
      </c>
    </row>
    <row r="113" spans="2:25" x14ac:dyDescent="0.3">
      <c r="B113" s="1" t="s">
        <v>31</v>
      </c>
      <c r="C113" s="1">
        <v>7.11</v>
      </c>
      <c r="D113" s="1">
        <f>+C113/1000</f>
        <v>7.11E-3</v>
      </c>
      <c r="S113" s="2"/>
      <c r="T113" s="1" t="s">
        <v>122</v>
      </c>
      <c r="U113" s="4">
        <f>+U111^2/19.62</f>
        <v>2.4398602935215168</v>
      </c>
      <c r="X113" s="2">
        <f>SUM(X109:X112)</f>
        <v>202.72427538053347</v>
      </c>
    </row>
    <row r="114" spans="2:25" x14ac:dyDescent="0.3">
      <c r="T114" s="1" t="s">
        <v>144</v>
      </c>
      <c r="U114" s="1">
        <v>789</v>
      </c>
      <c r="W114" s="1" t="s">
        <v>126</v>
      </c>
      <c r="X114" s="2">
        <f>+X113+10</f>
        <v>212.72427538053347</v>
      </c>
    </row>
    <row r="115" spans="2:25" x14ac:dyDescent="0.3">
      <c r="B115" s="1" t="s">
        <v>48</v>
      </c>
      <c r="C115" s="1">
        <f>+D112-2*D113</f>
        <v>0.15407999999999999</v>
      </c>
      <c r="T115" s="1" t="s">
        <v>111</v>
      </c>
      <c r="U115" s="2">
        <f>+(U110*U106*U114)/0.00056</f>
        <v>263241.31168356794</v>
      </c>
      <c r="V115" s="2" cm="1">
        <f t="array" ref="V115">Calcular_Numero_Reynolds(U114,U106,U110,0.00056)</f>
        <v>263241.31168356788</v>
      </c>
    </row>
    <row r="116" spans="2:25" x14ac:dyDescent="0.3">
      <c r="B116" s="1" t="s">
        <v>48</v>
      </c>
      <c r="C116" s="1">
        <f>154.1/1000</f>
        <v>0.15409999999999999</v>
      </c>
      <c r="T116" s="1" t="s">
        <v>112</v>
      </c>
      <c r="U116" s="2">
        <f>+(U111*U107*789)/0.00056</f>
        <v>511776.40682656819</v>
      </c>
      <c r="V116" s="2" cm="1">
        <f t="array" ref="V116">Calcular_Numero_Reynolds(U114,U107,U111,0.00056)</f>
        <v>511776.40682656819</v>
      </c>
      <c r="W116" s="1" t="s">
        <v>127</v>
      </c>
      <c r="X116" s="2">
        <f>+(X114*789*9.81*0.015)/0.76</f>
        <v>32496.809933489079</v>
      </c>
      <c r="Y116" s="2">
        <f>+X116/1000</f>
        <v>32.496809933489082</v>
      </c>
    </row>
    <row r="117" spans="2:25" x14ac:dyDescent="0.3">
      <c r="B117" s="1" t="s">
        <v>49</v>
      </c>
      <c r="C117" s="5">
        <f>+PRODUCT(PI(),C116^2)/4</f>
        <v>1.8650700960548158E-2</v>
      </c>
      <c r="D117" s="1" cm="1">
        <f t="array" ref="D117">Calcular_Area(C116)</f>
        <v>1.8650700960548158E-2</v>
      </c>
    </row>
    <row r="118" spans="2:25" x14ac:dyDescent="0.3">
      <c r="T118" s="1" t="s">
        <v>114</v>
      </c>
      <c r="U118" s="1">
        <f>POWER(-1.8*LOG((0.000046/(3.7*U106))^1.11) + (6.9/U115),-2)</f>
        <v>1.634073930058683E-2</v>
      </c>
      <c r="V118" s="1" cm="1">
        <f t="array" ref="V118">Factor_Haaland(0.000046,U106,U115)</f>
        <v>1.7947195051705448E-2</v>
      </c>
    </row>
    <row r="119" spans="2:25" x14ac:dyDescent="0.3">
      <c r="B119" s="1" t="s">
        <v>50</v>
      </c>
      <c r="C119" s="3">
        <f>+C108/C117</f>
        <v>2.1446915096977874</v>
      </c>
      <c r="T119" s="1" t="s">
        <v>113</v>
      </c>
      <c r="U119" s="1">
        <f>(-1.8*LOG((0.000046/(3.7*U107))^1.11) + (6.9/U116))^-2</f>
        <v>1.9056663863794513E-2</v>
      </c>
      <c r="V119" s="1" cm="1">
        <f t="array" ref="V119">Factor_Haaland(0.000046,U107,U116)</f>
        <v>1.9617172369730127E-2</v>
      </c>
    </row>
    <row r="121" spans="2:25" x14ac:dyDescent="0.3">
      <c r="B121" s="1" t="s">
        <v>39</v>
      </c>
      <c r="C121" s="4">
        <f>+C119^2/(2*9.81)</f>
        <v>0.23443943281191509</v>
      </c>
    </row>
    <row r="122" spans="2:25" x14ac:dyDescent="0.3">
      <c r="B122" s="1" t="s">
        <v>43</v>
      </c>
      <c r="C122" s="2">
        <f>1*C121</f>
        <v>0.23443943281191509</v>
      </c>
    </row>
    <row r="143" spans="2:3" x14ac:dyDescent="0.3">
      <c r="B143" s="1" t="s">
        <v>51</v>
      </c>
    </row>
    <row r="144" spans="2:3" x14ac:dyDescent="0.3">
      <c r="B144" s="1">
        <f>15.8/1000</f>
        <v>1.5800000000000002E-2</v>
      </c>
      <c r="C144" s="1" t="s">
        <v>57</v>
      </c>
    </row>
    <row r="146" spans="2:8" x14ac:dyDescent="0.3">
      <c r="B146" s="1" t="s">
        <v>52</v>
      </c>
      <c r="C146" s="1">
        <v>12.5</v>
      </c>
      <c r="D146" s="1" t="s">
        <v>53</v>
      </c>
      <c r="E146" s="1" t="s">
        <v>54</v>
      </c>
      <c r="F146" s="1">
        <v>3.7854000000000001</v>
      </c>
    </row>
    <row r="147" spans="2:8" x14ac:dyDescent="0.3">
      <c r="B147" s="1" t="s">
        <v>52</v>
      </c>
      <c r="C147" s="1">
        <f>C146/(264.2*60)</f>
        <v>7.8854403229876356E-4</v>
      </c>
    </row>
    <row r="149" spans="2:8" x14ac:dyDescent="0.3">
      <c r="B149" s="1" t="s">
        <v>49</v>
      </c>
      <c r="C149" s="1">
        <f>+PRODUCT(B144^2*PI())/4</f>
        <v>1.96066797510539E-4</v>
      </c>
      <c r="D149" s="1" t="s">
        <v>56</v>
      </c>
      <c r="F149" s="1" t="s">
        <v>42</v>
      </c>
      <c r="G149" s="1">
        <v>50</v>
      </c>
    </row>
    <row r="150" spans="2:8" x14ac:dyDescent="0.3">
      <c r="F150" s="1" t="s">
        <v>62</v>
      </c>
      <c r="G150" s="1">
        <v>2.5999999999999999E-2</v>
      </c>
    </row>
    <row r="151" spans="2:8" x14ac:dyDescent="0.3">
      <c r="B151" s="1" t="s">
        <v>38</v>
      </c>
      <c r="C151" s="2">
        <f>+C147/C149</f>
        <v>4.0218131897440603</v>
      </c>
      <c r="D151" s="1" t="s">
        <v>55</v>
      </c>
    </row>
    <row r="152" spans="2:8" x14ac:dyDescent="0.3">
      <c r="F152" s="1" t="s">
        <v>63</v>
      </c>
      <c r="G152" s="2">
        <f>+G149*G150*(C151^2/(2*9.81))</f>
        <v>1.0717367855840512</v>
      </c>
    </row>
    <row r="153" spans="2:8" x14ac:dyDescent="0.3">
      <c r="B153" s="1" t="s">
        <v>58</v>
      </c>
    </row>
    <row r="154" spans="2:8" x14ac:dyDescent="0.3">
      <c r="B154" s="1" t="s">
        <v>59</v>
      </c>
      <c r="F154" s="1" t="s">
        <v>64</v>
      </c>
      <c r="G154" s="2">
        <f>+(C151*B144*1100)/0.0162</f>
        <v>4314.7600764044309</v>
      </c>
      <c r="H154" s="1" t="str" cm="1">
        <f t="array" ref="H154">_xlfn.IFS(G154&gt;4000,"turbulento",G154&lt;2000,"laminar")</f>
        <v>turbulento</v>
      </c>
    </row>
    <row r="155" spans="2:8" x14ac:dyDescent="0.3">
      <c r="B155" s="1" t="s">
        <v>60</v>
      </c>
    </row>
    <row r="156" spans="2:8" x14ac:dyDescent="0.3">
      <c r="B156" s="1" t="s">
        <v>61</v>
      </c>
    </row>
    <row r="158" spans="2:8" x14ac:dyDescent="0.3">
      <c r="B158" s="1" t="s">
        <v>70</v>
      </c>
      <c r="C158" s="4">
        <f>(-1.8*LOG((C159/(3.7*B144))^1.11) + (6.9/C160))^-2</f>
        <v>2.5984443305949574E-2</v>
      </c>
      <c r="D158" s="1">
        <v>4.1939999999999998E-2</v>
      </c>
      <c r="E158" s="1" t="s">
        <v>73</v>
      </c>
    </row>
    <row r="159" spans="2:8" x14ac:dyDescent="0.3">
      <c r="B159" s="1" t="s">
        <v>71</v>
      </c>
      <c r="C159" s="1">
        <f>4.6*10^-5</f>
        <v>4.6E-5</v>
      </c>
      <c r="E159" s="2">
        <f>+D158*(24.4/B144)*(C151^2/(2*9.81))</f>
        <v>53.395658968473228</v>
      </c>
    </row>
    <row r="160" spans="2:8" x14ac:dyDescent="0.3">
      <c r="B160" s="1" t="s">
        <v>72</v>
      </c>
      <c r="C160" s="2">
        <f>+G154</f>
        <v>4314.7600764044309</v>
      </c>
      <c r="E160" s="2">
        <f>+E159+G152</f>
        <v>54.467395754057279</v>
      </c>
    </row>
    <row r="161" spans="5:5" x14ac:dyDescent="0.3">
      <c r="E161" s="2">
        <f>+E160*10790/1000</f>
        <v>587.70320018627808</v>
      </c>
    </row>
  </sheetData>
  <mergeCells count="11">
    <mergeCell ref="F11:G11"/>
    <mergeCell ref="F12:G12"/>
    <mergeCell ref="F15:H16"/>
    <mergeCell ref="F18:H19"/>
    <mergeCell ref="F23:H24"/>
    <mergeCell ref="F10:G10"/>
    <mergeCell ref="F2:G2"/>
    <mergeCell ref="F6:G6"/>
    <mergeCell ref="F7:G7"/>
    <mergeCell ref="F8:G8"/>
    <mergeCell ref="F9:G9"/>
  </mergeCells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F601B-D307-4AEF-826B-22E7F4CFE156}">
  <sheetPr codeName="Hoja4"/>
  <dimension ref="B3:G16"/>
  <sheetViews>
    <sheetView workbookViewId="0">
      <selection activeCell="G5" sqref="G5"/>
    </sheetView>
  </sheetViews>
  <sheetFormatPr baseColWidth="10" defaultRowHeight="14.4" x14ac:dyDescent="0.3"/>
  <sheetData>
    <row r="3" spans="2:7" x14ac:dyDescent="0.3">
      <c r="G3" t="s">
        <v>145</v>
      </c>
    </row>
    <row r="4" spans="2:7" x14ac:dyDescent="0.3">
      <c r="G4" t="s">
        <v>146</v>
      </c>
    </row>
    <row r="11" spans="2:7" x14ac:dyDescent="0.3">
      <c r="B11" t="s">
        <v>140</v>
      </c>
      <c r="C11">
        <v>1000</v>
      </c>
    </row>
    <row r="12" spans="2:7" x14ac:dyDescent="0.3">
      <c r="B12" t="s">
        <v>141</v>
      </c>
      <c r="C12">
        <v>2.5</v>
      </c>
    </row>
    <row r="13" spans="2:7" x14ac:dyDescent="0.3">
      <c r="B13" t="s">
        <v>142</v>
      </c>
      <c r="C13">
        <v>0.05</v>
      </c>
    </row>
    <row r="14" spans="2:7" x14ac:dyDescent="0.3">
      <c r="B14" t="s">
        <v>143</v>
      </c>
      <c r="C14">
        <v>4.0000000000000002E-4</v>
      </c>
    </row>
    <row r="16" spans="2:7" x14ac:dyDescent="0.3">
      <c r="B16" s="1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8E038-A87E-4123-A5F5-4522B6EDCCE5}">
  <sheetPr codeName="Hoja3"/>
  <dimension ref="B19:I80"/>
  <sheetViews>
    <sheetView topLeftCell="B2" workbookViewId="0">
      <selection activeCell="B2" sqref="B2"/>
    </sheetView>
  </sheetViews>
  <sheetFormatPr baseColWidth="10" defaultRowHeight="13.8" x14ac:dyDescent="0.25"/>
  <cols>
    <col min="1" max="6" width="11.5546875" style="8"/>
    <col min="7" max="7" width="12.6640625" style="8" bestFit="1" customWidth="1"/>
    <col min="8" max="16384" width="11.5546875" style="8"/>
  </cols>
  <sheetData>
    <row r="19" spans="2:3" x14ac:dyDescent="0.25">
      <c r="B19" s="8" t="s">
        <v>128</v>
      </c>
      <c r="C19" s="8">
        <v>6</v>
      </c>
    </row>
    <row r="20" spans="2:3" x14ac:dyDescent="0.25">
      <c r="B20" s="8" t="s">
        <v>129</v>
      </c>
      <c r="C20" s="8">
        <v>8</v>
      </c>
    </row>
    <row r="21" spans="2:3" x14ac:dyDescent="0.25">
      <c r="B21" s="8" t="s">
        <v>130</v>
      </c>
      <c r="C21" s="8">
        <v>4</v>
      </c>
    </row>
    <row r="45" spans="2:8" x14ac:dyDescent="0.25">
      <c r="B45" s="9" t="s">
        <v>131</v>
      </c>
      <c r="C45" s="9" t="s">
        <v>132</v>
      </c>
      <c r="D45" s="9" t="s">
        <v>30</v>
      </c>
      <c r="E45" s="9" t="s">
        <v>133</v>
      </c>
      <c r="F45" s="9" t="s">
        <v>79</v>
      </c>
      <c r="G45" s="9" t="s">
        <v>134</v>
      </c>
      <c r="H45" s="9" t="s">
        <v>70</v>
      </c>
    </row>
    <row r="46" spans="2:8" x14ac:dyDescent="0.25">
      <c r="B46" s="9">
        <v>1</v>
      </c>
      <c r="C46" s="9">
        <v>40</v>
      </c>
      <c r="D46" s="9">
        <v>0.05</v>
      </c>
      <c r="E46" s="10">
        <f>PRODUCT(PI(),D46^2)/4</f>
        <v>1.9634954084936209E-3</v>
      </c>
      <c r="F46" s="11">
        <f>$C$50/E46</f>
        <v>2.0371832715762603</v>
      </c>
      <c r="G46" s="9">
        <v>2.8000000000000001E-2</v>
      </c>
      <c r="H46" s="9">
        <f>+G46*(C46/D46)*(F46^2/(19.62))</f>
        <v>4.7381544993159777</v>
      </c>
    </row>
    <row r="47" spans="2:8" x14ac:dyDescent="0.25">
      <c r="B47" s="9">
        <v>2</v>
      </c>
      <c r="C47" s="9">
        <v>25</v>
      </c>
      <c r="D47" s="9">
        <v>0.04</v>
      </c>
      <c r="E47" s="10">
        <f>PRODUCT(PI(),D47^2)/4</f>
        <v>1.2566370614359172E-3</v>
      </c>
      <c r="F47" s="11">
        <f>$C$50/E47</f>
        <v>3.183098861837907</v>
      </c>
      <c r="G47" s="9">
        <v>0.03</v>
      </c>
      <c r="H47" s="9">
        <f>+G47*(C47/D47)*(F47^2/(19.62))</f>
        <v>9.6828348282050634</v>
      </c>
    </row>
    <row r="48" spans="2:8" x14ac:dyDescent="0.25">
      <c r="B48" s="9">
        <v>3</v>
      </c>
      <c r="C48" s="9">
        <v>35</v>
      </c>
      <c r="D48" s="9">
        <v>0.06</v>
      </c>
      <c r="E48" s="10">
        <f>PRODUCT(PI(),D48^2)/4</f>
        <v>2.8274333882308137E-3</v>
      </c>
      <c r="F48" s="11">
        <f>$C$50/E48</f>
        <v>1.4147106052612921</v>
      </c>
      <c r="G48" s="9">
        <v>2.5999999999999999E-2</v>
      </c>
      <c r="H48" s="9">
        <f>+G48*(C48/D48)*(F48^2/(19.62))</f>
        <v>1.5471283961444799</v>
      </c>
    </row>
    <row r="50" spans="2:8" x14ac:dyDescent="0.25">
      <c r="B50" s="8" t="s">
        <v>52</v>
      </c>
      <c r="C50" s="8">
        <v>4.0000000000000001E-3</v>
      </c>
      <c r="G50" s="8" t="s">
        <v>110</v>
      </c>
      <c r="H50" s="13">
        <f>SUM(H46:H49)</f>
        <v>15.968117723665522</v>
      </c>
    </row>
    <row r="75" spans="2:9" x14ac:dyDescent="0.25">
      <c r="B75" s="8" t="s">
        <v>135</v>
      </c>
      <c r="C75" s="8" t="s">
        <v>132</v>
      </c>
      <c r="D75" s="8" t="s">
        <v>30</v>
      </c>
      <c r="E75" s="8" t="s">
        <v>49</v>
      </c>
      <c r="F75" s="8" t="s">
        <v>86</v>
      </c>
      <c r="G75" s="8" t="s">
        <v>42</v>
      </c>
      <c r="H75" s="8" t="s">
        <v>138</v>
      </c>
      <c r="I75" s="8">
        <f>SQRT(G77/G76)</f>
        <v>1.4731391274719743</v>
      </c>
    </row>
    <row r="76" spans="2:9" x14ac:dyDescent="0.25">
      <c r="B76" s="8" t="s">
        <v>136</v>
      </c>
      <c r="C76" s="8">
        <v>60</v>
      </c>
      <c r="D76" s="8">
        <v>0.05</v>
      </c>
      <c r="E76" s="8" cm="1">
        <f t="array" ref="E76">Calcular_Area(D76)</f>
        <v>1.9634954084936209E-3</v>
      </c>
      <c r="F76" s="8">
        <v>0.03</v>
      </c>
      <c r="G76" s="12">
        <f>F76*(C76/D76)*(8/((PI()^2)*9.81*D76^4))</f>
        <v>475930.69747593498</v>
      </c>
    </row>
    <row r="77" spans="2:9" x14ac:dyDescent="0.25">
      <c r="B77" s="8" t="s">
        <v>137</v>
      </c>
      <c r="C77" s="8">
        <v>40</v>
      </c>
      <c r="D77" s="8">
        <v>0.04</v>
      </c>
      <c r="E77" s="8" cm="1">
        <f t="array" ref="E77">Calcular_Area(D77)</f>
        <v>1.2566370614359172E-3</v>
      </c>
      <c r="F77" s="8">
        <v>3.2000000000000001E-2</v>
      </c>
      <c r="G77" s="12">
        <f>F77*(C77/D77)*(8/((PI()^2)*9.81*D77^4))</f>
        <v>1032835.71500854</v>
      </c>
    </row>
    <row r="79" spans="2:9" x14ac:dyDescent="0.25">
      <c r="B79" s="8" t="s">
        <v>52</v>
      </c>
      <c r="C79" s="8">
        <v>6.0000000000000001E-3</v>
      </c>
    </row>
    <row r="80" spans="2:9" x14ac:dyDescent="0.25">
      <c r="B80" s="8" t="s">
        <v>139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E0CAC-941C-4939-ADB9-1238798DDCEB}">
  <sheetPr codeName="Hoja5"/>
  <dimension ref="B2:C26"/>
  <sheetViews>
    <sheetView workbookViewId="0">
      <selection activeCell="C21" sqref="C21"/>
    </sheetView>
  </sheetViews>
  <sheetFormatPr baseColWidth="10" defaultRowHeight="14.4" x14ac:dyDescent="0.3"/>
  <cols>
    <col min="1" max="1" width="11.5546875" style="88"/>
    <col min="2" max="2" width="16.33203125" style="88" bestFit="1" customWidth="1"/>
    <col min="3" max="3" width="13.109375" style="88" bestFit="1" customWidth="1"/>
    <col min="4" max="16384" width="11.5546875" style="88"/>
  </cols>
  <sheetData>
    <row r="2" spans="2:3" x14ac:dyDescent="0.3">
      <c r="B2" s="99" t="s">
        <v>405</v>
      </c>
      <c r="C2" s="99"/>
    </row>
    <row r="3" spans="2:3" x14ac:dyDescent="0.3">
      <c r="B3" s="87" t="s">
        <v>406</v>
      </c>
      <c r="C3" s="90">
        <f>10+0.01*C4^2</f>
        <v>24</v>
      </c>
    </row>
    <row r="4" spans="2:3" x14ac:dyDescent="0.3">
      <c r="B4" s="87" t="s">
        <v>342</v>
      </c>
      <c r="C4" s="90">
        <f>SQRT(70/0.05)</f>
        <v>37.416573867739416</v>
      </c>
    </row>
    <row r="6" spans="2:3" x14ac:dyDescent="0.3">
      <c r="B6" s="87" t="s">
        <v>27</v>
      </c>
      <c r="C6" s="91">
        <f>SQRT(22/0.00575)</f>
        <v>61.85537128270866</v>
      </c>
    </row>
    <row r="7" spans="2:3" x14ac:dyDescent="0.3">
      <c r="B7" s="87" t="s">
        <v>407</v>
      </c>
      <c r="C7" s="91">
        <f>+C6/2</f>
        <v>30.92768564135433</v>
      </c>
    </row>
    <row r="9" spans="2:3" x14ac:dyDescent="0.3">
      <c r="B9" s="87" t="s">
        <v>27</v>
      </c>
      <c r="C9" s="90">
        <f>SQRT(44/0.0145)</f>
        <v>55.08613944197478</v>
      </c>
    </row>
    <row r="10" spans="2:3" x14ac:dyDescent="0.3">
      <c r="B10" s="87" t="s">
        <v>406</v>
      </c>
      <c r="C10" s="92">
        <f>6+0.002*C9^2</f>
        <v>12.068965517241379</v>
      </c>
    </row>
    <row r="14" spans="2:3" x14ac:dyDescent="0.3">
      <c r="B14" s="88" t="s">
        <v>408</v>
      </c>
      <c r="C14" s="89">
        <f>101325/9810</f>
        <v>10.32874617737003</v>
      </c>
    </row>
    <row r="15" spans="2:3" x14ac:dyDescent="0.3">
      <c r="B15" s="88" t="s">
        <v>409</v>
      </c>
      <c r="C15" s="89">
        <f>19900/9810</f>
        <v>2.0285423037716614</v>
      </c>
    </row>
    <row r="16" spans="2:3" x14ac:dyDescent="0.3">
      <c r="B16" s="88" t="s">
        <v>416</v>
      </c>
      <c r="C16" s="88">
        <v>9810</v>
      </c>
    </row>
    <row r="17" spans="2:3" x14ac:dyDescent="0.3">
      <c r="B17" s="88" t="s">
        <v>414</v>
      </c>
      <c r="C17" s="88">
        <v>3.5</v>
      </c>
    </row>
    <row r="18" spans="2:3" x14ac:dyDescent="0.3">
      <c r="B18" s="88" t="s">
        <v>410</v>
      </c>
      <c r="C18" s="88">
        <v>1000</v>
      </c>
    </row>
    <row r="19" spans="2:3" x14ac:dyDescent="0.3">
      <c r="B19" s="88" t="s">
        <v>411</v>
      </c>
      <c r="C19" s="88">
        <v>3</v>
      </c>
    </row>
    <row r="20" spans="2:3" ht="28.8" x14ac:dyDescent="0.3">
      <c r="B20" s="88" t="s">
        <v>412</v>
      </c>
      <c r="C20" s="88">
        <v>2.2000000000000002</v>
      </c>
    </row>
    <row r="21" spans="2:3" x14ac:dyDescent="0.3">
      <c r="B21" s="88" t="s">
        <v>413</v>
      </c>
      <c r="C21" s="89">
        <f>C14+C19-C20-C15</f>
        <v>9.1002038735983675</v>
      </c>
    </row>
    <row r="22" spans="2:3" x14ac:dyDescent="0.3">
      <c r="B22" s="88" t="s">
        <v>415</v>
      </c>
      <c r="C22" s="88" t="str">
        <f>IF(C21&gt;C17,"sistema seguro","sistema no seguro")</f>
        <v>sistema seguro</v>
      </c>
    </row>
    <row r="24" spans="2:3" x14ac:dyDescent="0.3">
      <c r="B24" s="88" t="s">
        <v>417</v>
      </c>
      <c r="C24" s="88">
        <v>180000</v>
      </c>
    </row>
    <row r="25" spans="2:3" x14ac:dyDescent="0.3">
      <c r="B25" s="88" t="s">
        <v>409</v>
      </c>
      <c r="C25" s="88">
        <v>312000</v>
      </c>
    </row>
    <row r="26" spans="2:3" x14ac:dyDescent="0.3">
      <c r="B26" s="88" t="s">
        <v>413</v>
      </c>
    </row>
  </sheetData>
  <mergeCells count="1">
    <mergeCell ref="B2:C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C0AD7-C8E0-469E-95AF-65B29BFCFF96}">
  <sheetPr codeName="Hoja6"/>
  <dimension ref="B1:S45"/>
  <sheetViews>
    <sheetView topLeftCell="A4" workbookViewId="0">
      <selection activeCell="F16" sqref="F16"/>
    </sheetView>
  </sheetViews>
  <sheetFormatPr baseColWidth="10" defaultRowHeight="14.4" x14ac:dyDescent="0.3"/>
  <cols>
    <col min="1" max="1" width="11.5546875" style="21"/>
    <col min="2" max="2" width="43.44140625" style="21" bestFit="1" customWidth="1"/>
    <col min="3" max="3" width="29.44140625" style="21" bestFit="1" customWidth="1"/>
    <col min="4" max="4" width="25" style="21" bestFit="1" customWidth="1"/>
    <col min="5" max="5" width="31.77734375" style="21" bestFit="1" customWidth="1"/>
    <col min="6" max="6" width="29.77734375" style="21" bestFit="1" customWidth="1"/>
    <col min="7" max="7" width="31.77734375" style="21" bestFit="1" customWidth="1"/>
    <col min="8" max="8" width="11.5546875" style="21"/>
    <col min="9" max="10" width="11.109375" style="21" bestFit="1" customWidth="1"/>
    <col min="11" max="12" width="11.5546875" style="21"/>
    <col min="13" max="14" width="11.88671875" style="21" bestFit="1" customWidth="1"/>
    <col min="15" max="17" width="11.5546875" style="21"/>
    <col min="18" max="18" width="11" style="21" bestFit="1" customWidth="1"/>
    <col min="19" max="19" width="11.21875" style="21" bestFit="1" customWidth="1"/>
    <col min="20" max="16384" width="11.5546875" style="21"/>
  </cols>
  <sheetData>
    <row r="1" spans="2:19" ht="15" thickBot="1" x14ac:dyDescent="0.35"/>
    <row r="2" spans="2:19" ht="41.4" x14ac:dyDescent="0.3">
      <c r="B2" s="43" t="s">
        <v>147</v>
      </c>
      <c r="C2" s="44" t="s">
        <v>148</v>
      </c>
      <c r="D2" s="44" t="s">
        <v>149</v>
      </c>
      <c r="E2" s="44" t="s">
        <v>150</v>
      </c>
      <c r="F2" s="44" t="s">
        <v>151</v>
      </c>
      <c r="G2" s="45" t="s">
        <v>152</v>
      </c>
      <c r="I2" s="52" t="s">
        <v>238</v>
      </c>
      <c r="J2" s="53" t="s">
        <v>239</v>
      </c>
      <c r="K2" s="53" t="s">
        <v>240</v>
      </c>
      <c r="L2" s="53" t="s">
        <v>241</v>
      </c>
      <c r="M2" s="53" t="s">
        <v>242</v>
      </c>
      <c r="N2" s="53" t="s">
        <v>243</v>
      </c>
      <c r="O2" s="53" t="s">
        <v>244</v>
      </c>
      <c r="P2" s="53" t="s">
        <v>245</v>
      </c>
      <c r="Q2" s="53" t="s">
        <v>246</v>
      </c>
      <c r="R2" s="53" t="s">
        <v>247</v>
      </c>
      <c r="S2" s="54" t="s">
        <v>248</v>
      </c>
    </row>
    <row r="3" spans="2:19" x14ac:dyDescent="0.3">
      <c r="B3" s="37" t="s">
        <v>153</v>
      </c>
      <c r="C3" s="23" t="s">
        <v>154</v>
      </c>
      <c r="D3" s="23" t="s">
        <v>155</v>
      </c>
      <c r="E3" s="28">
        <v>787</v>
      </c>
      <c r="F3" s="20">
        <v>3.1599999999999998E-4</v>
      </c>
      <c r="G3" s="46">
        <v>4.0200000000000003E-7</v>
      </c>
      <c r="I3" s="55">
        <v>0.125</v>
      </c>
      <c r="J3" s="22">
        <v>6</v>
      </c>
      <c r="K3" s="22" t="s">
        <v>249</v>
      </c>
      <c r="L3" s="22" t="s">
        <v>250</v>
      </c>
      <c r="M3" s="22" t="s">
        <v>251</v>
      </c>
      <c r="N3" s="22" t="s">
        <v>252</v>
      </c>
      <c r="O3" s="22" t="s">
        <v>253</v>
      </c>
      <c r="P3" s="22" t="s">
        <v>254</v>
      </c>
      <c r="Q3" s="22" t="s">
        <v>255</v>
      </c>
      <c r="R3" s="24">
        <v>3.9399999999999998E-4</v>
      </c>
      <c r="S3" s="39">
        <f>R3*(1/(1/0.3048^2))</f>
        <v>3.6603797760000002E-5</v>
      </c>
    </row>
    <row r="4" spans="2:19" x14ac:dyDescent="0.3">
      <c r="B4" s="37" t="s">
        <v>156</v>
      </c>
      <c r="C4" s="23" t="s">
        <v>154</v>
      </c>
      <c r="D4" s="23" t="s">
        <v>155</v>
      </c>
      <c r="E4" s="28">
        <v>787</v>
      </c>
      <c r="F4" s="20">
        <v>1E-3</v>
      </c>
      <c r="G4" s="46">
        <v>1.2699999999999999E-6</v>
      </c>
      <c r="I4" s="55">
        <v>0.25</v>
      </c>
      <c r="J4" s="22">
        <v>8</v>
      </c>
      <c r="K4" s="22" t="s">
        <v>256</v>
      </c>
      <c r="L4" s="22" t="s">
        <v>257</v>
      </c>
      <c r="M4" s="22" t="s">
        <v>258</v>
      </c>
      <c r="N4" s="22" t="s">
        <v>259</v>
      </c>
      <c r="O4" s="22" t="s">
        <v>260</v>
      </c>
      <c r="P4" s="22" t="s">
        <v>261</v>
      </c>
      <c r="Q4" s="22" t="s">
        <v>262</v>
      </c>
      <c r="R4" s="24">
        <v>7.2300000000000001E-4</v>
      </c>
      <c r="S4" s="39">
        <f t="shared" ref="S4:S18" si="0">R4*(1/(1/0.3048^2))</f>
        <v>6.7168897920000009E-5</v>
      </c>
    </row>
    <row r="5" spans="2:19" x14ac:dyDescent="0.3">
      <c r="B5" s="37" t="s">
        <v>157</v>
      </c>
      <c r="C5" s="23" t="s">
        <v>158</v>
      </c>
      <c r="D5" s="23" t="s">
        <v>159</v>
      </c>
      <c r="E5" s="28">
        <v>789</v>
      </c>
      <c r="F5" s="20">
        <v>5.5999999999999995E-4</v>
      </c>
      <c r="G5" s="46">
        <v>7.0999999999999998E-7</v>
      </c>
      <c r="I5" s="55">
        <v>0.375</v>
      </c>
      <c r="J5" s="22">
        <v>10</v>
      </c>
      <c r="K5" s="22" t="s">
        <v>263</v>
      </c>
      <c r="L5" s="22" t="s">
        <v>264</v>
      </c>
      <c r="M5" s="22" t="s">
        <v>265</v>
      </c>
      <c r="N5" s="22" t="s">
        <v>266</v>
      </c>
      <c r="O5" s="22" t="s">
        <v>267</v>
      </c>
      <c r="P5" s="22" t="s">
        <v>268</v>
      </c>
      <c r="Q5" s="22" t="s">
        <v>269</v>
      </c>
      <c r="R5" s="24">
        <v>1.33E-3</v>
      </c>
      <c r="S5" s="39">
        <f t="shared" si="0"/>
        <v>1.2356104320000001E-4</v>
      </c>
    </row>
    <row r="6" spans="2:19" x14ac:dyDescent="0.3">
      <c r="B6" s="37" t="s">
        <v>160</v>
      </c>
      <c r="C6" s="23" t="s">
        <v>161</v>
      </c>
      <c r="D6" s="23" t="s">
        <v>162</v>
      </c>
      <c r="E6" s="28">
        <v>802</v>
      </c>
      <c r="F6" s="20">
        <v>1.92E-3</v>
      </c>
      <c r="G6" s="46">
        <v>2.39E-6</v>
      </c>
      <c r="I6" s="55">
        <v>0.5</v>
      </c>
      <c r="J6" s="22">
        <v>15</v>
      </c>
      <c r="K6" s="22" t="s">
        <v>270</v>
      </c>
      <c r="L6" s="22" t="s">
        <v>271</v>
      </c>
      <c r="M6" s="22" t="s">
        <v>272</v>
      </c>
      <c r="N6" s="22" t="s">
        <v>273</v>
      </c>
      <c r="O6" s="22" t="s">
        <v>274</v>
      </c>
      <c r="P6" s="22" t="s">
        <v>275</v>
      </c>
      <c r="Q6" s="22" t="s">
        <v>276</v>
      </c>
      <c r="R6" s="24">
        <v>2.1099999999999999E-3</v>
      </c>
      <c r="S6" s="39">
        <f t="shared" si="0"/>
        <v>1.960254144E-4</v>
      </c>
    </row>
    <row r="7" spans="2:19" x14ac:dyDescent="0.3">
      <c r="B7" s="37" t="s">
        <v>163</v>
      </c>
      <c r="C7" s="23" t="s">
        <v>164</v>
      </c>
      <c r="D7" s="23" t="s">
        <v>165</v>
      </c>
      <c r="E7" s="28">
        <v>910</v>
      </c>
      <c r="F7" s="29" t="s">
        <v>166</v>
      </c>
      <c r="G7" s="47" t="s">
        <v>166</v>
      </c>
      <c r="I7" s="55">
        <v>0.75</v>
      </c>
      <c r="J7" s="22">
        <v>20</v>
      </c>
      <c r="K7" s="26">
        <v>1050</v>
      </c>
      <c r="L7" s="22" t="s">
        <v>277</v>
      </c>
      <c r="M7" s="22" t="s">
        <v>278</v>
      </c>
      <c r="N7" s="22" t="s">
        <v>279</v>
      </c>
      <c r="O7" s="22" t="s">
        <v>280</v>
      </c>
      <c r="P7" s="22" t="s">
        <v>281</v>
      </c>
      <c r="Q7" s="22" t="s">
        <v>282</v>
      </c>
      <c r="R7" s="24">
        <v>3.7000000000000002E-3</v>
      </c>
      <c r="S7" s="39">
        <f t="shared" si="0"/>
        <v>3.4374124800000004E-4</v>
      </c>
    </row>
    <row r="8" spans="2:19" x14ac:dyDescent="0.3">
      <c r="B8" s="37" t="s">
        <v>167</v>
      </c>
      <c r="C8" s="23" t="s">
        <v>168</v>
      </c>
      <c r="D8" s="23" t="s">
        <v>169</v>
      </c>
      <c r="E8" s="28">
        <v>876</v>
      </c>
      <c r="F8" s="20">
        <v>6.0300000000000002E-4</v>
      </c>
      <c r="G8" s="46">
        <v>6.8800000000000002E-7</v>
      </c>
      <c r="I8" s="55">
        <v>1</v>
      </c>
      <c r="J8" s="22">
        <v>25</v>
      </c>
      <c r="K8" s="26">
        <v>1315</v>
      </c>
      <c r="L8" s="22" t="s">
        <v>283</v>
      </c>
      <c r="M8" s="22" t="s">
        <v>284</v>
      </c>
      <c r="N8" s="22" t="s">
        <v>285</v>
      </c>
      <c r="O8" s="26">
        <v>1049</v>
      </c>
      <c r="P8" s="22" t="s">
        <v>286</v>
      </c>
      <c r="Q8" s="22" t="s">
        <v>287</v>
      </c>
      <c r="R8" s="24">
        <v>6.0000000000000001E-3</v>
      </c>
      <c r="S8" s="39">
        <f t="shared" si="0"/>
        <v>5.5741824000000008E-4</v>
      </c>
    </row>
    <row r="9" spans="2:19" x14ac:dyDescent="0.3">
      <c r="B9" s="37" t="s">
        <v>170</v>
      </c>
      <c r="C9" s="23">
        <v>1590</v>
      </c>
      <c r="D9" s="23" t="s">
        <v>171</v>
      </c>
      <c r="E9" s="28">
        <v>1590</v>
      </c>
      <c r="F9" s="20">
        <v>9.1E-4</v>
      </c>
      <c r="G9" s="46">
        <v>5.7199999999999999E-7</v>
      </c>
      <c r="I9" s="55">
        <v>1.25</v>
      </c>
      <c r="J9" s="22">
        <v>32</v>
      </c>
      <c r="K9" s="26">
        <v>1660</v>
      </c>
      <c r="L9" s="22" t="s">
        <v>288</v>
      </c>
      <c r="M9" s="22" t="s">
        <v>289</v>
      </c>
      <c r="N9" s="22" t="s">
        <v>290</v>
      </c>
      <c r="O9" s="26">
        <v>1380</v>
      </c>
      <c r="P9" s="22" t="s">
        <v>291</v>
      </c>
      <c r="Q9" s="22" t="s">
        <v>292</v>
      </c>
      <c r="R9" s="24">
        <v>1.039E-2</v>
      </c>
      <c r="S9" s="39">
        <f t="shared" si="0"/>
        <v>9.6526258560000007E-4</v>
      </c>
    </row>
    <row r="10" spans="2:19" x14ac:dyDescent="0.3">
      <c r="B10" s="37" t="s">
        <v>172</v>
      </c>
      <c r="C10" s="23" t="s">
        <v>173</v>
      </c>
      <c r="D10" s="23" t="s">
        <v>174</v>
      </c>
      <c r="E10" s="28">
        <v>960</v>
      </c>
      <c r="F10" s="20">
        <v>0.65100000000000002</v>
      </c>
      <c r="G10" s="46">
        <v>6.78E-4</v>
      </c>
      <c r="I10" s="55">
        <v>1.5</v>
      </c>
      <c r="J10" s="22">
        <v>40</v>
      </c>
      <c r="K10" s="26">
        <v>1900</v>
      </c>
      <c r="L10" s="22" t="s">
        <v>293</v>
      </c>
      <c r="M10" s="22" t="s">
        <v>294</v>
      </c>
      <c r="N10" s="22" t="s">
        <v>295</v>
      </c>
      <c r="O10" s="26">
        <v>1610</v>
      </c>
      <c r="P10" s="22" t="s">
        <v>296</v>
      </c>
      <c r="Q10" s="22" t="s">
        <v>297</v>
      </c>
      <c r="R10" s="24">
        <v>1.414E-2</v>
      </c>
      <c r="S10" s="39">
        <f t="shared" si="0"/>
        <v>1.3136489856E-3</v>
      </c>
    </row>
    <row r="11" spans="2:19" x14ac:dyDescent="0.3">
      <c r="B11" s="37" t="s">
        <v>175</v>
      </c>
      <c r="C11" s="23">
        <v>1100</v>
      </c>
      <c r="D11" s="23" t="s">
        <v>176</v>
      </c>
      <c r="E11" s="28">
        <v>1100</v>
      </c>
      <c r="F11" s="20">
        <v>1.6199999999999999E-2</v>
      </c>
      <c r="G11" s="46">
        <v>1.47E-5</v>
      </c>
      <c r="I11" s="55">
        <v>2</v>
      </c>
      <c r="J11" s="22">
        <v>50</v>
      </c>
      <c r="K11" s="26">
        <v>2375</v>
      </c>
      <c r="L11" s="22" t="s">
        <v>298</v>
      </c>
      <c r="M11" s="22" t="s">
        <v>299</v>
      </c>
      <c r="N11" s="22" t="s">
        <v>300</v>
      </c>
      <c r="O11" s="26">
        <v>2067</v>
      </c>
      <c r="P11" s="22" t="s">
        <v>301</v>
      </c>
      <c r="Q11" s="22" t="s">
        <v>302</v>
      </c>
      <c r="R11" s="24">
        <v>2.333E-2</v>
      </c>
      <c r="S11" s="39">
        <f t="shared" si="0"/>
        <v>2.1674279231999999E-3</v>
      </c>
    </row>
    <row r="12" spans="2:19" x14ac:dyDescent="0.3">
      <c r="B12" s="37" t="s">
        <v>177</v>
      </c>
      <c r="C12" s="23" t="s">
        <v>178</v>
      </c>
      <c r="D12" s="23" t="s">
        <v>179</v>
      </c>
      <c r="E12" s="28">
        <v>680</v>
      </c>
      <c r="F12" s="20">
        <v>2.8699999999999998E-4</v>
      </c>
      <c r="G12" s="46">
        <v>4.2199999999999999E-7</v>
      </c>
      <c r="I12" s="55">
        <v>2.5</v>
      </c>
      <c r="J12" s="22">
        <v>65</v>
      </c>
      <c r="K12" s="26">
        <v>2875</v>
      </c>
      <c r="L12" s="22" t="s">
        <v>303</v>
      </c>
      <c r="M12" s="22" t="s">
        <v>304</v>
      </c>
      <c r="N12" s="22" t="s">
        <v>305</v>
      </c>
      <c r="O12" s="26">
        <v>2469</v>
      </c>
      <c r="P12" s="22" t="s">
        <v>306</v>
      </c>
      <c r="Q12" s="22" t="s">
        <v>307</v>
      </c>
      <c r="R12" s="24">
        <v>3.3259999999999998E-2</v>
      </c>
      <c r="S12" s="39">
        <f t="shared" si="0"/>
        <v>3.0899551104E-3</v>
      </c>
    </row>
    <row r="13" spans="2:19" x14ac:dyDescent="0.3">
      <c r="B13" s="37" t="s">
        <v>180</v>
      </c>
      <c r="C13" s="23">
        <v>1258</v>
      </c>
      <c r="D13" s="23" t="s">
        <v>181</v>
      </c>
      <c r="E13" s="28">
        <v>1258</v>
      </c>
      <c r="F13" s="20">
        <v>0.96</v>
      </c>
      <c r="G13" s="46">
        <v>7.6300000000000001E-4</v>
      </c>
      <c r="I13" s="55">
        <v>3</v>
      </c>
      <c r="J13" s="22">
        <v>80</v>
      </c>
      <c r="K13" s="26">
        <v>3500</v>
      </c>
      <c r="L13" s="22" t="s">
        <v>308</v>
      </c>
      <c r="M13" s="22" t="s">
        <v>309</v>
      </c>
      <c r="N13" s="22" t="s">
        <v>310</v>
      </c>
      <c r="O13" s="26">
        <v>3068</v>
      </c>
      <c r="P13" s="22" t="s">
        <v>311</v>
      </c>
      <c r="Q13" s="22" t="s">
        <v>312</v>
      </c>
      <c r="R13" s="24">
        <v>5.1319999999999998E-2</v>
      </c>
      <c r="S13" s="39">
        <f t="shared" si="0"/>
        <v>4.7677840128000004E-3</v>
      </c>
    </row>
    <row r="14" spans="2:19" x14ac:dyDescent="0.3">
      <c r="B14" s="37" t="s">
        <v>182</v>
      </c>
      <c r="C14" s="23" t="s">
        <v>183</v>
      </c>
      <c r="D14" s="23" t="s">
        <v>184</v>
      </c>
      <c r="E14" s="28">
        <v>823</v>
      </c>
      <c r="F14" s="20">
        <v>1.64E-3</v>
      </c>
      <c r="G14" s="46">
        <v>1.99E-6</v>
      </c>
      <c r="I14" s="55">
        <v>3.5</v>
      </c>
      <c r="J14" s="22">
        <v>90</v>
      </c>
      <c r="K14" s="26">
        <v>4000</v>
      </c>
      <c r="L14" s="22" t="s">
        <v>313</v>
      </c>
      <c r="M14" s="22" t="s">
        <v>314</v>
      </c>
      <c r="N14" s="22" t="s">
        <v>315</v>
      </c>
      <c r="O14" s="26">
        <v>3548</v>
      </c>
      <c r="P14" s="22" t="s">
        <v>316</v>
      </c>
      <c r="Q14" s="22" t="s">
        <v>317</v>
      </c>
      <c r="R14" s="24">
        <v>6.8680000000000005E-2</v>
      </c>
      <c r="S14" s="39">
        <f t="shared" si="0"/>
        <v>6.3805807872000008E-3</v>
      </c>
    </row>
    <row r="15" spans="2:19" x14ac:dyDescent="0.3">
      <c r="B15" s="37" t="s">
        <v>185</v>
      </c>
      <c r="C15" s="23" t="s">
        <v>186</v>
      </c>
      <c r="D15" s="23" t="s">
        <v>187</v>
      </c>
      <c r="E15" s="28">
        <v>13540</v>
      </c>
      <c r="F15" s="20">
        <v>1.5299999999999999E-3</v>
      </c>
      <c r="G15" s="46">
        <v>1.1300000000000001E-7</v>
      </c>
      <c r="I15" s="55">
        <v>4</v>
      </c>
      <c r="J15" s="22">
        <v>100</v>
      </c>
      <c r="K15" s="26">
        <v>4500</v>
      </c>
      <c r="L15" s="22" t="s">
        <v>318</v>
      </c>
      <c r="M15" s="22" t="s">
        <v>319</v>
      </c>
      <c r="N15" s="22" t="s">
        <v>320</v>
      </c>
      <c r="O15" s="26">
        <v>4026</v>
      </c>
      <c r="P15" s="22" t="s">
        <v>321</v>
      </c>
      <c r="Q15" s="22" t="s">
        <v>322</v>
      </c>
      <c r="R15" s="24">
        <v>8.8400000000000006E-2</v>
      </c>
      <c r="S15" s="39">
        <f t="shared" si="0"/>
        <v>8.2126287360000019E-3</v>
      </c>
    </row>
    <row r="16" spans="2:19" x14ac:dyDescent="0.3">
      <c r="B16" s="37" t="s">
        <v>188</v>
      </c>
      <c r="C16" s="23" t="s">
        <v>189</v>
      </c>
      <c r="D16" s="23" t="s">
        <v>190</v>
      </c>
      <c r="E16" s="28">
        <v>495</v>
      </c>
      <c r="F16" s="20">
        <v>1.1E-4</v>
      </c>
      <c r="G16" s="46">
        <v>2.22E-7</v>
      </c>
      <c r="I16" s="55">
        <v>5</v>
      </c>
      <c r="J16" s="22">
        <v>125</v>
      </c>
      <c r="K16" s="26">
        <v>5563</v>
      </c>
      <c r="L16" s="22" t="s">
        <v>323</v>
      </c>
      <c r="M16" s="22" t="s">
        <v>324</v>
      </c>
      <c r="N16" s="22" t="s">
        <v>325</v>
      </c>
      <c r="O16" s="26">
        <v>5047</v>
      </c>
      <c r="P16" s="22" t="s">
        <v>326</v>
      </c>
      <c r="Q16" s="22" t="s">
        <v>327</v>
      </c>
      <c r="R16" s="24">
        <v>0.13900000000000001</v>
      </c>
      <c r="S16" s="39">
        <f t="shared" si="0"/>
        <v>1.2913522560000001E-2</v>
      </c>
    </row>
    <row r="17" spans="2:19" x14ac:dyDescent="0.3">
      <c r="B17" s="37" t="s">
        <v>191</v>
      </c>
      <c r="C17" s="23">
        <v>1030</v>
      </c>
      <c r="D17" s="23" t="s">
        <v>192</v>
      </c>
      <c r="E17" s="28">
        <v>1030</v>
      </c>
      <c r="F17" s="20">
        <v>0.10299999999999999</v>
      </c>
      <c r="G17" s="46">
        <v>9.9999999999999995E-7</v>
      </c>
      <c r="I17" s="55">
        <v>6</v>
      </c>
      <c r="J17" s="22">
        <v>150</v>
      </c>
      <c r="K17" s="26">
        <v>6625</v>
      </c>
      <c r="L17" s="22" t="s">
        <v>328</v>
      </c>
      <c r="M17" s="22" t="s">
        <v>329</v>
      </c>
      <c r="N17" s="22" t="s">
        <v>330</v>
      </c>
      <c r="O17" s="26">
        <v>6065</v>
      </c>
      <c r="P17" s="22" t="s">
        <v>331</v>
      </c>
      <c r="Q17" s="22" t="s">
        <v>332</v>
      </c>
      <c r="R17" s="24">
        <v>0.2006</v>
      </c>
      <c r="S17" s="39">
        <f t="shared" si="0"/>
        <v>1.8636349824E-2</v>
      </c>
    </row>
    <row r="18" spans="2:19" ht="15" thickBot="1" x14ac:dyDescent="0.35">
      <c r="B18" s="37" t="s">
        <v>193</v>
      </c>
      <c r="C18" s="23" t="s">
        <v>194</v>
      </c>
      <c r="D18" s="23" t="s">
        <v>195</v>
      </c>
      <c r="E18" s="28">
        <v>920</v>
      </c>
      <c r="F18" s="19">
        <v>8.5000000000000006E-2</v>
      </c>
      <c r="G18" s="46">
        <v>9.2399999999999996E-5</v>
      </c>
      <c r="I18" s="56">
        <v>8</v>
      </c>
      <c r="J18" s="57">
        <v>200</v>
      </c>
      <c r="K18" s="58">
        <v>8625</v>
      </c>
      <c r="L18" s="57" t="s">
        <v>333</v>
      </c>
      <c r="M18" s="57" t="s">
        <v>334</v>
      </c>
      <c r="N18" s="57" t="s">
        <v>335</v>
      </c>
      <c r="O18" s="58">
        <v>7981</v>
      </c>
      <c r="P18" s="57" t="s">
        <v>336</v>
      </c>
      <c r="Q18" s="57" t="s">
        <v>337</v>
      </c>
      <c r="R18" s="59">
        <v>0.34720000000000001</v>
      </c>
      <c r="S18" s="42">
        <f t="shared" si="0"/>
        <v>3.2255935488000001E-2</v>
      </c>
    </row>
    <row r="19" spans="2:19" x14ac:dyDescent="0.3">
      <c r="B19" s="37" t="s">
        <v>196</v>
      </c>
      <c r="C19" s="23" t="s">
        <v>197</v>
      </c>
      <c r="D19" s="23" t="s">
        <v>198</v>
      </c>
      <c r="E19" s="28">
        <v>1420</v>
      </c>
      <c r="F19" s="19">
        <v>10</v>
      </c>
      <c r="G19" s="46">
        <v>7.0400000000000003E-3</v>
      </c>
    </row>
    <row r="20" spans="2:19" ht="15" thickBot="1" x14ac:dyDescent="0.35">
      <c r="B20" s="40" t="s">
        <v>199</v>
      </c>
      <c r="C20" s="48" t="s">
        <v>200</v>
      </c>
      <c r="D20" s="48" t="s">
        <v>201</v>
      </c>
      <c r="E20" s="49">
        <v>1060</v>
      </c>
      <c r="F20" s="50">
        <v>3.5000000000000001E-3</v>
      </c>
      <c r="G20" s="51">
        <v>3.3000000000000002E-6</v>
      </c>
    </row>
    <row r="21" spans="2:19" x14ac:dyDescent="0.3">
      <c r="F21" s="27"/>
    </row>
    <row r="22" spans="2:19" x14ac:dyDescent="0.3">
      <c r="I22" s="30"/>
      <c r="J22" s="30"/>
      <c r="K22" s="30"/>
      <c r="L22" s="30"/>
      <c r="M22" s="30"/>
      <c r="N22" s="30"/>
    </row>
    <row r="23" spans="2:19" ht="15" thickBot="1" x14ac:dyDescent="0.35">
      <c r="I23" s="31"/>
      <c r="J23" s="31"/>
      <c r="K23" s="31"/>
      <c r="L23" s="31"/>
      <c r="M23" s="32"/>
      <c r="N23" s="32"/>
    </row>
    <row r="24" spans="2:19" x14ac:dyDescent="0.3">
      <c r="B24" s="78" t="s">
        <v>202</v>
      </c>
      <c r="C24" s="79" t="s">
        <v>203</v>
      </c>
      <c r="E24" s="34" t="s">
        <v>225</v>
      </c>
      <c r="F24" s="35" t="s">
        <v>226</v>
      </c>
      <c r="G24" s="36" t="s">
        <v>227</v>
      </c>
      <c r="I24" s="31"/>
      <c r="J24" s="31"/>
      <c r="K24" s="31"/>
      <c r="L24" s="31"/>
      <c r="M24" s="32"/>
      <c r="N24" s="32"/>
    </row>
    <row r="25" spans="2:19" x14ac:dyDescent="0.3">
      <c r="B25" s="37" t="s">
        <v>204</v>
      </c>
      <c r="C25" s="80">
        <v>340</v>
      </c>
      <c r="E25" s="37" t="s">
        <v>228</v>
      </c>
      <c r="F25" s="22" t="s">
        <v>229</v>
      </c>
      <c r="G25" s="38" t="s">
        <v>229</v>
      </c>
      <c r="I25" s="31"/>
      <c r="J25" s="31"/>
      <c r="K25" s="31"/>
      <c r="L25" s="31"/>
      <c r="M25" s="32"/>
      <c r="N25" s="32"/>
    </row>
    <row r="26" spans="2:19" x14ac:dyDescent="0.3">
      <c r="B26" s="37" t="s">
        <v>205</v>
      </c>
      <c r="C26" s="80">
        <v>150</v>
      </c>
      <c r="E26" s="37" t="s">
        <v>230</v>
      </c>
      <c r="F26" s="25">
        <v>2.9999999999999999E-7</v>
      </c>
      <c r="G26" s="39">
        <v>9.9999999999999995E-7</v>
      </c>
      <c r="I26" s="31"/>
      <c r="J26" s="31"/>
      <c r="K26" s="31"/>
      <c r="L26" s="31"/>
      <c r="M26" s="32"/>
      <c r="N26" s="32"/>
    </row>
    <row r="27" spans="2:19" x14ac:dyDescent="0.3">
      <c r="B27" s="37" t="s">
        <v>206</v>
      </c>
      <c r="C27" s="80">
        <v>8</v>
      </c>
      <c r="E27" s="37" t="s">
        <v>231</v>
      </c>
      <c r="F27" s="25">
        <v>1.5E-6</v>
      </c>
      <c r="G27" s="39">
        <v>5.0000000000000004E-6</v>
      </c>
      <c r="I27" s="31"/>
      <c r="J27" s="31"/>
      <c r="K27" s="31"/>
      <c r="L27" s="31"/>
      <c r="M27" s="32"/>
      <c r="N27" s="32"/>
    </row>
    <row r="28" spans="2:19" x14ac:dyDescent="0.3">
      <c r="B28" s="37" t="s">
        <v>207</v>
      </c>
      <c r="C28" s="80">
        <v>35</v>
      </c>
      <c r="E28" s="37" t="s">
        <v>232</v>
      </c>
      <c r="F28" s="25">
        <v>4.6E-5</v>
      </c>
      <c r="G28" s="39">
        <v>1.4999999999999999E-4</v>
      </c>
      <c r="I28" s="31"/>
      <c r="J28" s="31"/>
      <c r="K28" s="31"/>
      <c r="L28" s="31"/>
      <c r="M28" s="32"/>
      <c r="N28" s="32"/>
    </row>
    <row r="29" spans="2:19" x14ac:dyDescent="0.3">
      <c r="B29" s="37" t="s">
        <v>208</v>
      </c>
      <c r="C29" s="80">
        <v>160</v>
      </c>
      <c r="E29" s="37" t="s">
        <v>233</v>
      </c>
      <c r="F29" s="25">
        <v>1.4999999999999999E-4</v>
      </c>
      <c r="G29" s="39">
        <v>5.0000000000000001E-4</v>
      </c>
      <c r="I29" s="31"/>
      <c r="J29" s="33"/>
      <c r="K29" s="31"/>
      <c r="L29" s="31"/>
      <c r="M29" s="32"/>
      <c r="N29" s="32"/>
    </row>
    <row r="30" spans="2:19" x14ac:dyDescent="0.3">
      <c r="B30" s="37" t="s">
        <v>209</v>
      </c>
      <c r="C30" s="80">
        <v>900</v>
      </c>
      <c r="E30" s="37" t="s">
        <v>234</v>
      </c>
      <c r="F30" s="25">
        <v>1.2E-4</v>
      </c>
      <c r="G30" s="39">
        <v>4.0000000000000002E-4</v>
      </c>
      <c r="I30" s="31"/>
      <c r="J30" s="31"/>
      <c r="K30" s="31"/>
      <c r="L30" s="31"/>
      <c r="M30" s="32"/>
      <c r="N30" s="32"/>
    </row>
    <row r="31" spans="2:19" x14ac:dyDescent="0.3">
      <c r="B31" s="37" t="s">
        <v>210</v>
      </c>
      <c r="C31" s="80">
        <v>100</v>
      </c>
      <c r="E31" s="37" t="s">
        <v>235</v>
      </c>
      <c r="F31" s="25">
        <v>2.4000000000000001E-4</v>
      </c>
      <c r="G31" s="39">
        <v>8.0000000000000004E-4</v>
      </c>
      <c r="I31" s="31"/>
      <c r="J31" s="33"/>
      <c r="K31" s="31"/>
      <c r="L31" s="31"/>
      <c r="M31" s="32"/>
      <c r="N31" s="32"/>
    </row>
    <row r="32" spans="2:19" x14ac:dyDescent="0.3">
      <c r="B32" s="37" t="s">
        <v>211</v>
      </c>
      <c r="C32" s="80">
        <v>150</v>
      </c>
      <c r="E32" s="37" t="s">
        <v>236</v>
      </c>
      <c r="F32" s="25">
        <v>1.2E-4</v>
      </c>
      <c r="G32" s="39">
        <v>4.0000000000000002E-4</v>
      </c>
      <c r="I32" s="31"/>
      <c r="J32" s="31"/>
      <c r="K32" s="31"/>
      <c r="L32" s="31"/>
      <c r="M32" s="32"/>
      <c r="N32" s="32"/>
    </row>
    <row r="33" spans="2:14" ht="15" thickBot="1" x14ac:dyDescent="0.35">
      <c r="B33" s="37" t="s">
        <v>212</v>
      </c>
      <c r="C33" s="80">
        <v>45</v>
      </c>
      <c r="E33" s="40" t="s">
        <v>237</v>
      </c>
      <c r="F33" s="41">
        <v>1.8E-3</v>
      </c>
      <c r="G33" s="42">
        <v>6.0000000000000001E-3</v>
      </c>
      <c r="I33" s="31"/>
      <c r="J33" s="33"/>
      <c r="K33" s="31"/>
      <c r="L33" s="31"/>
      <c r="M33" s="32"/>
      <c r="N33" s="32"/>
    </row>
    <row r="34" spans="2:14" x14ac:dyDescent="0.3">
      <c r="B34" s="37" t="s">
        <v>213</v>
      </c>
      <c r="C34" s="80">
        <v>35</v>
      </c>
      <c r="I34" s="31"/>
      <c r="J34" s="31"/>
      <c r="K34" s="31"/>
      <c r="L34" s="31"/>
      <c r="M34" s="32"/>
      <c r="N34" s="32"/>
    </row>
    <row r="35" spans="2:14" x14ac:dyDescent="0.3">
      <c r="B35" s="37" t="s">
        <v>214</v>
      </c>
      <c r="C35" s="80">
        <v>25</v>
      </c>
      <c r="I35" s="31"/>
      <c r="J35" s="31"/>
      <c r="K35" s="31"/>
      <c r="L35" s="31"/>
      <c r="M35" s="32"/>
      <c r="N35" s="32"/>
    </row>
    <row r="36" spans="2:14" x14ac:dyDescent="0.3">
      <c r="B36" s="37" t="s">
        <v>215</v>
      </c>
      <c r="C36" s="80">
        <v>420</v>
      </c>
      <c r="I36" s="31"/>
      <c r="J36" s="31"/>
      <c r="K36" s="31"/>
      <c r="L36" s="31"/>
      <c r="M36" s="32"/>
      <c r="N36" s="32"/>
    </row>
    <row r="37" spans="2:14" x14ac:dyDescent="0.3">
      <c r="B37" s="37" t="s">
        <v>216</v>
      </c>
      <c r="C37" s="80">
        <v>75</v>
      </c>
      <c r="I37" s="31"/>
      <c r="J37" s="33"/>
      <c r="K37" s="31"/>
      <c r="L37" s="31"/>
      <c r="M37" s="32"/>
      <c r="N37" s="32"/>
    </row>
    <row r="38" spans="2:14" x14ac:dyDescent="0.3">
      <c r="B38" s="37" t="s">
        <v>217</v>
      </c>
      <c r="C38" s="80">
        <v>30</v>
      </c>
      <c r="I38" s="31"/>
      <c r="J38" s="31"/>
      <c r="K38" s="31"/>
      <c r="L38" s="31"/>
      <c r="M38" s="32"/>
      <c r="N38" s="32"/>
    </row>
    <row r="39" spans="2:14" x14ac:dyDescent="0.3">
      <c r="B39" s="37" t="s">
        <v>218</v>
      </c>
      <c r="C39" s="80">
        <v>20</v>
      </c>
      <c r="I39" s="31"/>
      <c r="J39" s="31"/>
      <c r="K39" s="31"/>
      <c r="L39" s="31"/>
      <c r="M39" s="32"/>
      <c r="N39" s="32"/>
    </row>
    <row r="40" spans="2:14" x14ac:dyDescent="0.3">
      <c r="B40" s="37" t="s">
        <v>219</v>
      </c>
      <c r="C40" s="80">
        <v>50</v>
      </c>
      <c r="I40" s="31"/>
      <c r="J40" s="31"/>
      <c r="K40" s="31"/>
      <c r="L40" s="31"/>
      <c r="M40" s="32"/>
      <c r="N40" s="32"/>
    </row>
    <row r="41" spans="2:14" x14ac:dyDescent="0.3">
      <c r="B41" s="37" t="s">
        <v>220</v>
      </c>
      <c r="C41" s="80">
        <v>16</v>
      </c>
    </row>
    <row r="42" spans="2:14" x14ac:dyDescent="0.3">
      <c r="B42" s="37" t="s">
        <v>221</v>
      </c>
      <c r="C42" s="80">
        <v>26</v>
      </c>
    </row>
    <row r="43" spans="2:14" x14ac:dyDescent="0.3">
      <c r="B43" s="37" t="s">
        <v>222</v>
      </c>
      <c r="C43" s="80">
        <v>50</v>
      </c>
    </row>
    <row r="44" spans="2:14" x14ac:dyDescent="0.3">
      <c r="B44" s="37" t="s">
        <v>223</v>
      </c>
      <c r="C44" s="80">
        <v>20</v>
      </c>
    </row>
    <row r="45" spans="2:14" ht="15" thickBot="1" x14ac:dyDescent="0.35">
      <c r="B45" s="40" t="s">
        <v>224</v>
      </c>
      <c r="C45" s="81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MAPA TOPOGRAFICO</vt:lpstr>
      <vt:lpstr>PERDIDAS</vt:lpstr>
      <vt:lpstr>REYNOLDS</vt:lpstr>
      <vt:lpstr>SERIE Y PARALELO</vt:lpstr>
      <vt:lpstr>BOMBAS HIDRAULICAS</vt:lpstr>
      <vt:lpstr>TABLAS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Samuel Aguilera</cp:lastModifiedBy>
  <dcterms:created xsi:type="dcterms:W3CDTF">2026-02-12T17:38:42Z</dcterms:created>
  <dcterms:modified xsi:type="dcterms:W3CDTF">2026-02-24T22:21:12Z</dcterms:modified>
</cp:coreProperties>
</file>