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5e05b7578e54c8d/Documentos/UNIVERSIDAD/5TO_SEMESTRE/PROCESOS_UNITARIOS/"/>
    </mc:Choice>
  </mc:AlternateContent>
  <xr:revisionPtr revIDLastSave="18" documentId="8_{F539E322-214D-4B41-9246-4827ECD9178A}" xr6:coauthVersionLast="47" xr6:coauthVersionMax="47" xr10:uidLastSave="{4B3295F2-B75E-45BD-88D0-E042C9CD0C8E}"/>
  <bookViews>
    <workbookView xWindow="28665" yWindow="-135" windowWidth="29070" windowHeight="16470" activeTab="1" xr2:uid="{E6D82FC7-3804-44CD-B27D-77E9852229C0}"/>
  </bookViews>
  <sheets>
    <sheet name="MAPA TOPOGRAFICO" sheetId="1" r:id="rId1"/>
    <sheet name="PERDIDAS" sheetId="2" r:id="rId2"/>
    <sheet name="SERIE Y PARALEL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5" i="3" l="1"/>
  <c r="G77" i="3"/>
  <c r="G76" i="3"/>
  <c r="E77" i="3"/>
  <c r="E76" i="3"/>
  <c r="H50" i="3"/>
  <c r="H47" i="3"/>
  <c r="H48" i="3"/>
  <c r="H46" i="3"/>
  <c r="F47" i="3"/>
  <c r="F48" i="3"/>
  <c r="F46" i="3"/>
  <c r="E47" i="3"/>
  <c r="E48" i="3"/>
  <c r="E46" i="3"/>
  <c r="Y116" i="2"/>
  <c r="X116" i="2"/>
  <c r="X114" i="2"/>
  <c r="X113" i="2"/>
  <c r="X112" i="2"/>
  <c r="X111" i="2"/>
  <c r="X109" i="2"/>
  <c r="X106" i="2"/>
  <c r="X107" i="2"/>
  <c r="X105" i="2"/>
  <c r="X104" i="2"/>
  <c r="U116" i="2"/>
  <c r="U107" i="2"/>
  <c r="U106" i="2"/>
  <c r="U115" i="2"/>
  <c r="U118" i="2"/>
  <c r="U113" i="2"/>
  <c r="U112" i="2"/>
  <c r="U111" i="2"/>
  <c r="U110" i="2"/>
  <c r="U109" i="2"/>
  <c r="U108" i="2"/>
  <c r="U104" i="2"/>
  <c r="S75" i="2"/>
  <c r="V74" i="2"/>
  <c r="V72" i="2"/>
  <c r="V71" i="2"/>
  <c r="V70" i="2"/>
  <c r="S73" i="2"/>
  <c r="S72" i="2"/>
  <c r="S71" i="2"/>
  <c r="C158" i="2"/>
  <c r="S70" i="2"/>
  <c r="V66" i="2"/>
  <c r="V67" i="2"/>
  <c r="V65" i="2"/>
  <c r="V64" i="2"/>
  <c r="V63" i="2"/>
  <c r="V62" i="2"/>
  <c r="V61" i="2"/>
  <c r="V60" i="2"/>
  <c r="V59" i="2"/>
  <c r="V58" i="2"/>
  <c r="S58" i="2"/>
  <c r="S62" i="2"/>
  <c r="S64" i="2" s="1"/>
  <c r="S61" i="2"/>
  <c r="S63" i="2" s="1"/>
  <c r="S60" i="2"/>
  <c r="S59" i="2"/>
  <c r="S31" i="2"/>
  <c r="S20" i="2"/>
  <c r="S21" i="2" s="1"/>
  <c r="V15" i="2"/>
  <c r="U16" i="2" s="1"/>
  <c r="C159" i="2"/>
  <c r="C147" i="2"/>
  <c r="B144" i="2"/>
  <c r="C149" i="2" s="1"/>
  <c r="C116" i="2"/>
  <c r="C117" i="2" s="1"/>
  <c r="C119" i="2" s="1"/>
  <c r="C121" i="2" s="1"/>
  <c r="C122" i="2" s="1"/>
  <c r="D113" i="2"/>
  <c r="D112" i="2"/>
  <c r="C115" i="2" s="1"/>
  <c r="K82" i="2"/>
  <c r="K87" i="2"/>
  <c r="K88" i="2"/>
  <c r="K89" i="2"/>
  <c r="M87" i="2" s="1"/>
  <c r="K90" i="2"/>
  <c r="K86" i="2"/>
  <c r="D32" i="1"/>
  <c r="C32" i="1"/>
  <c r="C24" i="1"/>
  <c r="C25" i="1"/>
  <c r="C26" i="1"/>
  <c r="C27" i="1"/>
  <c r="C28" i="1"/>
  <c r="C29" i="1"/>
  <c r="C30" i="1"/>
  <c r="C31" i="1"/>
  <c r="C23" i="1"/>
  <c r="G12" i="1"/>
  <c r="G13" i="1"/>
  <c r="F11" i="1"/>
  <c r="H4" i="1"/>
  <c r="G4" i="1"/>
  <c r="H5" i="1"/>
  <c r="G5" i="1"/>
  <c r="H6" i="1"/>
  <c r="G6" i="1"/>
  <c r="H7" i="1"/>
  <c r="G7" i="1"/>
  <c r="H8" i="1"/>
  <c r="G8" i="1"/>
  <c r="H9" i="1"/>
  <c r="G9" i="1"/>
  <c r="H10" i="1"/>
  <c r="G10" i="1"/>
  <c r="H11" i="1"/>
  <c r="G11" i="1"/>
  <c r="G3" i="1"/>
  <c r="F4" i="1"/>
  <c r="F5" i="1"/>
  <c r="F6" i="1"/>
  <c r="F7" i="1"/>
  <c r="F8" i="1"/>
  <c r="F9" i="1"/>
  <c r="F10" i="1"/>
  <c r="F3" i="1"/>
  <c r="D19" i="1"/>
  <c r="C17" i="1"/>
  <c r="D15" i="1"/>
  <c r="D14" i="1"/>
  <c r="D13" i="1"/>
  <c r="D9" i="1"/>
  <c r="D3" i="1"/>
  <c r="D4" i="1"/>
  <c r="D5" i="1"/>
  <c r="D6" i="1"/>
  <c r="D7" i="1"/>
  <c r="D8" i="1"/>
  <c r="D10" i="1"/>
  <c r="U119" i="2" l="1"/>
  <c r="M86" i="2"/>
  <c r="J92" i="2" s="1"/>
  <c r="J93" i="2" s="1"/>
  <c r="J95" i="2" s="1"/>
  <c r="J97" i="2" s="1"/>
  <c r="S24" i="2"/>
  <c r="S25" i="2" s="1"/>
  <c r="S22" i="2"/>
  <c r="S23" i="2"/>
  <c r="S26" i="2"/>
  <c r="C151" i="2"/>
  <c r="S66" i="2"/>
  <c r="S68" i="2" s="1"/>
  <c r="S65" i="2"/>
  <c r="S67" i="2" s="1"/>
  <c r="S29" i="2"/>
  <c r="J96" i="2" l="1"/>
  <c r="G154" i="2"/>
  <c r="E159" i="2"/>
  <c r="G152" i="2"/>
  <c r="S27" i="2"/>
  <c r="S32" i="2" s="1"/>
  <c r="U19" i="2" s="1"/>
  <c r="V19" i="2" s="1"/>
  <c r="E160" i="2" l="1"/>
  <c r="E161" i="2" s="1"/>
  <c r="C160" i="2"/>
  <c r="H154" i="2" a="1"/>
  <c r="H15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<sst xmlns="http://schemas.openxmlformats.org/spreadsheetml/2006/main" count="183" uniqueCount="140">
  <si>
    <t xml:space="preserve">Altura </t>
  </si>
  <si>
    <t>largo</t>
  </si>
  <si>
    <t>hipotenusa</t>
  </si>
  <si>
    <t>Distancia del rio</t>
  </si>
  <si>
    <t>De montaña a tierra</t>
  </si>
  <si>
    <t>Total Montaña</t>
  </si>
  <si>
    <t>Distancia</t>
  </si>
  <si>
    <t>Escala</t>
  </si>
  <si>
    <t>espacio entre tierra y rio</t>
  </si>
  <si>
    <t>Altura</t>
  </si>
  <si>
    <t>TRAMOS</t>
  </si>
  <si>
    <t>DIAMETRO DE TUBERIA EN CM</t>
  </si>
  <si>
    <t>DISTANCIA DE TUBERIAS</t>
  </si>
  <si>
    <t>PERDIDAS MENORES</t>
  </si>
  <si>
    <t>TIPOS DE VALVULAS</t>
  </si>
  <si>
    <t>COMPUERTA</t>
  </si>
  <si>
    <t>GLOBO</t>
  </si>
  <si>
    <t>BOLA</t>
  </si>
  <si>
    <t>MARIPOSA</t>
  </si>
  <si>
    <t>AGUJA</t>
  </si>
  <si>
    <t>GRADO DE APERTURA</t>
  </si>
  <si>
    <t>EL VALOR DE k INDICA EL TIPO DE SALIDA</t>
  </si>
  <si>
    <t>SE USA NORMALMENTE EL VALOR DE k = 1</t>
  </si>
  <si>
    <t>Tipos de Valvulas</t>
  </si>
  <si>
    <t>Rapidez del flujo volumetrico</t>
  </si>
  <si>
    <t>tamaño de tuberia</t>
  </si>
  <si>
    <t>Ejercicios</t>
  </si>
  <si>
    <t>Q</t>
  </si>
  <si>
    <t>material</t>
  </si>
  <si>
    <t>angulo</t>
  </si>
  <si>
    <t>diametro</t>
  </si>
  <si>
    <t>pared</t>
  </si>
  <si>
    <t>cobre</t>
  </si>
  <si>
    <t>Diametro 1</t>
  </si>
  <si>
    <t>diametro 2</t>
  </si>
  <si>
    <t xml:space="preserve">l/min </t>
  </si>
  <si>
    <t>m^3/s</t>
  </si>
  <si>
    <t>area 1</t>
  </si>
  <si>
    <t>c1</t>
  </si>
  <si>
    <t>carga de velocidad</t>
  </si>
  <si>
    <t>relacion de diametros</t>
  </si>
  <si>
    <t>interpolacion de tabla</t>
  </si>
  <si>
    <t>K</t>
  </si>
  <si>
    <t>HL</t>
  </si>
  <si>
    <t xml:space="preserve">perdida de energia </t>
  </si>
  <si>
    <t>tuberia</t>
  </si>
  <si>
    <t>dn150</t>
  </si>
  <si>
    <t>celula 40</t>
  </si>
  <si>
    <t>diametro interno</t>
  </si>
  <si>
    <t>area</t>
  </si>
  <si>
    <t>C1</t>
  </si>
  <si>
    <t>tuberia diametro interno</t>
  </si>
  <si>
    <t>caudal</t>
  </si>
  <si>
    <t>gal/mil</t>
  </si>
  <si>
    <t>1 gal</t>
  </si>
  <si>
    <t>m/s</t>
  </si>
  <si>
    <t>m^2</t>
  </si>
  <si>
    <t>m</t>
  </si>
  <si>
    <t>p1</t>
  </si>
  <si>
    <t>p2</t>
  </si>
  <si>
    <t>y</t>
  </si>
  <si>
    <t>HL = HL linea - accesorio</t>
  </si>
  <si>
    <t>Ft</t>
  </si>
  <si>
    <t>HL curva</t>
  </si>
  <si>
    <t>Re</t>
  </si>
  <si>
    <t>distancia</t>
  </si>
  <si>
    <t>bombeos</t>
  </si>
  <si>
    <t>depositos</t>
  </si>
  <si>
    <t xml:space="preserve">codos </t>
  </si>
  <si>
    <t>perdida por rozamiento</t>
  </si>
  <si>
    <t>F</t>
  </si>
  <si>
    <t>epsilon</t>
  </si>
  <si>
    <t>re</t>
  </si>
  <si>
    <t>perdida por linea</t>
  </si>
  <si>
    <t>tanque B</t>
  </si>
  <si>
    <t>tanque A</t>
  </si>
  <si>
    <t>Longitud</t>
  </si>
  <si>
    <t>gal/min</t>
  </si>
  <si>
    <t>factor</t>
  </si>
  <si>
    <t>velocidad</t>
  </si>
  <si>
    <t>carga</t>
  </si>
  <si>
    <t>acce 1</t>
  </si>
  <si>
    <t>acce 2</t>
  </si>
  <si>
    <t>acce 3</t>
  </si>
  <si>
    <t xml:space="preserve">acce4 </t>
  </si>
  <si>
    <t>acce5</t>
  </si>
  <si>
    <t>f</t>
  </si>
  <si>
    <t>Hlinea</t>
  </si>
  <si>
    <t>Hmenor</t>
  </si>
  <si>
    <t>Coeficiente de resistencia para accesorios</t>
  </si>
  <si>
    <t>Caudal</t>
  </si>
  <si>
    <t>L1</t>
  </si>
  <si>
    <t>L2</t>
  </si>
  <si>
    <t>D1</t>
  </si>
  <si>
    <t>D2</t>
  </si>
  <si>
    <t>A1</t>
  </si>
  <si>
    <t>A2</t>
  </si>
  <si>
    <t>C2</t>
  </si>
  <si>
    <t xml:space="preserve">Carga 1 </t>
  </si>
  <si>
    <t>Carga 2</t>
  </si>
  <si>
    <t>gravedad *2</t>
  </si>
  <si>
    <t>acce1</t>
  </si>
  <si>
    <t>ace2</t>
  </si>
  <si>
    <t>acc4</t>
  </si>
  <si>
    <t>acc5</t>
  </si>
  <si>
    <t>acc6</t>
  </si>
  <si>
    <t>acc3</t>
  </si>
  <si>
    <t>acc1</t>
  </si>
  <si>
    <t>acc7</t>
  </si>
  <si>
    <t>acc8</t>
  </si>
  <si>
    <t>total</t>
  </si>
  <si>
    <t>Re1</t>
  </si>
  <si>
    <t>Re2</t>
  </si>
  <si>
    <t>F2</t>
  </si>
  <si>
    <t>F1</t>
  </si>
  <si>
    <t>F1 por colebrok</t>
  </si>
  <si>
    <t>F2 por colbrok</t>
  </si>
  <si>
    <t>HL1</t>
  </si>
  <si>
    <t>HL2</t>
  </si>
  <si>
    <t>total perdidas</t>
  </si>
  <si>
    <t>eficiencia</t>
  </si>
  <si>
    <t>carga1</t>
  </si>
  <si>
    <t>carga2</t>
  </si>
  <si>
    <t>acc2</t>
  </si>
  <si>
    <t>linea 1</t>
  </si>
  <si>
    <t>linea2</t>
  </si>
  <si>
    <t>Ha</t>
  </si>
  <si>
    <t>potencia</t>
  </si>
  <si>
    <t>tramo inicial</t>
  </si>
  <si>
    <t>tramos en paralelo</t>
  </si>
  <si>
    <t>tramo final</t>
  </si>
  <si>
    <t xml:space="preserve">tramos </t>
  </si>
  <si>
    <t>longitud</t>
  </si>
  <si>
    <t>areas</t>
  </si>
  <si>
    <t>perdidas</t>
  </si>
  <si>
    <t>rama</t>
  </si>
  <si>
    <t>a</t>
  </si>
  <si>
    <t>b</t>
  </si>
  <si>
    <t>caudal total</t>
  </si>
  <si>
    <t>caudal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</si>
</sst>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0"/>
    <numFmt numFmtId="165" formatCode="#,##0.000"/>
    <numFmt numFmtId="166" formatCode="#,##0.0000"/>
    <numFmt numFmtId="167" formatCode="0.0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HP Simplified"/>
      <family val="2"/>
    </font>
    <font>
      <sz val="11"/>
      <color theme="1"/>
      <name val="HP Simplified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'MAPA TOPOGRAFICO'!$H$2</c:f>
              <c:strCache>
                <c:ptCount val="1"/>
                <c:pt idx="0">
                  <c:v>Altura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'MAPA TOPOGRAFICO'!$G$3:$G$11</c:f>
              <c:numCache>
                <c:formatCode>#,##0.00</c:formatCode>
                <c:ptCount val="9"/>
                <c:pt idx="0">
                  <c:v>84</c:v>
                </c:pt>
                <c:pt idx="1">
                  <c:v>307.34996339677673</c:v>
                </c:pt>
                <c:pt idx="2">
                  <c:v>482.58056322234944</c:v>
                </c:pt>
                <c:pt idx="3">
                  <c:v>590.47438555791734</c:v>
                </c:pt>
                <c:pt idx="4">
                  <c:v>747.78874022012405</c:v>
                </c:pt>
                <c:pt idx="5">
                  <c:v>989.27245994215366</c:v>
                </c:pt>
                <c:pt idx="6">
                  <c:v>1113.157670772654</c:v>
                </c:pt>
                <c:pt idx="7">
                  <c:v>1181.6344612442547</c:v>
                </c:pt>
                <c:pt idx="8">
                  <c:v>1236.9316876852984</c:v>
                </c:pt>
              </c:numCache>
            </c:numRef>
          </c:xVal>
          <c:yVal>
            <c:numRef>
              <c:f>'MAPA TOPOGRAFICO'!$H$3:$H$11</c:f>
              <c:numCache>
                <c:formatCode>#,##0.00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100</c:v>
                </c:pt>
                <c:pt idx="3">
                  <c:v>300</c:v>
                </c:pt>
                <c:pt idx="4">
                  <c:v>500</c:v>
                </c:pt>
                <c:pt idx="5">
                  <c:v>500</c:v>
                </c:pt>
                <c:pt idx="6">
                  <c:v>300</c:v>
                </c:pt>
                <c:pt idx="7">
                  <c:v>100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0-42FC-924B-FB98B15E7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2601471"/>
        <c:axId val="1072600223"/>
      </c:scatterChart>
      <c:valAx>
        <c:axId val="1072601471"/>
        <c:scaling>
          <c:orientation val="minMax"/>
          <c:max val="150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72600223"/>
        <c:crosses val="autoZero"/>
        <c:crossBetween val="midCat"/>
        <c:minorUnit val="50"/>
      </c:valAx>
      <c:valAx>
        <c:axId val="1072600223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minorGridlines>
          <c:spPr>
            <a:ln>
              <a:solidFill>
                <a:schemeClr val="lt1">
                  <a:lumMod val="95000"/>
                  <a:alpha val="5000"/>
                </a:schemeClr>
              </a:solidFill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BO"/>
            </a:p>
          </c:txPr>
        </c:title>
        <c:numFmt formatCode="#,##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072601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1</xdr:row>
      <xdr:rowOff>66675</xdr:rowOff>
    </xdr:from>
    <xdr:to>
      <xdr:col>16</xdr:col>
      <xdr:colOff>533400</xdr:colOff>
      <xdr:row>19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D6A02F0-C2F5-471E-9F5A-C38A82B8E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1</xdr:row>
      <xdr:rowOff>0</xdr:rowOff>
    </xdr:from>
    <xdr:to>
      <xdr:col>2</xdr:col>
      <xdr:colOff>592795</xdr:colOff>
      <xdr:row>7</xdr:row>
      <xdr:rowOff>133520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7CF538-4ABF-4649-A885-6AEFF3BDA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" y="182880"/>
          <a:ext cx="2438740" cy="121937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13</xdr:row>
      <xdr:rowOff>144780</xdr:rowOff>
    </xdr:from>
    <xdr:to>
      <xdr:col>2</xdr:col>
      <xdr:colOff>531778</xdr:colOff>
      <xdr:row>19</xdr:row>
      <xdr:rowOff>93493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45254D-2214-4A8C-8510-D81FFF40F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27760" y="2522220"/>
          <a:ext cx="2029108" cy="1057423"/>
        </a:xfrm>
        <a:prstGeom prst="rect">
          <a:avLst/>
        </a:prstGeom>
      </xdr:spPr>
    </xdr:pic>
    <xdr:clientData/>
  </xdr:twoCellAnchor>
  <xdr:twoCellAnchor editAs="oneCell">
    <xdr:from>
      <xdr:col>0</xdr:col>
      <xdr:colOff>670560</xdr:colOff>
      <xdr:row>21</xdr:row>
      <xdr:rowOff>30480</xdr:rowOff>
    </xdr:from>
    <xdr:to>
      <xdr:col>3</xdr:col>
      <xdr:colOff>476703</xdr:colOff>
      <xdr:row>30</xdr:row>
      <xdr:rowOff>93586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7D4D86A-8162-46C0-92D0-DCBDA85AF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3870960"/>
          <a:ext cx="3248478" cy="1724266"/>
        </a:xfrm>
        <a:prstGeom prst="rect">
          <a:avLst/>
        </a:prstGeom>
      </xdr:spPr>
    </xdr:pic>
    <xdr:clientData/>
  </xdr:twoCellAnchor>
  <xdr:twoCellAnchor editAs="oneCell">
    <xdr:from>
      <xdr:col>0</xdr:col>
      <xdr:colOff>291355</xdr:colOff>
      <xdr:row>31</xdr:row>
      <xdr:rowOff>60960</xdr:rowOff>
    </xdr:from>
    <xdr:to>
      <xdr:col>4</xdr:col>
      <xdr:colOff>592638</xdr:colOff>
      <xdr:row>45</xdr:row>
      <xdr:rowOff>22173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D303A49-03E8-4C40-84EF-EB852D8B0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355" y="5730240"/>
          <a:ext cx="4343693" cy="2531058"/>
        </a:xfrm>
        <a:prstGeom prst="rect">
          <a:avLst/>
        </a:prstGeom>
      </xdr:spPr>
    </xdr:pic>
    <xdr:clientData/>
  </xdr:twoCellAnchor>
  <xdr:twoCellAnchor editAs="oneCell">
    <xdr:from>
      <xdr:col>0</xdr:col>
      <xdr:colOff>289560</xdr:colOff>
      <xdr:row>48</xdr:row>
      <xdr:rowOff>115872</xdr:rowOff>
    </xdr:from>
    <xdr:to>
      <xdr:col>12</xdr:col>
      <xdr:colOff>34499</xdr:colOff>
      <xdr:row>58</xdr:row>
      <xdr:rowOff>59409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DD40199-C26A-4DAB-A743-9B634CF8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9560" y="8894112"/>
          <a:ext cx="10628204" cy="1778052"/>
        </a:xfrm>
        <a:prstGeom prst="rect">
          <a:avLst/>
        </a:prstGeom>
      </xdr:spPr>
    </xdr:pic>
    <xdr:clientData/>
  </xdr:twoCellAnchor>
  <xdr:twoCellAnchor editAs="oneCell">
    <xdr:from>
      <xdr:col>0</xdr:col>
      <xdr:colOff>312420</xdr:colOff>
      <xdr:row>66</xdr:row>
      <xdr:rowOff>61824</xdr:rowOff>
    </xdr:from>
    <xdr:to>
      <xdr:col>8</xdr:col>
      <xdr:colOff>1049647</xdr:colOff>
      <xdr:row>73</xdr:row>
      <xdr:rowOff>97460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03F6535-8F81-464E-A754-C37A9C2FF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2420" y="12131904"/>
          <a:ext cx="8199112" cy="132151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1</xdr:rowOff>
    </xdr:from>
    <xdr:to>
      <xdr:col>5</xdr:col>
      <xdr:colOff>377190</xdr:colOff>
      <xdr:row>88</xdr:row>
      <xdr:rowOff>96055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BA10330-36C7-452E-BD3F-1E0D4BFF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2480" y="15179041"/>
          <a:ext cx="4709160" cy="100283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11</xdr:col>
      <xdr:colOff>136586</xdr:colOff>
      <xdr:row>102</xdr:row>
      <xdr:rowOff>173455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B318292-289B-4836-9859-0E97ED837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2480" y="18105120"/>
          <a:ext cx="9535856" cy="714475"/>
        </a:xfrm>
        <a:prstGeom prst="rect">
          <a:avLst/>
        </a:prstGeom>
      </xdr:spPr>
    </xdr:pic>
    <xdr:clientData/>
  </xdr:twoCellAnchor>
  <xdr:twoCellAnchor editAs="oneCell">
    <xdr:from>
      <xdr:col>9</xdr:col>
      <xdr:colOff>167640</xdr:colOff>
      <xdr:row>103</xdr:row>
      <xdr:rowOff>61738</xdr:rowOff>
    </xdr:from>
    <xdr:to>
      <xdr:col>17</xdr:col>
      <xdr:colOff>456506</xdr:colOff>
      <xdr:row>125</xdr:row>
      <xdr:rowOff>98001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78AB2FB-7CC5-4439-A5A7-EC3C8D510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299960" y="18898378"/>
          <a:ext cx="5828606" cy="406914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11</xdr:col>
      <xdr:colOff>1308</xdr:colOff>
      <xdr:row>138</xdr:row>
      <xdr:rowOff>59293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DF5E3F6-D624-47B7-92D4-5C5936B9B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2480" y="23591520"/>
          <a:ext cx="9373908" cy="1705213"/>
        </a:xfrm>
        <a:prstGeom prst="rect">
          <a:avLst/>
        </a:prstGeom>
      </xdr:spPr>
    </xdr:pic>
    <xdr:clientData/>
  </xdr:twoCellAnchor>
  <xdr:twoCellAnchor editAs="oneCell">
    <xdr:from>
      <xdr:col>17</xdr:col>
      <xdr:colOff>121920</xdr:colOff>
      <xdr:row>2</xdr:row>
      <xdr:rowOff>170312</xdr:rowOff>
    </xdr:from>
    <xdr:to>
      <xdr:col>22</xdr:col>
      <xdr:colOff>205143</xdr:colOff>
      <xdr:row>13</xdr:row>
      <xdr:rowOff>132143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7ECDFCF-2273-4770-8BEE-942F5684F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94080" y="536072"/>
          <a:ext cx="3727488" cy="1988751"/>
        </a:xfrm>
        <a:prstGeom prst="rect">
          <a:avLst/>
        </a:prstGeom>
      </xdr:spPr>
    </xdr:pic>
    <xdr:clientData/>
  </xdr:twoCellAnchor>
  <xdr:twoCellAnchor editAs="oneCell">
    <xdr:from>
      <xdr:col>16</xdr:col>
      <xdr:colOff>703427</xdr:colOff>
      <xdr:row>35</xdr:row>
      <xdr:rowOff>114300</xdr:rowOff>
    </xdr:from>
    <xdr:to>
      <xdr:col>25</xdr:col>
      <xdr:colOff>243237</xdr:colOff>
      <xdr:row>55</xdr:row>
      <xdr:rowOff>10255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1C0D4A0-425E-4312-B0AE-EA409777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4251787" y="6515100"/>
          <a:ext cx="6336850" cy="3553555"/>
        </a:xfrm>
        <a:prstGeom prst="rect">
          <a:avLst/>
        </a:prstGeom>
      </xdr:spPr>
    </xdr:pic>
    <xdr:clientData/>
  </xdr:twoCellAnchor>
  <xdr:twoCellAnchor editAs="oneCell">
    <xdr:from>
      <xdr:col>16</xdr:col>
      <xdr:colOff>673130</xdr:colOff>
      <xdr:row>76</xdr:row>
      <xdr:rowOff>175260</xdr:rowOff>
    </xdr:from>
    <xdr:to>
      <xdr:col>26</xdr:col>
      <xdr:colOff>734793</xdr:colOff>
      <xdr:row>101</xdr:row>
      <xdr:rowOff>101769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56F6647-E98F-4C5E-8343-A720B1583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4221490" y="14074140"/>
          <a:ext cx="7651183" cy="449850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587607</xdr:colOff>
      <xdr:row>16</xdr:row>
      <xdr:rowOff>171841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32F5DD-B511-4A1E-8673-22C6C4B16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182880"/>
          <a:ext cx="6211167" cy="2800741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22</xdr:row>
      <xdr:rowOff>35200</xdr:rowOff>
    </xdr:from>
    <xdr:to>
      <xdr:col>8</xdr:col>
      <xdr:colOff>297181</xdr:colOff>
      <xdr:row>41</xdr:row>
      <xdr:rowOff>155099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488548-3817-4B2E-B927-2EECF54FB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0581" y="4058560"/>
          <a:ext cx="5882640" cy="344983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22860</xdr:rowOff>
    </xdr:from>
    <xdr:to>
      <xdr:col>9</xdr:col>
      <xdr:colOff>129540</xdr:colOff>
      <xdr:row>70</xdr:row>
      <xdr:rowOff>51001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A9BCA9F-8A60-4CAD-902B-D13ABCBC7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" y="9486900"/>
          <a:ext cx="6545580" cy="283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F5345-6F78-449A-8BD3-7285486872AE}">
  <sheetPr codeName="Hoja1"/>
  <dimension ref="B2:H34"/>
  <sheetViews>
    <sheetView topLeftCell="A11" workbookViewId="0">
      <selection activeCell="B34" sqref="B34:D34"/>
    </sheetView>
  </sheetViews>
  <sheetFormatPr baseColWidth="10" defaultRowHeight="15" x14ac:dyDescent="0.25"/>
  <cols>
    <col min="1" max="2" width="11.5546875" style="3"/>
    <col min="3" max="3" width="23.21875" style="3" bestFit="1" customWidth="1"/>
    <col min="4" max="5" width="11.5546875" style="3"/>
    <col min="6" max="6" width="22.6640625" style="3" bestFit="1" customWidth="1"/>
    <col min="7" max="16384" width="11.5546875" style="3"/>
  </cols>
  <sheetData>
    <row r="2" spans="2:8" x14ac:dyDescent="0.25">
      <c r="B2" s="1" t="s">
        <v>0</v>
      </c>
      <c r="C2" s="1" t="s">
        <v>1</v>
      </c>
      <c r="D2" s="1" t="s">
        <v>2</v>
      </c>
      <c r="E2" s="1">
        <v>0</v>
      </c>
      <c r="F2" s="7">
        <v>0</v>
      </c>
      <c r="G2" s="5" t="s">
        <v>6</v>
      </c>
      <c r="H2" s="5" t="s">
        <v>9</v>
      </c>
    </row>
    <row r="3" spans="2:8" x14ac:dyDescent="0.25">
      <c r="B3" s="1">
        <v>1.6</v>
      </c>
      <c r="C3" s="1">
        <v>2</v>
      </c>
      <c r="D3" s="2">
        <f t="shared" ref="D3:D4" si="0">SQRT(SUM(B3^2,C3^2))</f>
        <v>2.5612496949731396</v>
      </c>
      <c r="E3" s="1">
        <v>0</v>
      </c>
      <c r="F3" s="8">
        <f>+D3/$C$17</f>
        <v>307.34996339677673</v>
      </c>
      <c r="G3" s="2">
        <f>+D19</f>
        <v>84</v>
      </c>
      <c r="H3" s="2">
        <v>0</v>
      </c>
    </row>
    <row r="4" spans="2:8" x14ac:dyDescent="0.25">
      <c r="B4" s="1">
        <v>2.5</v>
      </c>
      <c r="C4" s="1">
        <v>3.15</v>
      </c>
      <c r="D4" s="2">
        <f t="shared" si="0"/>
        <v>4.0215046935195788</v>
      </c>
      <c r="E4" s="1">
        <v>100</v>
      </c>
      <c r="F4" s="8">
        <f t="shared" ref="F4:F10" si="1">+D4/$C$17</f>
        <v>482.58056322234944</v>
      </c>
      <c r="G4" s="2">
        <f t="shared" ref="G4:G11" si="2">F3</f>
        <v>307.34996339677673</v>
      </c>
      <c r="H4" s="2">
        <f t="shared" ref="H4:H11" si="3">E3</f>
        <v>0</v>
      </c>
    </row>
    <row r="5" spans="2:8" x14ac:dyDescent="0.25">
      <c r="B5" s="1">
        <v>3</v>
      </c>
      <c r="C5" s="1">
        <v>3.65</v>
      </c>
      <c r="D5" s="2">
        <f>SQRT(SUM(B6^2,C5^2))</f>
        <v>4.920619879649311</v>
      </c>
      <c r="E5" s="1">
        <v>300</v>
      </c>
      <c r="F5" s="8">
        <f t="shared" si="1"/>
        <v>590.47438555791734</v>
      </c>
      <c r="G5" s="2">
        <f t="shared" si="2"/>
        <v>482.58056322234944</v>
      </c>
      <c r="H5" s="2">
        <f t="shared" si="3"/>
        <v>100</v>
      </c>
    </row>
    <row r="6" spans="2:8" x14ac:dyDescent="0.25">
      <c r="B6" s="1">
        <v>3.3</v>
      </c>
      <c r="C6" s="1">
        <v>3.85</v>
      </c>
      <c r="D6" s="2">
        <f>SQRT(SUM(B7^2,C6^2))</f>
        <v>6.2315728351677002</v>
      </c>
      <c r="E6" s="1">
        <v>500</v>
      </c>
      <c r="F6" s="8">
        <f t="shared" si="1"/>
        <v>747.78874022012405</v>
      </c>
      <c r="G6" s="2">
        <f t="shared" si="2"/>
        <v>590.47438555791734</v>
      </c>
      <c r="H6" s="2">
        <f t="shared" si="3"/>
        <v>300</v>
      </c>
    </row>
    <row r="7" spans="2:8" x14ac:dyDescent="0.25">
      <c r="B7" s="1">
        <v>4.9000000000000004</v>
      </c>
      <c r="C7" s="1">
        <v>6.05</v>
      </c>
      <c r="D7" s="2">
        <f>SQRT(SUM(B8^2,C7^2))</f>
        <v>8.2439371661846135</v>
      </c>
      <c r="E7" s="1">
        <v>500</v>
      </c>
      <c r="F7" s="8">
        <f t="shared" si="1"/>
        <v>989.27245994215366</v>
      </c>
      <c r="G7" s="2">
        <f t="shared" si="2"/>
        <v>747.78874022012405</v>
      </c>
      <c r="H7" s="2">
        <f t="shared" si="3"/>
        <v>500</v>
      </c>
    </row>
    <row r="8" spans="2:8" x14ac:dyDescent="0.25">
      <c r="B8" s="1">
        <v>5.6</v>
      </c>
      <c r="C8" s="1">
        <v>6.9</v>
      </c>
      <c r="D8" s="2">
        <f>SQRT(SUM(B9^2,C8^2))</f>
        <v>9.2763139231054499</v>
      </c>
      <c r="E8" s="1">
        <v>300</v>
      </c>
      <c r="F8" s="8">
        <f t="shared" si="1"/>
        <v>1113.157670772654</v>
      </c>
      <c r="G8" s="2">
        <f t="shared" si="2"/>
        <v>989.27245994215366</v>
      </c>
      <c r="H8" s="2">
        <f t="shared" si="3"/>
        <v>500</v>
      </c>
    </row>
    <row r="9" spans="2:8" x14ac:dyDescent="0.25">
      <c r="B9" s="1">
        <v>6.2</v>
      </c>
      <c r="C9" s="1">
        <v>7.65</v>
      </c>
      <c r="D9" s="2">
        <f>SQRT(SUM(B9^2,C9^2))</f>
        <v>9.8469538437021225</v>
      </c>
      <c r="E9" s="1">
        <v>100</v>
      </c>
      <c r="F9" s="8">
        <f t="shared" si="1"/>
        <v>1181.6344612442547</v>
      </c>
      <c r="G9" s="2">
        <f t="shared" si="2"/>
        <v>1113.157670772654</v>
      </c>
      <c r="H9" s="2">
        <f t="shared" si="3"/>
        <v>300</v>
      </c>
    </row>
    <row r="10" spans="2:8" x14ac:dyDescent="0.25">
      <c r="B10" s="1">
        <v>6.5</v>
      </c>
      <c r="C10" s="1">
        <v>8</v>
      </c>
      <c r="D10" s="2">
        <f>SQRT(SUM(B10^2,C10^2))</f>
        <v>10.307764064044152</v>
      </c>
      <c r="E10" s="1">
        <v>0</v>
      </c>
      <c r="F10" s="8">
        <f t="shared" si="1"/>
        <v>1236.9316876852984</v>
      </c>
      <c r="G10" s="2">
        <f t="shared" si="2"/>
        <v>1181.6344612442547</v>
      </c>
      <c r="H10" s="2">
        <f t="shared" si="3"/>
        <v>100</v>
      </c>
    </row>
    <row r="11" spans="2:8" x14ac:dyDescent="0.25">
      <c r="E11" s="5">
        <v>0</v>
      </c>
      <c r="F11" s="5">
        <f>15/C17+F10</f>
        <v>3036.9316876852981</v>
      </c>
      <c r="G11" s="2">
        <f t="shared" si="2"/>
        <v>1236.9316876852984</v>
      </c>
      <c r="H11" s="2">
        <f t="shared" si="3"/>
        <v>0</v>
      </c>
    </row>
    <row r="12" spans="2:8" x14ac:dyDescent="0.25">
      <c r="G12" s="5">
        <f>14.5/C17+G11</f>
        <v>2976.9316876852981</v>
      </c>
      <c r="H12" s="2">
        <v>0</v>
      </c>
    </row>
    <row r="13" spans="2:8" x14ac:dyDescent="0.25">
      <c r="B13" s="23" t="s">
        <v>3</v>
      </c>
      <c r="C13" s="23"/>
      <c r="D13" s="2">
        <f>+D10-D3</f>
        <v>7.7465143690710123</v>
      </c>
      <c r="G13" s="5">
        <f>$F$11</f>
        <v>3036.9316876852981</v>
      </c>
      <c r="H13" s="2">
        <v>100</v>
      </c>
    </row>
    <row r="14" spans="2:8" x14ac:dyDescent="0.25">
      <c r="B14" s="23" t="s">
        <v>4</v>
      </c>
      <c r="C14" s="23"/>
      <c r="D14" s="2">
        <f>+D10-D9</f>
        <v>0.46081022034202945</v>
      </c>
    </row>
    <row r="15" spans="2:8" x14ac:dyDescent="0.25">
      <c r="B15" s="23" t="s">
        <v>5</v>
      </c>
      <c r="C15" s="23"/>
      <c r="D15" s="2">
        <f>+D13-D14</f>
        <v>7.2857041487289829</v>
      </c>
      <c r="E15" s="4"/>
    </row>
    <row r="17" spans="2:6" x14ac:dyDescent="0.25">
      <c r="B17" s="5" t="s">
        <v>7</v>
      </c>
      <c r="C17" s="6">
        <f>(25/3000)</f>
        <v>8.3333333333333332E-3</v>
      </c>
      <c r="D17" s="4"/>
    </row>
    <row r="19" spans="2:6" x14ac:dyDescent="0.25">
      <c r="B19" s="23" t="s">
        <v>8</v>
      </c>
      <c r="C19" s="23"/>
      <c r="D19" s="2">
        <f>0.7/C17</f>
        <v>84</v>
      </c>
    </row>
    <row r="22" spans="2:6" x14ac:dyDescent="0.25">
      <c r="B22" s="5" t="s">
        <v>10</v>
      </c>
      <c r="C22" s="5" t="s">
        <v>12</v>
      </c>
    </row>
    <row r="23" spans="2:6" x14ac:dyDescent="0.25">
      <c r="B23" s="5">
        <v>1</v>
      </c>
      <c r="C23" s="2">
        <f>+G5-G4</f>
        <v>175.23059982557271</v>
      </c>
      <c r="F23" s="9" t="s">
        <v>65</v>
      </c>
    </row>
    <row r="24" spans="2:6" x14ac:dyDescent="0.25">
      <c r="B24" s="5">
        <v>2</v>
      </c>
      <c r="C24" s="2">
        <f t="shared" ref="C24:C31" si="4">+G6-G5</f>
        <v>107.8938223355679</v>
      </c>
      <c r="F24" s="9" t="s">
        <v>66</v>
      </c>
    </row>
    <row r="25" spans="2:6" x14ac:dyDescent="0.25">
      <c r="B25" s="5">
        <v>3</v>
      </c>
      <c r="C25" s="2">
        <f t="shared" si="4"/>
        <v>157.31435466220671</v>
      </c>
      <c r="F25" s="9" t="s">
        <v>67</v>
      </c>
    </row>
    <row r="26" spans="2:6" x14ac:dyDescent="0.25">
      <c r="B26" s="5">
        <v>4</v>
      </c>
      <c r="C26" s="2">
        <f t="shared" si="4"/>
        <v>241.4837197220296</v>
      </c>
      <c r="F26" s="9" t="s">
        <v>68</v>
      </c>
    </row>
    <row r="27" spans="2:6" x14ac:dyDescent="0.25">
      <c r="B27" s="5">
        <v>5</v>
      </c>
      <c r="C27" s="2">
        <f t="shared" si="4"/>
        <v>123.88521083050034</v>
      </c>
      <c r="F27" s="9" t="s">
        <v>69</v>
      </c>
    </row>
    <row r="28" spans="2:6" x14ac:dyDescent="0.25">
      <c r="B28" s="5">
        <v>6</v>
      </c>
      <c r="C28" s="2">
        <f t="shared" si="4"/>
        <v>68.47679047160068</v>
      </c>
    </row>
    <row r="29" spans="2:6" x14ac:dyDescent="0.25">
      <c r="B29" s="5">
        <v>7</v>
      </c>
      <c r="C29" s="2">
        <f t="shared" si="4"/>
        <v>55.297226441043676</v>
      </c>
    </row>
    <row r="30" spans="2:6" x14ac:dyDescent="0.25">
      <c r="B30" s="5">
        <v>8</v>
      </c>
      <c r="C30" s="2">
        <f t="shared" si="4"/>
        <v>1739.9999999999998</v>
      </c>
    </row>
    <row r="31" spans="2:6" x14ac:dyDescent="0.25">
      <c r="B31" s="5">
        <v>9</v>
      </c>
      <c r="C31" s="2">
        <f t="shared" si="4"/>
        <v>60</v>
      </c>
    </row>
    <row r="32" spans="2:6" x14ac:dyDescent="0.25">
      <c r="C32" s="4">
        <f>SUM(C23:C31)</f>
        <v>2729.5817242885214</v>
      </c>
      <c r="D32" s="4">
        <f>+C32+G4</f>
        <v>3036.9316876852981</v>
      </c>
    </row>
    <row r="34" spans="2:4" x14ac:dyDescent="0.25">
      <c r="B34" s="24" t="s">
        <v>11</v>
      </c>
      <c r="C34" s="24"/>
      <c r="D34" s="24"/>
    </row>
  </sheetData>
  <mergeCells count="5">
    <mergeCell ref="B13:C13"/>
    <mergeCell ref="B14:C14"/>
    <mergeCell ref="B15:C15"/>
    <mergeCell ref="B34:D34"/>
    <mergeCell ref="B19:C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8122-95BB-4A80-87A9-ED10522DC202}">
  <sheetPr codeName="Hoja2"/>
  <dimension ref="B2:Y161"/>
  <sheetViews>
    <sheetView tabSelected="1" workbookViewId="0">
      <selection activeCell="J7" sqref="J7"/>
    </sheetView>
  </sheetViews>
  <sheetFormatPr baseColWidth="10" defaultRowHeight="14.4" x14ac:dyDescent="0.3"/>
  <cols>
    <col min="1" max="1" width="11.5546875" style="10"/>
    <col min="2" max="2" width="26.6640625" style="10" bestFit="1" customWidth="1"/>
    <col min="3" max="3" width="12" style="10" bestFit="1" customWidth="1"/>
    <col min="4" max="4" width="8.44140625" style="10" bestFit="1" customWidth="1"/>
    <col min="5" max="5" width="15.77734375" style="10" bestFit="1" customWidth="1"/>
    <col min="6" max="6" width="8" style="10" bestFit="1" customWidth="1"/>
    <col min="7" max="7" width="16" style="10" bestFit="1" customWidth="1"/>
    <col min="8" max="8" width="10.21875" style="10" bestFit="1" customWidth="1"/>
    <col min="9" max="9" width="19.88671875" style="10" bestFit="1" customWidth="1"/>
    <col min="10" max="10" width="12" style="10" bestFit="1" customWidth="1"/>
    <col min="11" max="11" width="7.44140625" style="10" bestFit="1" customWidth="1"/>
    <col min="12" max="12" width="10.44140625" style="10" bestFit="1" customWidth="1"/>
    <col min="13" max="13" width="4.44140625" style="10" bestFit="1" customWidth="1"/>
    <col min="14" max="17" width="11.5546875" style="10"/>
    <col min="18" max="18" width="13.6640625" style="10" bestFit="1" customWidth="1"/>
    <col min="19" max="19" width="10" style="10" bestFit="1" customWidth="1"/>
    <col min="20" max="20" width="7.6640625" style="10" bestFit="1" customWidth="1"/>
    <col min="21" max="21" width="13.5546875" style="10" bestFit="1" customWidth="1"/>
    <col min="22" max="22" width="8" style="10" bestFit="1" customWidth="1"/>
    <col min="23" max="16384" width="11.5546875" style="10"/>
  </cols>
  <sheetData>
    <row r="2" spans="6:22" x14ac:dyDescent="0.3">
      <c r="F2" s="27" t="s">
        <v>13</v>
      </c>
      <c r="G2" s="27"/>
    </row>
    <row r="6" spans="6:22" x14ac:dyDescent="0.3">
      <c r="F6" s="27" t="s">
        <v>14</v>
      </c>
      <c r="G6" s="27"/>
    </row>
    <row r="7" spans="6:22" x14ac:dyDescent="0.3">
      <c r="F7" s="27" t="s">
        <v>15</v>
      </c>
      <c r="G7" s="27"/>
    </row>
    <row r="8" spans="6:22" x14ac:dyDescent="0.3">
      <c r="F8" s="27" t="s">
        <v>16</v>
      </c>
      <c r="G8" s="27"/>
    </row>
    <row r="9" spans="6:22" x14ac:dyDescent="0.3">
      <c r="F9" s="25" t="s">
        <v>17</v>
      </c>
      <c r="G9" s="25"/>
    </row>
    <row r="10" spans="6:22" x14ac:dyDescent="0.3">
      <c r="F10" s="25" t="s">
        <v>18</v>
      </c>
      <c r="G10" s="25"/>
    </row>
    <row r="11" spans="6:22" x14ac:dyDescent="0.3">
      <c r="F11" s="25" t="s">
        <v>19</v>
      </c>
      <c r="G11" s="25"/>
    </row>
    <row r="12" spans="6:22" x14ac:dyDescent="0.3">
      <c r="F12" s="25" t="s">
        <v>20</v>
      </c>
      <c r="G12" s="25"/>
    </row>
    <row r="15" spans="6:22" x14ac:dyDescent="0.3">
      <c r="F15" s="26" t="s">
        <v>21</v>
      </c>
      <c r="G15" s="26"/>
      <c r="H15" s="26"/>
      <c r="U15" s="10" t="s">
        <v>78</v>
      </c>
      <c r="V15" s="10">
        <f>(264.2*60)</f>
        <v>15852</v>
      </c>
    </row>
    <row r="16" spans="6:22" x14ac:dyDescent="0.3">
      <c r="F16" s="26"/>
      <c r="G16" s="26"/>
      <c r="H16" s="26"/>
      <c r="R16" s="10" t="s">
        <v>52</v>
      </c>
      <c r="S16" s="10">
        <v>250</v>
      </c>
      <c r="T16" s="10" t="s">
        <v>77</v>
      </c>
      <c r="U16" s="10">
        <f>+S16/V15</f>
        <v>1.5770880645975271E-2</v>
      </c>
    </row>
    <row r="17" spans="6:22" x14ac:dyDescent="0.3">
      <c r="R17" s="10" t="s">
        <v>75</v>
      </c>
    </row>
    <row r="18" spans="6:22" x14ac:dyDescent="0.3">
      <c r="F18" s="26" t="s">
        <v>22</v>
      </c>
      <c r="G18" s="26"/>
      <c r="H18" s="26"/>
      <c r="R18" s="10" t="s">
        <v>74</v>
      </c>
    </row>
    <row r="19" spans="6:22" x14ac:dyDescent="0.3">
      <c r="F19" s="26"/>
      <c r="G19" s="26"/>
      <c r="H19" s="26"/>
      <c r="R19" s="10" t="s">
        <v>76</v>
      </c>
      <c r="U19" s="11">
        <f>276000+9780*(6.4+S21+S32)</f>
        <v>861596.1111347113</v>
      </c>
      <c r="V19" s="11">
        <f>+U19/100000</f>
        <v>8.6159611113471133</v>
      </c>
    </row>
    <row r="20" spans="6:22" x14ac:dyDescent="0.3">
      <c r="R20" s="10" t="s">
        <v>79</v>
      </c>
      <c r="S20" s="11">
        <f>0.01577/(PRODUCT(PI(),0.0522^2)/4)</f>
        <v>7.3688684915347356</v>
      </c>
      <c r="T20" s="10" t="s">
        <v>55</v>
      </c>
    </row>
    <row r="21" spans="6:22" x14ac:dyDescent="0.3">
      <c r="R21" s="10" t="s">
        <v>80</v>
      </c>
      <c r="S21" s="11">
        <f>+S20^2/(2*9.81)</f>
        <v>2.7675954559395213</v>
      </c>
      <c r="T21" s="10" t="s">
        <v>57</v>
      </c>
    </row>
    <row r="22" spans="6:22" x14ac:dyDescent="0.3">
      <c r="R22" s="10" t="s">
        <v>81</v>
      </c>
      <c r="S22" s="11">
        <f>0.5*S21</f>
        <v>1.3837977279697606</v>
      </c>
    </row>
    <row r="23" spans="6:22" x14ac:dyDescent="0.3">
      <c r="F23" s="26" t="s">
        <v>89</v>
      </c>
      <c r="G23" s="26"/>
      <c r="H23" s="26"/>
      <c r="R23" s="10" t="s">
        <v>82</v>
      </c>
      <c r="S23" s="11">
        <f>160*0.019*S21</f>
        <v>8.4134901860561442</v>
      </c>
    </row>
    <row r="24" spans="6:22" x14ac:dyDescent="0.3">
      <c r="F24" s="26"/>
      <c r="G24" s="26"/>
      <c r="H24" s="26"/>
      <c r="R24" s="10" t="s">
        <v>83</v>
      </c>
      <c r="S24" s="11">
        <f>30*0.019*S21</f>
        <v>1.577529409885527</v>
      </c>
    </row>
    <row r="25" spans="6:22" x14ac:dyDescent="0.3">
      <c r="R25" s="10" t="s">
        <v>84</v>
      </c>
      <c r="S25" s="11">
        <f>S24</f>
        <v>1.577529409885527</v>
      </c>
    </row>
    <row r="26" spans="6:22" x14ac:dyDescent="0.3">
      <c r="R26" s="10" t="s">
        <v>85</v>
      </c>
      <c r="S26" s="11">
        <f>1*S21</f>
        <v>2.7675954559395213</v>
      </c>
    </row>
    <row r="27" spans="6:22" x14ac:dyDescent="0.3">
      <c r="S27" s="11">
        <f>SUM(S22:S26)</f>
        <v>15.719942189736479</v>
      </c>
    </row>
    <row r="29" spans="6:22" x14ac:dyDescent="0.3">
      <c r="R29" s="10" t="s">
        <v>64</v>
      </c>
      <c r="S29" s="11">
        <f>+(S20*0.0525*997)/0.000891</f>
        <v>432890.01012138824</v>
      </c>
    </row>
    <row r="30" spans="6:22" x14ac:dyDescent="0.3">
      <c r="R30" s="10" t="s">
        <v>86</v>
      </c>
      <c r="S30" s="10">
        <v>1.9769999999999999E-2</v>
      </c>
    </row>
    <row r="31" spans="6:22" x14ac:dyDescent="0.3">
      <c r="R31" s="10" t="s">
        <v>87</v>
      </c>
      <c r="S31" s="11">
        <f>0.01981*(33.5/0.0525)*2.768</f>
        <v>34.989365333333332</v>
      </c>
    </row>
    <row r="32" spans="6:22" x14ac:dyDescent="0.3">
      <c r="R32" s="10" t="s">
        <v>88</v>
      </c>
      <c r="S32" s="11">
        <f>S27+S31</f>
        <v>50.70930752306981</v>
      </c>
    </row>
    <row r="34" spans="7:7" x14ac:dyDescent="0.3">
      <c r="G34" s="10" t="s">
        <v>23</v>
      </c>
    </row>
    <row r="58" spans="2:23" x14ac:dyDescent="0.3">
      <c r="R58" s="10" t="s">
        <v>90</v>
      </c>
      <c r="S58" s="10">
        <f>1.5*10^-2</f>
        <v>1.4999999999999999E-2</v>
      </c>
      <c r="U58" s="10" t="s">
        <v>100</v>
      </c>
      <c r="V58" s="10">
        <f>2*9.81</f>
        <v>19.62</v>
      </c>
      <c r="W58" s="10">
        <v>0.4526</v>
      </c>
    </row>
    <row r="59" spans="2:23" x14ac:dyDescent="0.3">
      <c r="R59" s="10" t="s">
        <v>91</v>
      </c>
      <c r="S59" s="15">
        <f>100/1000</f>
        <v>0.1</v>
      </c>
      <c r="U59" s="10" t="s">
        <v>107</v>
      </c>
      <c r="V59" s="11">
        <f>0.78*0.4526</f>
        <v>0.35302800000000001</v>
      </c>
      <c r="W59" s="10">
        <v>1.7000000000000001E-2</v>
      </c>
    </row>
    <row r="60" spans="2:23" x14ac:dyDescent="0.3">
      <c r="B60" s="10" t="s">
        <v>24</v>
      </c>
      <c r="R60" s="10" t="s">
        <v>92</v>
      </c>
      <c r="S60" s="15">
        <f>300/1000</f>
        <v>0.3</v>
      </c>
      <c r="U60" s="10" t="s">
        <v>102</v>
      </c>
      <c r="V60" s="10">
        <f>30*0.017*0.4526</f>
        <v>0.230826</v>
      </c>
    </row>
    <row r="61" spans="2:23" x14ac:dyDescent="0.3">
      <c r="R61" s="10" t="s">
        <v>93</v>
      </c>
      <c r="S61" s="15">
        <f>80/1000</f>
        <v>0.08</v>
      </c>
      <c r="U61" s="10" t="s">
        <v>106</v>
      </c>
      <c r="V61" s="10">
        <f>160*W58*W59</f>
        <v>1.2310719999999999</v>
      </c>
    </row>
    <row r="62" spans="2:23" x14ac:dyDescent="0.3">
      <c r="R62" s="10" t="s">
        <v>94</v>
      </c>
      <c r="S62" s="15">
        <f>228/1000</f>
        <v>0.22800000000000001</v>
      </c>
      <c r="U62" s="10" t="s">
        <v>103</v>
      </c>
      <c r="V62" s="10">
        <f>V60</f>
        <v>0.230826</v>
      </c>
    </row>
    <row r="63" spans="2:23" x14ac:dyDescent="0.3">
      <c r="R63" s="10" t="s">
        <v>95</v>
      </c>
      <c r="S63" s="10">
        <f>PRODUCT(PI(),S61^2)/4</f>
        <v>5.0265482457436689E-3</v>
      </c>
      <c r="U63" s="10" t="s">
        <v>104</v>
      </c>
      <c r="V63" s="11">
        <f>V59</f>
        <v>0.35302800000000001</v>
      </c>
    </row>
    <row r="64" spans="2:23" x14ac:dyDescent="0.3">
      <c r="R64" s="10" t="s">
        <v>96</v>
      </c>
      <c r="S64" s="10">
        <f>PRODUCT(PI(),S62^2)/4</f>
        <v>4.0828138126052953E-2</v>
      </c>
      <c r="U64" s="10" t="s">
        <v>105</v>
      </c>
      <c r="V64" s="10">
        <f>30*0.014*0.006865</f>
        <v>2.8832999999999997E-3</v>
      </c>
    </row>
    <row r="65" spans="2:22" x14ac:dyDescent="0.3">
      <c r="R65" s="10" t="s">
        <v>50</v>
      </c>
      <c r="S65" s="13">
        <f>$S$58/S63</f>
        <v>2.9841551829730375</v>
      </c>
      <c r="U65" s="10" t="s">
        <v>108</v>
      </c>
      <c r="V65" s="10">
        <f>30*0.014*0.006865</f>
        <v>2.8832999999999997E-3</v>
      </c>
    </row>
    <row r="66" spans="2:22" x14ac:dyDescent="0.3">
      <c r="R66" s="10" t="s">
        <v>97</v>
      </c>
      <c r="S66" s="13">
        <f>$S$58/S64</f>
        <v>0.36739368211425516</v>
      </c>
      <c r="U66" s="10" t="s">
        <v>109</v>
      </c>
      <c r="V66" s="10">
        <f>1*0.006865</f>
        <v>6.8649999999999996E-3</v>
      </c>
    </row>
    <row r="67" spans="2:22" x14ac:dyDescent="0.3">
      <c r="R67" s="10" t="s">
        <v>98</v>
      </c>
      <c r="S67" s="13">
        <f>S65^2/$V$58</f>
        <v>0.45388288257211223</v>
      </c>
      <c r="U67" s="10" t="s">
        <v>110</v>
      </c>
      <c r="V67" s="13">
        <f>SUM(V59:V66)</f>
        <v>2.4114116000000001</v>
      </c>
    </row>
    <row r="68" spans="2:22" x14ac:dyDescent="0.3">
      <c r="R68" s="10" t="s">
        <v>99</v>
      </c>
      <c r="S68" s="13">
        <f>S66^2/$V$58</f>
        <v>6.8796186369760627E-3</v>
      </c>
    </row>
    <row r="70" spans="2:22" x14ac:dyDescent="0.3">
      <c r="R70" s="10" t="s">
        <v>111</v>
      </c>
      <c r="S70" s="11">
        <f>+PRODUCT(S65,S61,1000)/0.0013</f>
        <v>183640.31895218694</v>
      </c>
      <c r="U70" s="10" t="s">
        <v>117</v>
      </c>
      <c r="V70" s="10">
        <f>+S74*(100/0.08)*0.4523</f>
        <v>10.934352499999999</v>
      </c>
    </row>
    <row r="71" spans="2:22" x14ac:dyDescent="0.3">
      <c r="R71" s="10" t="s">
        <v>112</v>
      </c>
      <c r="S71" s="11">
        <f>+PRODUCT(S66,S62,1000)/0.0013</f>
        <v>64435.199632346288</v>
      </c>
      <c r="U71" s="10" t="s">
        <v>118</v>
      </c>
      <c r="V71" s="10">
        <f>0.02191*(300/0.228)*0.006865</f>
        <v>0.19791072368421048</v>
      </c>
    </row>
    <row r="72" spans="2:22" x14ac:dyDescent="0.3">
      <c r="R72" s="10" t="s">
        <v>114</v>
      </c>
      <c r="S72" s="10">
        <f>(-1.8*LOG((C159/(3.7*S61))^1.11) + (6.9/S70))^-2</f>
        <v>1.7269871129825823E-2</v>
      </c>
      <c r="V72" s="10">
        <f>SUM(V70:V71)</f>
        <v>11.132263223684209</v>
      </c>
    </row>
    <row r="73" spans="2:22" x14ac:dyDescent="0.3">
      <c r="R73" s="10" t="s">
        <v>113</v>
      </c>
      <c r="S73" s="10">
        <f>(-1.8*LOG(($C$159/(3.7*S62))^1.11) + (6.9/S71))^-2</f>
        <v>1.3781303046793536E-2</v>
      </c>
    </row>
    <row r="74" spans="2:22" x14ac:dyDescent="0.3">
      <c r="R74" s="10" t="s">
        <v>115</v>
      </c>
      <c r="S74" s="10">
        <v>1.934E-2</v>
      </c>
      <c r="U74" s="10" t="s">
        <v>119</v>
      </c>
      <c r="V74" s="13">
        <f>+V72+V67</f>
        <v>13.54367482368421</v>
      </c>
    </row>
    <row r="75" spans="2:22" x14ac:dyDescent="0.3">
      <c r="B75" s="10" t="s">
        <v>25</v>
      </c>
      <c r="R75" s="10" t="s">
        <v>116</v>
      </c>
      <c r="S75" s="10">
        <f>-2*LOG(($C$159/(3.7*S61))+(2.51/(S70*SQRT(0.008))))</f>
        <v>7.0222824769656595</v>
      </c>
    </row>
    <row r="81" spans="2:13" x14ac:dyDescent="0.3">
      <c r="B81" s="10" t="s">
        <v>26</v>
      </c>
      <c r="J81" s="10" t="s">
        <v>35</v>
      </c>
      <c r="K81" s="10" t="s">
        <v>36</v>
      </c>
    </row>
    <row r="82" spans="2:13" x14ac:dyDescent="0.3">
      <c r="I82" s="10" t="s">
        <v>27</v>
      </c>
      <c r="J82" s="10">
        <v>100</v>
      </c>
      <c r="K82" s="14">
        <f>+J82/60000</f>
        <v>1.6666666666666668E-3</v>
      </c>
    </row>
    <row r="83" spans="2:13" x14ac:dyDescent="0.3">
      <c r="I83" s="10" t="s">
        <v>28</v>
      </c>
      <c r="J83" s="10" t="s">
        <v>32</v>
      </c>
    </row>
    <row r="84" spans="2:13" x14ac:dyDescent="0.3">
      <c r="I84" s="10" t="s">
        <v>29</v>
      </c>
      <c r="J84" s="10">
        <v>30</v>
      </c>
    </row>
    <row r="86" spans="2:13" x14ac:dyDescent="0.3">
      <c r="I86" s="10" t="s">
        <v>30</v>
      </c>
      <c r="J86" s="10">
        <v>25</v>
      </c>
      <c r="K86" s="10">
        <f>+J86/1000</f>
        <v>2.5000000000000001E-2</v>
      </c>
      <c r="L86" s="10" t="s">
        <v>33</v>
      </c>
      <c r="M86" s="11">
        <f>+K86-2*K87</f>
        <v>2.2000000000000002E-2</v>
      </c>
    </row>
    <row r="87" spans="2:13" x14ac:dyDescent="0.3">
      <c r="I87" s="10" t="s">
        <v>31</v>
      </c>
      <c r="J87" s="10">
        <v>1.5</v>
      </c>
      <c r="K87" s="10">
        <f t="shared" ref="K87:K90" si="0">+J87/1000</f>
        <v>1.5E-3</v>
      </c>
      <c r="L87" s="10" t="s">
        <v>34</v>
      </c>
      <c r="M87" s="11">
        <f>+K89-2*K90</f>
        <v>7.4400000000000008E-2</v>
      </c>
    </row>
    <row r="88" spans="2:13" x14ac:dyDescent="0.3">
      <c r="K88" s="10">
        <f t="shared" si="0"/>
        <v>0</v>
      </c>
    </row>
    <row r="89" spans="2:13" x14ac:dyDescent="0.3">
      <c r="I89" s="10" t="s">
        <v>30</v>
      </c>
      <c r="J89" s="10">
        <v>80</v>
      </c>
      <c r="K89" s="10">
        <f t="shared" si="0"/>
        <v>0.08</v>
      </c>
    </row>
    <row r="90" spans="2:13" x14ac:dyDescent="0.3">
      <c r="I90" s="10" t="s">
        <v>31</v>
      </c>
      <c r="J90" s="10">
        <v>2.8</v>
      </c>
      <c r="K90" s="10">
        <f t="shared" si="0"/>
        <v>2.8E-3</v>
      </c>
    </row>
    <row r="91" spans="2:13" x14ac:dyDescent="0.3">
      <c r="B91" s="10" t="s">
        <v>41</v>
      </c>
    </row>
    <row r="92" spans="2:13" x14ac:dyDescent="0.3">
      <c r="B92" s="10">
        <v>3</v>
      </c>
      <c r="C92" s="10">
        <v>4</v>
      </c>
      <c r="I92" s="10" t="s">
        <v>37</v>
      </c>
      <c r="J92" s="10">
        <f>PRODUCT(PI(),M86^2)/4</f>
        <v>3.8013271108436504E-4</v>
      </c>
    </row>
    <row r="93" spans="2:13" x14ac:dyDescent="0.3">
      <c r="B93" s="10">
        <v>0.71</v>
      </c>
      <c r="C93" s="10">
        <v>0.79</v>
      </c>
      <c r="I93" s="10" t="s">
        <v>38</v>
      </c>
      <c r="J93" s="11">
        <f>+K82/J92</f>
        <v>4.3844336939916069</v>
      </c>
    </row>
    <row r="94" spans="2:13" x14ac:dyDescent="0.3">
      <c r="B94" s="10">
        <v>0.7</v>
      </c>
      <c r="C94" s="10">
        <v>0.78</v>
      </c>
    </row>
    <row r="95" spans="2:13" x14ac:dyDescent="0.3">
      <c r="I95" s="10" t="s">
        <v>39</v>
      </c>
      <c r="J95" s="13">
        <f>+J93^2/(2*9.81)</f>
        <v>0.97977873685060579</v>
      </c>
    </row>
    <row r="96" spans="2:13" x14ac:dyDescent="0.3">
      <c r="B96" s="10" t="s">
        <v>42</v>
      </c>
      <c r="C96" s="10">
        <v>0.73799999999999999</v>
      </c>
      <c r="I96" s="10" t="s">
        <v>40</v>
      </c>
      <c r="J96" s="11">
        <f>+M87/M86</f>
        <v>3.3818181818181818</v>
      </c>
    </row>
    <row r="97" spans="2:24" x14ac:dyDescent="0.3">
      <c r="I97" s="10" t="s">
        <v>43</v>
      </c>
      <c r="J97" s="11">
        <f>J95*C96</f>
        <v>0.72307670779574706</v>
      </c>
    </row>
    <row r="104" spans="2:24" x14ac:dyDescent="0.3">
      <c r="T104" s="10" t="s">
        <v>52</v>
      </c>
      <c r="U104" s="10">
        <f>54/3600</f>
        <v>1.4999999999999999E-2</v>
      </c>
      <c r="W104" s="10" t="s">
        <v>101</v>
      </c>
      <c r="X104" s="10">
        <f>0.5*0.17</f>
        <v>8.5000000000000006E-2</v>
      </c>
    </row>
    <row r="105" spans="2:24" x14ac:dyDescent="0.3">
      <c r="T105" s="10" t="s">
        <v>120</v>
      </c>
      <c r="U105" s="16">
        <v>0.76</v>
      </c>
      <c r="W105" s="10" t="s">
        <v>123</v>
      </c>
      <c r="X105" s="10">
        <f>340*0.019*2.24</f>
        <v>14.470400000000001</v>
      </c>
    </row>
    <row r="106" spans="2:24" x14ac:dyDescent="0.3">
      <c r="B106" s="10" t="s">
        <v>44</v>
      </c>
      <c r="T106" s="10" t="s">
        <v>93</v>
      </c>
      <c r="U106" s="10">
        <f>102.3/1000</f>
        <v>0.1023</v>
      </c>
      <c r="W106" s="10" t="s">
        <v>106</v>
      </c>
      <c r="X106" s="10">
        <f t="shared" ref="X106:X107" si="1">30*0.019*2.24</f>
        <v>1.2767999999999999</v>
      </c>
    </row>
    <row r="107" spans="2:24" x14ac:dyDescent="0.3">
      <c r="T107" s="10" t="s">
        <v>94</v>
      </c>
      <c r="U107" s="10">
        <f>52.5/1000</f>
        <v>5.2499999999999998E-2</v>
      </c>
      <c r="W107" s="10" t="s">
        <v>103</v>
      </c>
      <c r="X107" s="10">
        <f t="shared" si="1"/>
        <v>1.2767999999999999</v>
      </c>
    </row>
    <row r="108" spans="2:24" x14ac:dyDescent="0.3">
      <c r="B108" s="10" t="s">
        <v>27</v>
      </c>
      <c r="C108" s="10">
        <v>0.04</v>
      </c>
      <c r="D108" s="10" t="s">
        <v>36</v>
      </c>
      <c r="T108" s="10" t="s">
        <v>95</v>
      </c>
      <c r="U108" s="10">
        <f>8.213*10^-3</f>
        <v>8.2129999999999998E-3</v>
      </c>
      <c r="W108" s="10" t="s">
        <v>104</v>
      </c>
      <c r="X108" s="10">
        <v>2.2400000000000002</v>
      </c>
    </row>
    <row r="109" spans="2:24" x14ac:dyDescent="0.3">
      <c r="T109" s="10" t="s">
        <v>96</v>
      </c>
      <c r="U109" s="10">
        <f>2.168*10^-3</f>
        <v>2.1680000000000002E-3</v>
      </c>
      <c r="X109" s="10">
        <f>SUM(X104:X108)</f>
        <v>19.349000000000004</v>
      </c>
    </row>
    <row r="110" spans="2:24" x14ac:dyDescent="0.3">
      <c r="B110" s="10" t="s">
        <v>45</v>
      </c>
      <c r="C110" s="10" t="s">
        <v>46</v>
      </c>
      <c r="D110" s="10" t="s">
        <v>47</v>
      </c>
      <c r="T110" s="10" t="s">
        <v>50</v>
      </c>
      <c r="U110" s="13">
        <f>+$U$104/U108</f>
        <v>1.8263728235723853</v>
      </c>
    </row>
    <row r="111" spans="2:24" x14ac:dyDescent="0.3">
      <c r="T111" s="10" t="s">
        <v>97</v>
      </c>
      <c r="U111" s="13">
        <f>+$U$104/U109</f>
        <v>6.9188191881918808</v>
      </c>
      <c r="W111" s="10" t="s">
        <v>124</v>
      </c>
      <c r="X111" s="10">
        <f>0.02531*(15/U106)*0.17</f>
        <v>0.63089442815249264</v>
      </c>
    </row>
    <row r="112" spans="2:24" x14ac:dyDescent="0.3">
      <c r="B112" s="10" t="s">
        <v>30</v>
      </c>
      <c r="C112" s="10">
        <v>168.3</v>
      </c>
      <c r="D112" s="10">
        <f>+C112/1000</f>
        <v>0.16830000000000001</v>
      </c>
      <c r="T112" s="10" t="s">
        <v>121</v>
      </c>
      <c r="U112" s="13">
        <f>+U110^2/19.62</f>
        <v>0.17001211471374961</v>
      </c>
      <c r="W112" s="10" t="s">
        <v>125</v>
      </c>
      <c r="X112" s="10">
        <f>0.01966*(200/U107)*2.44</f>
        <v>182.74438095238096</v>
      </c>
    </row>
    <row r="113" spans="2:25" x14ac:dyDescent="0.3">
      <c r="B113" s="10" t="s">
        <v>31</v>
      </c>
      <c r="C113" s="10">
        <v>7.11</v>
      </c>
      <c r="D113" s="10">
        <f>+C113/1000</f>
        <v>7.11E-3</v>
      </c>
      <c r="S113" s="11"/>
      <c r="T113" s="10" t="s">
        <v>122</v>
      </c>
      <c r="U113" s="13">
        <f>+U111^2/19.62</f>
        <v>2.4398602935215168</v>
      </c>
      <c r="X113" s="11">
        <f>SUM(X109:X112)</f>
        <v>202.72427538053347</v>
      </c>
    </row>
    <row r="114" spans="2:25" x14ac:dyDescent="0.3">
      <c r="W114" s="10" t="s">
        <v>126</v>
      </c>
      <c r="X114" s="11">
        <f>+X113+10</f>
        <v>212.72427538053347</v>
      </c>
    </row>
    <row r="115" spans="2:25" x14ac:dyDescent="0.3">
      <c r="B115" s="10" t="s">
        <v>48</v>
      </c>
      <c r="C115" s="10">
        <f>+D112-2*D113</f>
        <v>0.15407999999999999</v>
      </c>
      <c r="T115" s="10" t="s">
        <v>111</v>
      </c>
      <c r="U115" s="11">
        <f>+(U110*U106*789)/0.00056</f>
        <v>263241.31168356794</v>
      </c>
    </row>
    <row r="116" spans="2:25" x14ac:dyDescent="0.3">
      <c r="B116" s="10" t="s">
        <v>48</v>
      </c>
      <c r="C116" s="10">
        <f>154.1/1000</f>
        <v>0.15409999999999999</v>
      </c>
      <c r="T116" s="10" t="s">
        <v>112</v>
      </c>
      <c r="U116" s="11">
        <f>+(U111*U107*789)/0.00056</f>
        <v>511776.40682656819</v>
      </c>
      <c r="W116" s="10" t="s">
        <v>127</v>
      </c>
      <c r="X116" s="11">
        <f>+(X114*789*9.81*0.015)/0.76</f>
        <v>32496.809933489079</v>
      </c>
      <c r="Y116" s="11">
        <f>+X116/1000</f>
        <v>32.496809933489082</v>
      </c>
    </row>
    <row r="117" spans="2:25" x14ac:dyDescent="0.3">
      <c r="B117" s="10" t="s">
        <v>49</v>
      </c>
      <c r="C117" s="14">
        <f>+PRODUCT(PI(),C116^2)/4</f>
        <v>1.8650700960548158E-2</v>
      </c>
    </row>
    <row r="118" spans="2:25" x14ac:dyDescent="0.3">
      <c r="T118" s="10" t="s">
        <v>114</v>
      </c>
      <c r="U118" s="10">
        <f>(-1.8*LOG((0.000046/(3.7*U106))^1.11) + (6.9/U115))^-2</f>
        <v>1.634073930058683E-2</v>
      </c>
    </row>
    <row r="119" spans="2:25" x14ac:dyDescent="0.3">
      <c r="B119" s="10" t="s">
        <v>50</v>
      </c>
      <c r="C119" s="12">
        <f>+C108/C117</f>
        <v>2.1446915096977874</v>
      </c>
      <c r="T119" s="10" t="s">
        <v>113</v>
      </c>
      <c r="U119" s="10">
        <f>(-1.8*LOG((0.000046/(3.7*U107))^1.11) + (6.9/U116))^-2</f>
        <v>1.9056663863794513E-2</v>
      </c>
    </row>
    <row r="121" spans="2:25" x14ac:dyDescent="0.3">
      <c r="B121" s="10" t="s">
        <v>39</v>
      </c>
      <c r="C121" s="13">
        <f>+C119^2/(2*9.81)</f>
        <v>0.23443943281191509</v>
      </c>
    </row>
    <row r="122" spans="2:25" x14ac:dyDescent="0.3">
      <c r="B122" s="10" t="s">
        <v>43</v>
      </c>
      <c r="C122" s="11">
        <f>1*C121</f>
        <v>0.23443943281191509</v>
      </c>
    </row>
    <row r="143" spans="2:3" x14ac:dyDescent="0.3">
      <c r="B143" s="10" t="s">
        <v>51</v>
      </c>
    </row>
    <row r="144" spans="2:3" x14ac:dyDescent="0.3">
      <c r="B144" s="10">
        <f>15.8/1000</f>
        <v>1.5800000000000002E-2</v>
      </c>
      <c r="C144" s="10" t="s">
        <v>57</v>
      </c>
    </row>
    <row r="146" spans="2:8" x14ac:dyDescent="0.3">
      <c r="B146" s="10" t="s">
        <v>52</v>
      </c>
      <c r="C146" s="10">
        <v>12.5</v>
      </c>
      <c r="D146" s="10" t="s">
        <v>53</v>
      </c>
      <c r="E146" s="10" t="s">
        <v>54</v>
      </c>
      <c r="F146" s="10">
        <v>3.7854000000000001</v>
      </c>
    </row>
    <row r="147" spans="2:8" x14ac:dyDescent="0.3">
      <c r="B147" s="10" t="s">
        <v>52</v>
      </c>
      <c r="C147" s="10">
        <f>C146/(264.2*60)</f>
        <v>7.8854403229876356E-4</v>
      </c>
    </row>
    <row r="149" spans="2:8" x14ac:dyDescent="0.3">
      <c r="B149" s="10" t="s">
        <v>49</v>
      </c>
      <c r="C149" s="10">
        <f>+PRODUCT(B144^2*PI())/4</f>
        <v>1.96066797510539E-4</v>
      </c>
      <c r="D149" s="10" t="s">
        <v>56</v>
      </c>
      <c r="F149" s="10" t="s">
        <v>42</v>
      </c>
      <c r="G149" s="10">
        <v>50</v>
      </c>
    </row>
    <row r="150" spans="2:8" x14ac:dyDescent="0.3">
      <c r="F150" s="10" t="s">
        <v>62</v>
      </c>
      <c r="G150" s="10">
        <v>2.5999999999999999E-2</v>
      </c>
    </row>
    <row r="151" spans="2:8" x14ac:dyDescent="0.3">
      <c r="B151" s="10" t="s">
        <v>38</v>
      </c>
      <c r="C151" s="11">
        <f>+C147/C149</f>
        <v>4.0218131897440603</v>
      </c>
      <c r="D151" s="10" t="s">
        <v>55</v>
      </c>
    </row>
    <row r="152" spans="2:8" x14ac:dyDescent="0.3">
      <c r="F152" s="10" t="s">
        <v>63</v>
      </c>
      <c r="G152" s="11">
        <f>+G149*G150*(C151^2/(2*9.81))</f>
        <v>1.0717367855840512</v>
      </c>
    </row>
    <row r="153" spans="2:8" x14ac:dyDescent="0.3">
      <c r="B153" s="10" t="s">
        <v>58</v>
      </c>
    </row>
    <row r="154" spans="2:8" x14ac:dyDescent="0.3">
      <c r="B154" s="10" t="s">
        <v>59</v>
      </c>
      <c r="F154" s="10" t="s">
        <v>64</v>
      </c>
      <c r="G154" s="11">
        <f>+(C151*B144*1100)/0.0162</f>
        <v>4314.7600764044309</v>
      </c>
      <c r="H154" s="10" t="str" cm="1">
        <f t="array" ref="H154">_xlfn.IFS(G154&gt;4000,"turbulento",G154&lt;2000,"laminar")</f>
        <v>turbulento</v>
      </c>
    </row>
    <row r="155" spans="2:8" x14ac:dyDescent="0.3">
      <c r="B155" s="10" t="s">
        <v>60</v>
      </c>
    </row>
    <row r="156" spans="2:8" x14ac:dyDescent="0.3">
      <c r="B156" s="10" t="s">
        <v>61</v>
      </c>
    </row>
    <row r="158" spans="2:8" x14ac:dyDescent="0.3">
      <c r="B158" s="10" t="s">
        <v>70</v>
      </c>
      <c r="C158" s="13">
        <f>(-1.8*LOG((C159/(3.7*B144))^1.11) + (6.9/C160))^-2</f>
        <v>2.5984443305949574E-2</v>
      </c>
      <c r="D158" s="10">
        <v>4.1939999999999998E-2</v>
      </c>
      <c r="E158" s="10" t="s">
        <v>73</v>
      </c>
    </row>
    <row r="159" spans="2:8" x14ac:dyDescent="0.3">
      <c r="B159" s="10" t="s">
        <v>71</v>
      </c>
      <c r="C159" s="10">
        <f>4.6*10^-5</f>
        <v>4.6E-5</v>
      </c>
      <c r="E159" s="11">
        <f>+D158*(24.4/B144)*(C151^2/(2*9.81))</f>
        <v>53.395658968473228</v>
      </c>
    </row>
    <row r="160" spans="2:8" x14ac:dyDescent="0.3">
      <c r="B160" s="10" t="s">
        <v>72</v>
      </c>
      <c r="C160" s="11">
        <f>+G154</f>
        <v>4314.7600764044309</v>
      </c>
      <c r="E160" s="11">
        <f>+E159+G152</f>
        <v>54.467395754057279</v>
      </c>
    </row>
    <row r="161" spans="5:5" x14ac:dyDescent="0.3">
      <c r="E161" s="11">
        <f>+E160*10790/1000</f>
        <v>587.70320018627808</v>
      </c>
    </row>
  </sheetData>
  <mergeCells count="11">
    <mergeCell ref="F10:G10"/>
    <mergeCell ref="F2:G2"/>
    <mergeCell ref="F6:G6"/>
    <mergeCell ref="F7:G7"/>
    <mergeCell ref="F8:G8"/>
    <mergeCell ref="F9:G9"/>
    <mergeCell ref="F11:G11"/>
    <mergeCell ref="F12:G12"/>
    <mergeCell ref="F15:H16"/>
    <mergeCell ref="F18:H19"/>
    <mergeCell ref="F23:H24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8E038-A87E-4123-A5F5-4522B6EDCCE5}">
  <sheetPr codeName="Hoja3"/>
  <dimension ref="B19:I80"/>
  <sheetViews>
    <sheetView topLeftCell="A51" workbookViewId="0">
      <selection activeCell="C81" sqref="C81"/>
    </sheetView>
  </sheetViews>
  <sheetFormatPr baseColWidth="10" defaultRowHeight="13.8" x14ac:dyDescent="0.25"/>
  <cols>
    <col min="1" max="6" width="11.5546875" style="17"/>
    <col min="7" max="7" width="12.6640625" style="17" bestFit="1" customWidth="1"/>
    <col min="8" max="16384" width="11.5546875" style="17"/>
  </cols>
  <sheetData>
    <row r="19" spans="2:3" x14ac:dyDescent="0.25">
      <c r="B19" s="17" t="s">
        <v>128</v>
      </c>
      <c r="C19" s="17">
        <v>6</v>
      </c>
    </row>
    <row r="20" spans="2:3" x14ac:dyDescent="0.25">
      <c r="B20" s="17" t="s">
        <v>129</v>
      </c>
      <c r="C20" s="17">
        <v>8</v>
      </c>
    </row>
    <row r="21" spans="2:3" x14ac:dyDescent="0.25">
      <c r="B21" s="17" t="s">
        <v>130</v>
      </c>
      <c r="C21" s="17">
        <v>4</v>
      </c>
    </row>
    <row r="45" spans="2:8" x14ac:dyDescent="0.25">
      <c r="B45" s="18" t="s">
        <v>131</v>
      </c>
      <c r="C45" s="18" t="s">
        <v>132</v>
      </c>
      <c r="D45" s="18" t="s">
        <v>30</v>
      </c>
      <c r="E45" s="18" t="s">
        <v>133</v>
      </c>
      <c r="F45" s="18" t="s">
        <v>79</v>
      </c>
      <c r="G45" s="18" t="s">
        <v>134</v>
      </c>
      <c r="H45" s="18" t="s">
        <v>70</v>
      </c>
    </row>
    <row r="46" spans="2:8" x14ac:dyDescent="0.25">
      <c r="B46" s="18">
        <v>1</v>
      </c>
      <c r="C46" s="18">
        <v>40</v>
      </c>
      <c r="D46" s="18">
        <v>0.05</v>
      </c>
      <c r="E46" s="19">
        <f>PRODUCT(PI(),D46^2)/4</f>
        <v>1.9634954084936209E-3</v>
      </c>
      <c r="F46" s="20">
        <f>$C$50/E46</f>
        <v>2.0371832715762603</v>
      </c>
      <c r="G46" s="18">
        <v>2.8000000000000001E-2</v>
      </c>
      <c r="H46" s="18">
        <f>+G46*(C46/D46)*(F46^2/(19.62))</f>
        <v>4.7381544993159777</v>
      </c>
    </row>
    <row r="47" spans="2:8" x14ac:dyDescent="0.25">
      <c r="B47" s="18">
        <v>2</v>
      </c>
      <c r="C47" s="18">
        <v>25</v>
      </c>
      <c r="D47" s="18">
        <v>0.04</v>
      </c>
      <c r="E47" s="19">
        <f t="shared" ref="E47:E48" si="0">PRODUCT(PI(),D47^2)/4</f>
        <v>1.2566370614359172E-3</v>
      </c>
      <c r="F47" s="20">
        <f t="shared" ref="F47:F48" si="1">$C$50/E47</f>
        <v>3.183098861837907</v>
      </c>
      <c r="G47" s="18">
        <v>0.03</v>
      </c>
      <c r="H47" s="18">
        <f t="shared" ref="H47:H48" si="2">+G47*(C47/D47)*(F47^2/(19.62))</f>
        <v>9.6828348282050634</v>
      </c>
    </row>
    <row r="48" spans="2:8" x14ac:dyDescent="0.25">
      <c r="B48" s="18">
        <v>3</v>
      </c>
      <c r="C48" s="18">
        <v>35</v>
      </c>
      <c r="D48" s="18">
        <v>0.06</v>
      </c>
      <c r="E48" s="19">
        <f t="shared" si="0"/>
        <v>2.8274333882308137E-3</v>
      </c>
      <c r="F48" s="20">
        <f t="shared" si="1"/>
        <v>1.4147106052612921</v>
      </c>
      <c r="G48" s="18">
        <v>2.5999999999999999E-2</v>
      </c>
      <c r="H48" s="18">
        <f t="shared" si="2"/>
        <v>1.5471283961444799</v>
      </c>
    </row>
    <row r="50" spans="2:8" x14ac:dyDescent="0.25">
      <c r="B50" s="17" t="s">
        <v>52</v>
      </c>
      <c r="C50" s="17">
        <v>4.0000000000000001E-3</v>
      </c>
      <c r="G50" s="17" t="s">
        <v>110</v>
      </c>
      <c r="H50" s="22">
        <f>SUM(H46:H49)</f>
        <v>15.968117723665522</v>
      </c>
    </row>
    <row r="75" spans="2:9" x14ac:dyDescent="0.25">
      <c r="B75" s="17" t="s">
        <v>135</v>
      </c>
      <c r="C75" s="17" t="s">
        <v>132</v>
      </c>
      <c r="D75" s="17" t="s">
        <v>30</v>
      </c>
      <c r="E75" s="17" t="s">
        <v>49</v>
      </c>
      <c r="F75" s="17" t="s">
        <v>86</v>
      </c>
      <c r="G75" s="17" t="s">
        <v>42</v>
      </c>
      <c r="H75" s="17" t="s">
        <v>138</v>
      </c>
      <c r="I75" s="17">
        <f>SQRT(G77/G76)</f>
        <v>1.4731391274719743</v>
      </c>
    </row>
    <row r="76" spans="2:9" x14ac:dyDescent="0.25">
      <c r="B76" s="17" t="s">
        <v>136</v>
      </c>
      <c r="C76" s="17">
        <v>60</v>
      </c>
      <c r="D76" s="17">
        <v>0.05</v>
      </c>
      <c r="E76" s="17">
        <f>PRODUCT(PI(),D76^2)/4</f>
        <v>1.9634954084936209E-3</v>
      </c>
      <c r="F76" s="17">
        <v>0.03</v>
      </c>
      <c r="G76" s="21">
        <f>F76*(C76/D76)*(8/((PI()^2)*9.81*D76^4))</f>
        <v>475930.69747593498</v>
      </c>
    </row>
    <row r="77" spans="2:9" x14ac:dyDescent="0.25">
      <c r="B77" s="17" t="s">
        <v>137</v>
      </c>
      <c r="C77" s="17">
        <v>40</v>
      </c>
      <c r="D77" s="17">
        <v>0.04</v>
      </c>
      <c r="E77" s="17">
        <f>PRODUCT(PI(),D77^2)/4</f>
        <v>1.2566370614359172E-3</v>
      </c>
      <c r="F77" s="17">
        <v>3.2000000000000001E-2</v>
      </c>
      <c r="G77" s="21">
        <f>F77*(C77/D77)*(8/((PI()^2)*9.81*D77^4))</f>
        <v>1032835.71500854</v>
      </c>
    </row>
    <row r="79" spans="2:9" x14ac:dyDescent="0.25">
      <c r="B79" s="17" t="s">
        <v>52</v>
      </c>
      <c r="C79" s="17">
        <v>6.0000000000000001E-3</v>
      </c>
    </row>
    <row r="80" spans="2:9" x14ac:dyDescent="0.25">
      <c r="B80" s="17" t="s">
        <v>139</v>
      </c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MAPA TOPOGRAFICO</vt:lpstr>
      <vt:lpstr>PERDIDAS</vt:lpstr>
      <vt:lpstr>SERIE Y PARALELO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Samuel Aguilera</cp:lastModifiedBy>
  <dcterms:created xsi:type="dcterms:W3CDTF">2026-02-12T17:38:42Z</dcterms:created>
  <dcterms:modified xsi:type="dcterms:W3CDTF">2026-02-20T23:01:54Z</dcterms:modified>
</cp:coreProperties>
</file>