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kl\OneDrive\Documents\UVic\Rocketry\MECH 498\Models\"/>
    </mc:Choice>
  </mc:AlternateContent>
  <xr:revisionPtr revIDLastSave="0" documentId="13_ncr:1_{25B4FDD6-FD8A-423B-ABC5-A41C1035C2E2}" xr6:coauthVersionLast="36" xr6:coauthVersionMax="36" xr10:uidLastSave="{00000000-0000-0000-0000-000000000000}"/>
  <bookViews>
    <workbookView xWindow="0" yWindow="0" windowWidth="14380" windowHeight="4070" activeTab="1" xr2:uid="{00000000-000D-0000-FFFF-FFFF00000000}"/>
  </bookViews>
  <sheets>
    <sheet name="Data" sheetId="1" r:id="rId1"/>
    <sheet name="Calcs" sheetId="2" r:id="rId2"/>
    <sheet name="Propellant Regression" sheetId="3" r:id="rId3"/>
    <sheet name="Diameter Regression" sheetId="4" r:id="rId4"/>
  </sheets>
  <definedNames>
    <definedName name="_xlnm._FilterDatabase" localSheetId="0" hidden="1">Data!$A$1:$O$18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7" i="2" l="1"/>
  <c r="V16" i="2"/>
  <c r="V15" i="2"/>
  <c r="V3" i="2"/>
  <c r="V4" i="2"/>
  <c r="V5" i="2"/>
  <c r="V6" i="2"/>
  <c r="V7" i="2"/>
  <c r="V8" i="2"/>
  <c r="V9" i="2"/>
  <c r="V10" i="2"/>
  <c r="V11" i="2"/>
  <c r="V12" i="2"/>
  <c r="V13" i="2"/>
  <c r="V2" i="2"/>
  <c r="R3" i="2"/>
  <c r="R4" i="2"/>
  <c r="R5" i="2"/>
  <c r="R6" i="2"/>
  <c r="R7" i="2"/>
  <c r="R8" i="2"/>
  <c r="R9" i="2"/>
  <c r="R10" i="2"/>
  <c r="R11" i="2"/>
  <c r="R12" i="2"/>
  <c r="R13" i="2"/>
  <c r="R2" i="2"/>
  <c r="M3" i="2"/>
  <c r="M4" i="2"/>
  <c r="M5" i="2"/>
  <c r="M6" i="2"/>
  <c r="M7" i="2"/>
  <c r="M8" i="2"/>
  <c r="M9" i="2"/>
  <c r="M10" i="2"/>
  <c r="M11" i="2"/>
  <c r="M12" i="2"/>
  <c r="M13" i="2"/>
  <c r="M2" i="2"/>
  <c r="T7" i="2"/>
  <c r="X7" i="2" s="1"/>
  <c r="T8" i="2"/>
  <c r="X8" i="2" s="1"/>
  <c r="T9" i="2"/>
  <c r="X9" i="2" s="1"/>
  <c r="T10" i="2"/>
  <c r="X10" i="2" s="1"/>
  <c r="O3" i="2"/>
  <c r="T3" i="2" s="1"/>
  <c r="X3" i="2" s="1"/>
  <c r="O4" i="2"/>
  <c r="T4" i="2" s="1"/>
  <c r="X4" i="2" s="1"/>
  <c r="O5" i="2"/>
  <c r="T5" i="2" s="1"/>
  <c r="X5" i="2" s="1"/>
  <c r="O6" i="2"/>
  <c r="T6" i="2" s="1"/>
  <c r="X6" i="2" s="1"/>
  <c r="O7" i="2"/>
  <c r="O8" i="2"/>
  <c r="O9" i="2"/>
  <c r="O10" i="2"/>
  <c r="O11" i="2"/>
  <c r="T11" i="2" s="1"/>
  <c r="X11" i="2" s="1"/>
  <c r="O12" i="2"/>
  <c r="T12" i="2" s="1"/>
  <c r="X12" i="2" s="1"/>
  <c r="O13" i="2"/>
  <c r="T13" i="2" s="1"/>
  <c r="X13" i="2" s="1"/>
  <c r="O2" i="2"/>
  <c r="T2" i="2" s="1"/>
  <c r="X2" i="2" s="1"/>
  <c r="N4" i="2"/>
  <c r="J4" i="2"/>
  <c r="H4" i="2"/>
  <c r="H8" i="2"/>
  <c r="L13" i="2"/>
  <c r="K13" i="2"/>
  <c r="I13" i="2"/>
  <c r="J13" i="2" s="1"/>
  <c r="P13" i="2"/>
  <c r="G13" i="2"/>
  <c r="H13" i="2" s="1"/>
  <c r="F13" i="2"/>
  <c r="L12" i="2"/>
  <c r="K12" i="2"/>
  <c r="P12" i="2"/>
  <c r="G12" i="2"/>
  <c r="H12" i="2" s="1"/>
  <c r="F12" i="2"/>
  <c r="E12" i="2"/>
  <c r="L11" i="2"/>
  <c r="K11" i="2"/>
  <c r="I11" i="2"/>
  <c r="J11" i="2" s="1"/>
  <c r="P11" i="2"/>
  <c r="G11" i="2"/>
  <c r="H11" i="2" s="1"/>
  <c r="F11" i="2"/>
  <c r="E11" i="2"/>
  <c r="L10" i="2"/>
  <c r="K10" i="2"/>
  <c r="I10" i="2"/>
  <c r="N10" i="2" s="1"/>
  <c r="P10" i="2"/>
  <c r="G10" i="2"/>
  <c r="H10" i="2" s="1"/>
  <c r="F10" i="2"/>
  <c r="E10" i="2"/>
  <c r="L9" i="2"/>
  <c r="K9" i="2"/>
  <c r="I9" i="2"/>
  <c r="G9" i="2"/>
  <c r="H9" i="2" s="1"/>
  <c r="F9" i="2"/>
  <c r="E9" i="2"/>
  <c r="I8" i="2"/>
  <c r="J8" i="2" s="1"/>
  <c r="L7" i="2"/>
  <c r="K7" i="2"/>
  <c r="P7" i="2"/>
  <c r="G7" i="2"/>
  <c r="H7" i="2" s="1"/>
  <c r="F7" i="2"/>
  <c r="L6" i="2"/>
  <c r="K6" i="2"/>
  <c r="I6" i="2"/>
  <c r="J6" i="2" s="1"/>
  <c r="P6" i="2"/>
  <c r="G6" i="2"/>
  <c r="H6" i="2" s="1"/>
  <c r="F6" i="2"/>
  <c r="L5" i="2"/>
  <c r="K5" i="2"/>
  <c r="P5" i="2"/>
  <c r="G5" i="2"/>
  <c r="H5" i="2" s="1"/>
  <c r="F5" i="2"/>
  <c r="P4" i="2"/>
  <c r="L3" i="2"/>
  <c r="I3" i="2"/>
  <c r="G3" i="2"/>
  <c r="H3" i="2" s="1"/>
  <c r="F3" i="2"/>
  <c r="L2" i="2"/>
  <c r="K2" i="2"/>
  <c r="I2" i="2"/>
  <c r="J2" i="2" s="1"/>
  <c r="P2" i="2"/>
  <c r="G2" i="2"/>
  <c r="H2" i="2" s="1"/>
  <c r="F2" i="2"/>
  <c r="X15" i="2" l="1"/>
  <c r="X17" i="2"/>
  <c r="X16" i="2"/>
  <c r="J10" i="2"/>
  <c r="N9" i="2"/>
  <c r="N3" i="2"/>
  <c r="S10" i="2"/>
  <c r="W10" i="2" s="1"/>
  <c r="J9" i="2"/>
  <c r="N13" i="2"/>
  <c r="S13" i="2" s="1"/>
  <c r="W13" i="2" s="1"/>
  <c r="J3" i="2"/>
  <c r="S4" i="2"/>
  <c r="W4" i="2" s="1"/>
  <c r="N2" i="2"/>
  <c r="S2" i="2" s="1"/>
  <c r="W2" i="2" s="1"/>
  <c r="N8" i="2"/>
  <c r="S8" i="2" s="1"/>
  <c r="W8" i="2" s="1"/>
  <c r="N6" i="2"/>
  <c r="S6" i="2" s="1"/>
  <c r="W6" i="2" s="1"/>
  <c r="N11" i="2"/>
  <c r="S11" i="2" s="1"/>
  <c r="W11" i="2" s="1"/>
  <c r="P3" i="2"/>
  <c r="I12" i="2"/>
  <c r="P9" i="2"/>
  <c r="I7" i="2"/>
  <c r="I5" i="2"/>
  <c r="W15" i="2" l="1"/>
  <c r="W16" i="2"/>
  <c r="S3" i="2"/>
  <c r="W3" i="2" s="1"/>
  <c r="W17" i="2" s="1"/>
  <c r="S9" i="2"/>
  <c r="W9" i="2" s="1"/>
  <c r="J5" i="2"/>
  <c r="N5" i="2"/>
  <c r="S5" i="2" s="1"/>
  <c r="W5" i="2" s="1"/>
  <c r="J7" i="2"/>
  <c r="N7" i="2"/>
  <c r="S7" i="2" s="1"/>
  <c r="W7" i="2" s="1"/>
  <c r="J12" i="2"/>
  <c r="N12" i="2"/>
  <c r="S12" i="2" s="1"/>
  <c r="W12" i="2" s="1"/>
  <c r="K16" i="1" l="1"/>
  <c r="J16" i="1"/>
  <c r="I16" i="1"/>
  <c r="H16" i="1"/>
  <c r="G16" i="1"/>
  <c r="F16" i="1"/>
  <c r="K13" i="1"/>
  <c r="J13" i="1"/>
  <c r="I13" i="1"/>
  <c r="H13" i="1"/>
  <c r="G13" i="1"/>
  <c r="E13" i="1"/>
  <c r="F13" i="1"/>
  <c r="K15" i="1"/>
  <c r="J15" i="1"/>
  <c r="H15" i="1"/>
  <c r="G15" i="1"/>
  <c r="F15" i="1"/>
  <c r="E15" i="1"/>
  <c r="E14" i="1"/>
  <c r="K14" i="1"/>
  <c r="J14" i="1"/>
  <c r="I14" i="1"/>
  <c r="H14" i="1"/>
  <c r="G14" i="1"/>
  <c r="F14" i="1"/>
  <c r="I12" i="1"/>
  <c r="J12" i="1"/>
  <c r="K12" i="1"/>
  <c r="G12" i="1"/>
  <c r="F12" i="1"/>
  <c r="E12" i="1"/>
  <c r="E6" i="1"/>
  <c r="I17" i="1"/>
  <c r="I10" i="1"/>
  <c r="I11" i="1"/>
  <c r="K9" i="1"/>
  <c r="J9" i="1"/>
  <c r="H9" i="1"/>
  <c r="G9" i="1"/>
  <c r="F9" i="1"/>
  <c r="K8" i="1"/>
  <c r="J8" i="1"/>
  <c r="I8" i="1"/>
  <c r="H8" i="1"/>
  <c r="G8" i="1"/>
  <c r="F8" i="1"/>
  <c r="J7" i="1"/>
  <c r="K7" i="1"/>
  <c r="H7" i="1"/>
  <c r="G7" i="1"/>
  <c r="F7" i="1"/>
  <c r="I6" i="1"/>
  <c r="G6" i="1"/>
  <c r="H5" i="1"/>
  <c r="F4" i="1"/>
  <c r="F3" i="1"/>
  <c r="F2" i="1"/>
  <c r="G4" i="1"/>
  <c r="K4" i="1"/>
  <c r="I4" i="1"/>
  <c r="I3" i="1"/>
  <c r="G3" i="1"/>
  <c r="G2" i="1"/>
  <c r="K2" i="1"/>
  <c r="J2" i="1"/>
  <c r="H2" i="1"/>
  <c r="I2" i="1"/>
  <c r="I15" i="1" l="1"/>
  <c r="H12" i="1"/>
  <c r="I9" i="1"/>
  <c r="I7" i="1"/>
  <c r="H4" i="1"/>
</calcChain>
</file>

<file path=xl/sharedStrings.xml><?xml version="1.0" encoding="utf-8"?>
<sst xmlns="http://schemas.openxmlformats.org/spreadsheetml/2006/main" count="489" uniqueCount="121">
  <si>
    <t>Rocket Name</t>
  </si>
  <si>
    <t xml:space="preserve">Organization </t>
  </si>
  <si>
    <t>Year</t>
  </si>
  <si>
    <t>Ox-Fuel</t>
  </si>
  <si>
    <t>Altitude (m)</t>
  </si>
  <si>
    <t>Quality</t>
  </si>
  <si>
    <t>Simulated</t>
  </si>
  <si>
    <t>Notes</t>
  </si>
  <si>
    <t>Source</t>
  </si>
  <si>
    <t>Boundless</t>
  </si>
  <si>
    <t>University of Washington</t>
  </si>
  <si>
    <t>N2O-Paraffin</t>
  </si>
  <si>
    <t>Yes</t>
  </si>
  <si>
    <t>Lots of info, cold flow data, static test thrust</t>
  </si>
  <si>
    <t>Team 09 SAC Report 2018 (http://www.soundingrocket.org/2018-sa-cup.html)</t>
  </si>
  <si>
    <t>Stanford University</t>
  </si>
  <si>
    <t>Good detail, ground and flight test data, multiple rockets</t>
  </si>
  <si>
    <t>Development of High-Burning-Rate Hybrid-Rocket-Fuel Flight Demonstrators - Karageyoglu, Zilliac, Castellucci, Urbanczyk, Stevens, Cantwell (https://www.researchgate.net/publication/266447221_DEVELOPMENT_OF_HIGH-BURNING-RATE_HYBRID-ROCKET-FUEL_FLIGHT_DEMONSTRATORS)</t>
  </si>
  <si>
    <t>Phoenix 1A</t>
  </si>
  <si>
    <t>University of KwaZulu-Natal</t>
  </si>
  <si>
    <t>Lots of modeling detail, static test pressure and thrust</t>
  </si>
  <si>
    <t>A Computational Tool for Predicting Hybrid Rocket Motor Performance - Genevieve, Pitot de la Beaujardiere, Brooks (http://www.scielo.org.za/pdf/rd/v33/05.pdf)</t>
  </si>
  <si>
    <t>3" Diameter</t>
  </si>
  <si>
    <t>N2O-Al-Paraffin</t>
  </si>
  <si>
    <t>Lots of info, pressure and thrust curves from flight</t>
  </si>
  <si>
    <t>Design, Optimization, and Launch of a 3" Diameter N2O/ALuminized Paraffin Rocket - McCormick, Hultgren, Lichtman, Smith, Sneed, Azimi (https://pdfs.semanticscholar.org/1427/03abf0bbd5acf18b39a61b802e92dda12e2c.pdf?_ga=2.251701642.2067795103.1549676817-730796263.1549676817)</t>
  </si>
  <si>
    <t>Vidar III</t>
  </si>
  <si>
    <t>University of Waterloo</t>
  </si>
  <si>
    <t>N2O-HTPB</t>
  </si>
  <si>
    <t>No</t>
  </si>
  <si>
    <t>Lots of info, multiple static test fires, star port, wrong fuel, self-press</t>
  </si>
  <si>
    <t>SAC Report 2017 (CRC shared resources in +UVR drive)</t>
  </si>
  <si>
    <t>Unexploded Ordinance</t>
  </si>
  <si>
    <t>Star port, tank pressure, chamber pressure, thrust</t>
  </si>
  <si>
    <t>Team 38 SAC Report 2018 (http://www.soundingrocket.org/2018-sa-cup.html)</t>
  </si>
  <si>
    <t>Deliverance II</t>
  </si>
  <si>
    <t>University of Toronto</t>
  </si>
  <si>
    <t>Not launched at SAC, but in Nov2017, self-press, not many details</t>
  </si>
  <si>
    <t>Defiance (CDR)</t>
  </si>
  <si>
    <t>Very detailed, self-press, no experimental data</t>
  </si>
  <si>
    <t>UTAT CDR - 2018 (in +UVR drive, "CRC Shared Resources")</t>
  </si>
  <si>
    <t>Stuttgart University</t>
  </si>
  <si>
    <t>Not many details, gas-pressurized, most graphs normalized</t>
  </si>
  <si>
    <t>Sounding Rocket "HEROS" - A Low-Cost Hybrid Rocket Technology Demonstrator - Kobald, Fischer, Tomilin, Petrarolo, Kysela, Schmierer, Pahler, Gauger, Breitinger, Hertel, Hochheimer</t>
  </si>
  <si>
    <t>HyPE 1B</t>
  </si>
  <si>
    <t>UCLA</t>
  </si>
  <si>
    <t>Motor specs and geo given, but no test data, gas-pres</t>
  </si>
  <si>
    <t>The Development of a Paraffin Based Experimental Hybrid Sounding Rocket</t>
  </si>
  <si>
    <t>TUDelft</t>
  </si>
  <si>
    <t>Prometheus</t>
  </si>
  <si>
    <t>Polytechnique Montreal</t>
  </si>
  <si>
    <t>Mediocre amount of detail, very crappy thrust curves</t>
  </si>
  <si>
    <t>Team 59 SAC Report 2018 (http://www.soundingrocket.org/2018-sa-cup.html)</t>
  </si>
  <si>
    <t>University of Calgary</t>
  </si>
  <si>
    <t>Good design detail, no test data at all</t>
  </si>
  <si>
    <t>Team 43 SAC Report 2018 (http://www.soundingrocket.org/2018-sa-cup.html)</t>
  </si>
  <si>
    <t>Hyperion</t>
  </si>
  <si>
    <t>N2O-Paraffin-HTPB</t>
  </si>
  <si>
    <t>Decent details and test data, unknown fuel</t>
  </si>
  <si>
    <t>Team 108 SAC Report 2018 (http://www.soundingrocket.org/2018-sa-cup.html)</t>
  </si>
  <si>
    <t>Statos II/II+</t>
  </si>
  <si>
    <t>N2O-Sorbitol</t>
  </si>
  <si>
    <t>Very little info, probable gas-press, lots of modeling data</t>
  </si>
  <si>
    <t>Development and Performance of the 10kN Hybrid Rocket Motor for the Stratos II Sounding Rocket - Werner, Knop, Wink, Ehlen, Hujisman, Powell, FLorea, Wieling, Cervone, Zandbergen (https://repository.tudelft.nl/islandora/object/uuid%3A212a6612-a090-4076-9833-e4e3e675b0ee) (https://dare.tudelft.nl/stratos-iv/history/stratos-ii/) (https://dare.tudelft.nl/2016/10/happy-rocket-versary-one-year-ago-we-launched-stratos-ii/)</t>
  </si>
  <si>
    <t>Diameter (m)</t>
  </si>
  <si>
    <t>Structural Mass(kg)</t>
  </si>
  <si>
    <t>Propellent Mass (kg)</t>
  </si>
  <si>
    <t>Payload Mass (kg)</t>
  </si>
  <si>
    <t>Liftoff Mass (kg)</t>
  </si>
  <si>
    <t>Phase 2</t>
  </si>
  <si>
    <t>Phase 1</t>
  </si>
  <si>
    <t>Length (m)</t>
  </si>
  <si>
    <t>HEROS 3</t>
  </si>
  <si>
    <t>Atlantis II</t>
  </si>
  <si>
    <t>Atlantis 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</si>
  <si>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</si>
  <si>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</si>
  <si>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</si>
  <si>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</si>
  <si>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</si>
  <si>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</si>
  <si>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</si>
  <si>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</si>
  <si>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</si>
  <si>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</si>
  <si>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</si>
  <si>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</si>
  <si>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</si>
  <si>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</si>
  <si>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</si>
  <si>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</si>
  <si>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</si>
  <si>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</si>
  <si>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</si>
  <si>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</si>
  <si>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</si>
  <si>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</si>
  <si>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</si>
  <si>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</si>
  <si>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</si>
  <si>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</si>
  <si>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</si>
  <si>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X Variable 1</t>
  </si>
  <si>
    <t>Predicted Y</t>
  </si>
  <si>
    <t>Standard Residuals</t>
  </si>
  <si>
    <t>PROBABILITY OUTPUT</t>
  </si>
  <si>
    <t>Percentile</t>
  </si>
  <si>
    <t>Y</t>
  </si>
  <si>
    <t>Diameter squared</t>
  </si>
  <si>
    <t>Propellant mass lned</t>
  </si>
  <si>
    <t>Error (%)</t>
  </si>
  <si>
    <t>All</t>
  </si>
  <si>
    <t>No Outliers</t>
  </si>
  <si>
    <t>Predicted Structural Mass No Outliers</t>
  </si>
  <si>
    <t>Predicted Structural Mass All</t>
  </si>
  <si>
    <t>Predicted Struct Mass Radius Fit</t>
  </si>
  <si>
    <t>Absolute errors</t>
  </si>
  <si>
    <t>Average</t>
  </si>
  <si>
    <t>Max</t>
  </si>
  <si>
    <t>Min</t>
  </si>
  <si>
    <t>Multivariate Regression Coefficients (MATLAB)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</si>
</sst>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"/>
  </numFmts>
  <fonts count="6">
    <font>
      <sz val="11"/>
      <color rgb="FF000000"/>
      <name val="Calibri"/>
    </font>
    <font>
      <b/>
      <sz val="11"/>
      <name val="Calibri"/>
    </font>
    <font>
      <sz val="11"/>
      <name val="Calibri"/>
    </font>
    <font>
      <i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2" fontId="2" fillId="0" borderId="0" xfId="0" applyNumberFormat="1" applyFont="1" applyAlignment="1"/>
    <xf numFmtId="2" fontId="0" fillId="0" borderId="0" xfId="0" applyNumberFormat="1" applyFont="1" applyAlignment="1"/>
    <xf numFmtId="164" fontId="2" fillId="0" borderId="0" xfId="0" applyNumberFormat="1" applyFont="1" applyAlignment="1"/>
    <xf numFmtId="164" fontId="0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 applyAlignment="1"/>
    <xf numFmtId="0" fontId="5" fillId="0" borderId="0" xfId="0" applyFont="1" applyAlignment="1"/>
    <xf numFmtId="0" fontId="1" fillId="0" borderId="0" xfId="0" applyFont="1" applyFill="1"/>
    <xf numFmtId="0" fontId="1" fillId="0" borderId="0" xfId="0" applyFont="1" applyFill="1" applyAlignment="1"/>
    <xf numFmtId="0" fontId="4" fillId="0" borderId="0" xfId="0" applyFont="1" applyFill="1" applyAlignment="1"/>
    <xf numFmtId="0" fontId="2" fillId="0" borderId="0" xfId="0" applyFont="1" applyFill="1" applyAlignment="1"/>
    <xf numFmtId="164" fontId="2" fillId="0" borderId="0" xfId="0" applyNumberFormat="1" applyFont="1" applyFill="1" applyAlignment="1"/>
    <xf numFmtId="165" fontId="2" fillId="0" borderId="0" xfId="0" applyNumberFormat="1" applyFont="1" applyFill="1" applyAlignment="1"/>
    <xf numFmtId="2" fontId="2" fillId="0" borderId="0" xfId="0" applyNumberFormat="1" applyFont="1" applyFill="1" applyAlignment="1"/>
    <xf numFmtId="0" fontId="0" fillId="0" borderId="0" xfId="0" applyFont="1" applyFill="1" applyAlignment="1"/>
    <xf numFmtId="1" fontId="0" fillId="0" borderId="0" xfId="0" applyNumberFormat="1" applyFont="1" applyFill="1" applyAlignment="1"/>
    <xf numFmtId="1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Propellant Mass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Data!$I$2:$I$17</c:f>
              <c:numCache>
                <c:formatCode>0.00</c:formatCode>
                <c:ptCount val="16"/>
                <c:pt idx="0">
                  <c:v>21.768707482993197</c:v>
                </c:pt>
                <c:pt idx="1">
                  <c:v>1.5620000000000001</c:v>
                </c:pt>
                <c:pt idx="2">
                  <c:v>38.548752834467116</c:v>
                </c:pt>
                <c:pt idx="3">
                  <c:v>36.380000000000003</c:v>
                </c:pt>
                <c:pt idx="4">
                  <c:v>2.8000000000000007</c:v>
                </c:pt>
                <c:pt idx="5">
                  <c:v>5.5328798185941039</c:v>
                </c:pt>
                <c:pt idx="6">
                  <c:v>18.140589569160998</c:v>
                </c:pt>
                <c:pt idx="7">
                  <c:v>9.8412698412698347</c:v>
                </c:pt>
                <c:pt idx="8">
                  <c:v>32</c:v>
                </c:pt>
                <c:pt idx="9">
                  <c:v>88</c:v>
                </c:pt>
                <c:pt idx="10">
                  <c:v>20.123398196487898</c:v>
                </c:pt>
                <c:pt idx="11">
                  <c:v>10.997732426303855</c:v>
                </c:pt>
                <c:pt idx="12">
                  <c:v>25.578231292517007</c:v>
                </c:pt>
                <c:pt idx="13">
                  <c:v>25.396825396825406</c:v>
                </c:pt>
                <c:pt idx="14">
                  <c:v>5.7142857142857135</c:v>
                </c:pt>
                <c:pt idx="15">
                  <c:v>85</c:v>
                </c:pt>
              </c:numCache>
            </c:numRef>
          </c:xVal>
          <c:yVal>
            <c:numRef>
              <c:f>Data!$H$2:$H$17</c:f>
              <c:numCache>
                <c:formatCode>0.00</c:formatCode>
                <c:ptCount val="16"/>
                <c:pt idx="0">
                  <c:v>54.965986394557824</c:v>
                </c:pt>
                <c:pt idx="1">
                  <c:v>1.732</c:v>
                </c:pt>
                <c:pt idx="2">
                  <c:v>27.66439909297052</c:v>
                </c:pt>
                <c:pt idx="3">
                  <c:v>57.62</c:v>
                </c:pt>
                <c:pt idx="4">
                  <c:v>8</c:v>
                </c:pt>
                <c:pt idx="5">
                  <c:v>19.09297052154195</c:v>
                </c:pt>
                <c:pt idx="6">
                  <c:v>42.630385487528343</c:v>
                </c:pt>
                <c:pt idx="7">
                  <c:v>24.807256235827666</c:v>
                </c:pt>
                <c:pt idx="8">
                  <c:v>40</c:v>
                </c:pt>
                <c:pt idx="9">
                  <c:v>75</c:v>
                </c:pt>
                <c:pt idx="10">
                  <c:v>57.046669830722976</c:v>
                </c:pt>
                <c:pt idx="11">
                  <c:v>41.519274376417229</c:v>
                </c:pt>
                <c:pt idx="12">
                  <c:v>33.791383219954646</c:v>
                </c:pt>
                <c:pt idx="13">
                  <c:v>49.886621315192741</c:v>
                </c:pt>
                <c:pt idx="14">
                  <c:v>16.870748299319729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BF-443B-93AF-6DC820FBE083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og"/>
            <c:dispRSqr val="1"/>
            <c:dispEq val="1"/>
            <c:trendlineLbl>
              <c:layout>
                <c:manualLayout>
                  <c:x val="-0.42435445928731946"/>
                  <c:y val="-9.191107609732245E-2"/>
                </c:manualLayout>
              </c:layout>
              <c:numFmt formatCode="General" sourceLinked="0"/>
            </c:trendlineLbl>
          </c:trendline>
          <c:xVal>
            <c:numRef>
              <c:f>Data!$I$2:$I$17</c:f>
              <c:numCache>
                <c:formatCode>0.00</c:formatCode>
                <c:ptCount val="16"/>
                <c:pt idx="0">
                  <c:v>21.768707482993197</c:v>
                </c:pt>
                <c:pt idx="1">
                  <c:v>1.5620000000000001</c:v>
                </c:pt>
                <c:pt idx="2">
                  <c:v>38.548752834467116</c:v>
                </c:pt>
                <c:pt idx="3">
                  <c:v>36.380000000000003</c:v>
                </c:pt>
                <c:pt idx="4">
                  <c:v>2.8000000000000007</c:v>
                </c:pt>
                <c:pt idx="5">
                  <c:v>5.5328798185941039</c:v>
                </c:pt>
                <c:pt idx="6">
                  <c:v>18.140589569160998</c:v>
                </c:pt>
                <c:pt idx="7">
                  <c:v>9.8412698412698347</c:v>
                </c:pt>
                <c:pt idx="8">
                  <c:v>32</c:v>
                </c:pt>
                <c:pt idx="9">
                  <c:v>88</c:v>
                </c:pt>
                <c:pt idx="10">
                  <c:v>20.123398196487898</c:v>
                </c:pt>
                <c:pt idx="11">
                  <c:v>10.997732426303855</c:v>
                </c:pt>
                <c:pt idx="12">
                  <c:v>25.578231292517007</c:v>
                </c:pt>
                <c:pt idx="13">
                  <c:v>25.396825396825406</c:v>
                </c:pt>
                <c:pt idx="14">
                  <c:v>5.7142857142857135</c:v>
                </c:pt>
                <c:pt idx="15">
                  <c:v>85</c:v>
                </c:pt>
              </c:numCache>
            </c:numRef>
          </c:xVal>
          <c:yVal>
            <c:numRef>
              <c:f>Data!$H$2:$H$17</c:f>
              <c:numCache>
                <c:formatCode>0.00</c:formatCode>
                <c:ptCount val="16"/>
                <c:pt idx="0">
                  <c:v>54.965986394557824</c:v>
                </c:pt>
                <c:pt idx="1">
                  <c:v>1.732</c:v>
                </c:pt>
                <c:pt idx="2">
                  <c:v>27.66439909297052</c:v>
                </c:pt>
                <c:pt idx="3">
                  <c:v>57.62</c:v>
                </c:pt>
                <c:pt idx="4">
                  <c:v>8</c:v>
                </c:pt>
                <c:pt idx="5">
                  <c:v>19.09297052154195</c:v>
                </c:pt>
                <c:pt idx="6">
                  <c:v>42.630385487528343</c:v>
                </c:pt>
                <c:pt idx="7">
                  <c:v>24.807256235827666</c:v>
                </c:pt>
                <c:pt idx="8">
                  <c:v>40</c:v>
                </c:pt>
                <c:pt idx="9">
                  <c:v>75</c:v>
                </c:pt>
                <c:pt idx="10">
                  <c:v>57.046669830722976</c:v>
                </c:pt>
                <c:pt idx="11">
                  <c:v>41.519274376417229</c:v>
                </c:pt>
                <c:pt idx="12">
                  <c:v>33.791383219954646</c:v>
                </c:pt>
                <c:pt idx="13">
                  <c:v>49.886621315192741</c:v>
                </c:pt>
                <c:pt idx="14">
                  <c:v>16.870748299319729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BF-443B-93AF-6DC820FB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59672"/>
        <c:axId val="299270688"/>
      </c:scatterChart>
      <c:valAx>
        <c:axId val="48075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70688"/>
        <c:crosses val="autoZero"/>
        <c:crossBetween val="midCat"/>
      </c:valAx>
      <c:valAx>
        <c:axId val="2992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596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Calcs!$G$2:$G$13</c:f>
              <c:numCache>
                <c:formatCode>0.0000</c:formatCode>
                <c:ptCount val="12"/>
                <c:pt idx="0">
                  <c:v>0.20319999999999999</c:v>
                </c:pt>
                <c:pt idx="1">
                  <c:v>0.17779999999999999</c:v>
                </c:pt>
                <c:pt idx="2">
                  <c:v>0.16</c:v>
                </c:pt>
                <c:pt idx="3">
                  <c:v>0.10794999999999999</c:v>
                </c:pt>
                <c:pt idx="4">
                  <c:v>0.15239999999999998</c:v>
                </c:pt>
                <c:pt idx="5">
                  <c:v>0.13969999999999999</c:v>
                </c:pt>
                <c:pt idx="6">
                  <c:v>0.14000000000000001</c:v>
                </c:pt>
                <c:pt idx="7">
                  <c:v>0.20319999999999999</c:v>
                </c:pt>
                <c:pt idx="8">
                  <c:v>0.19583399999999998</c:v>
                </c:pt>
                <c:pt idx="9">
                  <c:v>0.18110199999999999</c:v>
                </c:pt>
                <c:pt idx="10">
                  <c:v>0.17779999999999999</c:v>
                </c:pt>
                <c:pt idx="11">
                  <c:v>0.15443199999999999</c:v>
                </c:pt>
              </c:numCache>
            </c:numRef>
          </c:xVal>
          <c:yVal>
            <c:numRef>
              <c:f>'Diameter Regression'!$C$25:$C$40</c:f>
              <c:numCache>
                <c:formatCode>General</c:formatCode>
                <c:ptCount val="16"/>
                <c:pt idx="0">
                  <c:v>-4.2690986163261542</c:v>
                </c:pt>
                <c:pt idx="1">
                  <c:v>6.2058589508043598</c:v>
                </c:pt>
                <c:pt idx="2">
                  <c:v>-20.952528590965393</c:v>
                </c:pt>
                <c:pt idx="3">
                  <c:v>16.444143198728462</c:v>
                </c:pt>
                <c:pt idx="4">
                  <c:v>1.8557016238563087</c:v>
                </c:pt>
                <c:pt idx="5">
                  <c:v>-0.32402451328680826</c:v>
                </c:pt>
                <c:pt idx="6">
                  <c:v>4.6316151305404887</c:v>
                </c:pt>
                <c:pt idx="7">
                  <c:v>-7.8824354576861637</c:v>
                </c:pt>
                <c:pt idx="8">
                  <c:v>7.1848969994749581</c:v>
                </c:pt>
                <c:pt idx="9">
                  <c:v>8.7418817964889683</c:v>
                </c:pt>
                <c:pt idx="10">
                  <c:v>-2.1884151801610017</c:v>
                </c:pt>
                <c:pt idx="11">
                  <c:v>-14.636545009651797</c:v>
                </c:pt>
                <c:pt idx="12">
                  <c:v>-16.205904916484521</c:v>
                </c:pt>
                <c:pt idx="13">
                  <c:v>1.2696936312568283</c:v>
                </c:pt>
                <c:pt idx="14">
                  <c:v>-21.977474643823967</c:v>
                </c:pt>
                <c:pt idx="15">
                  <c:v>42.102635597235462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C0-4425-A44C-C52FBA8E5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548056"/>
        <c:axId val="616543464"/>
      </c:scatterChart>
      <c:valAx>
        <c:axId val="61654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 Variable 1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616543464"/>
        <c:crosses val="autoZero"/>
        <c:crossBetween val="midCat"/>
      </c:valAx>
      <c:valAx>
        <c:axId val="616543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6548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Calcs!$G$2:$G$13</c:f>
              <c:numCache>
                <c:formatCode>0.0000</c:formatCode>
                <c:ptCount val="12"/>
                <c:pt idx="0">
                  <c:v>0.20319999999999999</c:v>
                </c:pt>
                <c:pt idx="1">
                  <c:v>0.17779999999999999</c:v>
                </c:pt>
                <c:pt idx="2">
                  <c:v>0.16</c:v>
                </c:pt>
                <c:pt idx="3">
                  <c:v>0.10794999999999999</c:v>
                </c:pt>
                <c:pt idx="4">
                  <c:v>0.15239999999999998</c:v>
                </c:pt>
                <c:pt idx="5">
                  <c:v>0.13969999999999999</c:v>
                </c:pt>
                <c:pt idx="6">
                  <c:v>0.14000000000000001</c:v>
                </c:pt>
                <c:pt idx="7">
                  <c:v>0.20319999999999999</c:v>
                </c:pt>
                <c:pt idx="8">
                  <c:v>0.19583399999999998</c:v>
                </c:pt>
                <c:pt idx="9">
                  <c:v>0.18110199999999999</c:v>
                </c:pt>
                <c:pt idx="10">
                  <c:v>0.17779999999999999</c:v>
                </c:pt>
                <c:pt idx="11">
                  <c:v>0.15443199999999999</c:v>
                </c:pt>
              </c:numCache>
            </c:numRef>
          </c:xVal>
          <c:yVal>
            <c:numRef>
              <c:f>Calcs!$P$2:$P$13</c:f>
              <c:numCache>
                <c:formatCode>0.00</c:formatCode>
                <c:ptCount val="12"/>
                <c:pt idx="0">
                  <c:v>54.965986394557824</c:v>
                </c:pt>
                <c:pt idx="1">
                  <c:v>27.66439909297052</c:v>
                </c:pt>
                <c:pt idx="2">
                  <c:v>57.62</c:v>
                </c:pt>
                <c:pt idx="3">
                  <c:v>19.09297052154195</c:v>
                </c:pt>
                <c:pt idx="4">
                  <c:v>42.630385487528343</c:v>
                </c:pt>
                <c:pt idx="5">
                  <c:v>24.807256235827666</c:v>
                </c:pt>
                <c:pt idx="6">
                  <c:v>40</c:v>
                </c:pt>
                <c:pt idx="7">
                  <c:v>57.046669830722976</c:v>
                </c:pt>
                <c:pt idx="8">
                  <c:v>41.519274376417229</c:v>
                </c:pt>
                <c:pt idx="9">
                  <c:v>33.791383219954646</c:v>
                </c:pt>
                <c:pt idx="10">
                  <c:v>49.886621315192741</c:v>
                </c:pt>
                <c:pt idx="11">
                  <c:v>16.870748299319729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96-4F45-84B3-13E99F4812F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Calcs!$G$2:$G$13</c:f>
              <c:numCache>
                <c:formatCode>0.0000</c:formatCode>
                <c:ptCount val="12"/>
                <c:pt idx="0">
                  <c:v>0.20319999999999999</c:v>
                </c:pt>
                <c:pt idx="1">
                  <c:v>0.17779999999999999</c:v>
                </c:pt>
                <c:pt idx="2">
                  <c:v>0.16</c:v>
                </c:pt>
                <c:pt idx="3">
                  <c:v>0.10794999999999999</c:v>
                </c:pt>
                <c:pt idx="4">
                  <c:v>0.15239999999999998</c:v>
                </c:pt>
                <c:pt idx="5">
                  <c:v>0.13969999999999999</c:v>
                </c:pt>
                <c:pt idx="6">
                  <c:v>0.14000000000000001</c:v>
                </c:pt>
                <c:pt idx="7">
                  <c:v>0.20319999999999999</c:v>
                </c:pt>
                <c:pt idx="8">
                  <c:v>0.19583399999999998</c:v>
                </c:pt>
                <c:pt idx="9">
                  <c:v>0.18110199999999999</c:v>
                </c:pt>
                <c:pt idx="10">
                  <c:v>0.17779999999999999</c:v>
                </c:pt>
                <c:pt idx="11">
                  <c:v>0.15443199999999999</c:v>
                </c:pt>
              </c:numCache>
            </c:numRef>
          </c:xVal>
          <c:yVal>
            <c:numRef>
              <c:f>'Diameter Regression'!$B$25:$B$40</c:f>
              <c:numCache>
                <c:formatCode>General</c:formatCode>
                <c:ptCount val="16"/>
                <c:pt idx="0">
                  <c:v>59.235085010883978</c:v>
                </c:pt>
                <c:pt idx="1">
                  <c:v>-4.4738589508043596</c:v>
                </c:pt>
                <c:pt idx="2">
                  <c:v>48.616927683935913</c:v>
                </c:pt>
                <c:pt idx="3">
                  <c:v>41.175856801271536</c:v>
                </c:pt>
                <c:pt idx="4">
                  <c:v>6.1442983761436913</c:v>
                </c:pt>
                <c:pt idx="5">
                  <c:v>19.416995034828759</c:v>
                </c:pt>
                <c:pt idx="6">
                  <c:v>37.998770356987855</c:v>
                </c:pt>
                <c:pt idx="7">
                  <c:v>32.689691693513829</c:v>
                </c:pt>
                <c:pt idx="8">
                  <c:v>32.815103000525042</c:v>
                </c:pt>
                <c:pt idx="9">
                  <c:v>66.258118203511032</c:v>
                </c:pt>
                <c:pt idx="10">
                  <c:v>59.235085010883978</c:v>
                </c:pt>
                <c:pt idx="11">
                  <c:v>56.155819386069027</c:v>
                </c:pt>
                <c:pt idx="12">
                  <c:v>49.997288136439167</c:v>
                </c:pt>
                <c:pt idx="13">
                  <c:v>48.616927683935913</c:v>
                </c:pt>
                <c:pt idx="14">
                  <c:v>38.848222943143696</c:v>
                </c:pt>
                <c:pt idx="15">
                  <c:v>57.897364402764538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96-4F45-84B3-13E99F481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550024"/>
        <c:axId val="616543136"/>
      </c:scatterChart>
      <c:valAx>
        <c:axId val="616550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 Variable 1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616543136"/>
        <c:crosses val="autoZero"/>
        <c:crossBetween val="midCat"/>
      </c:valAx>
      <c:valAx>
        <c:axId val="61654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165500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'Diameter Regression'!$F$25:$F$40</c:f>
              <c:numCache>
                <c:formatCode>General</c:formatCode>
                <c:ptCount val="16"/>
                <c:pt idx="0">
                  <c:v>3.125</c:v>
                </c:pt>
                <c:pt idx="1">
                  <c:v>9.375</c:v>
                </c:pt>
                <c:pt idx="2">
                  <c:v>15.625</c:v>
                </c:pt>
                <c:pt idx="3">
                  <c:v>21.875</c:v>
                </c:pt>
                <c:pt idx="4">
                  <c:v>28.125</c:v>
                </c:pt>
                <c:pt idx="5">
                  <c:v>34.375</c:v>
                </c:pt>
                <c:pt idx="6">
                  <c:v>40.625</c:v>
                </c:pt>
                <c:pt idx="7">
                  <c:v>46.875</c:v>
                </c:pt>
                <c:pt idx="8">
                  <c:v>53.125</c:v>
                </c:pt>
                <c:pt idx="9">
                  <c:v>59.375</c:v>
                </c:pt>
                <c:pt idx="10">
                  <c:v>65.625</c:v>
                </c:pt>
                <c:pt idx="11">
                  <c:v>71.875</c:v>
                </c:pt>
                <c:pt idx="12">
                  <c:v>78.125</c:v>
                </c:pt>
                <c:pt idx="13">
                  <c:v>84.375</c:v>
                </c:pt>
                <c:pt idx="14">
                  <c:v>90.625</c:v>
                </c:pt>
                <c:pt idx="15">
                  <c:v>96.875</c:v>
                </c:pt>
              </c:numCache>
            </c:numRef>
          </c:xVal>
          <c:yVal>
            <c:numRef>
              <c:f>'Diameter Regression'!$G$25:$G$40</c:f>
              <c:numCache>
                <c:formatCode>General</c:formatCode>
                <c:ptCount val="16"/>
                <c:pt idx="0">
                  <c:v>1.732</c:v>
                </c:pt>
                <c:pt idx="1">
                  <c:v>8</c:v>
                </c:pt>
                <c:pt idx="2">
                  <c:v>16.870748299319729</c:v>
                </c:pt>
                <c:pt idx="3">
                  <c:v>19.09297052154195</c:v>
                </c:pt>
                <c:pt idx="4">
                  <c:v>24.807256235827666</c:v>
                </c:pt>
                <c:pt idx="5">
                  <c:v>27.66439909297052</c:v>
                </c:pt>
                <c:pt idx="6">
                  <c:v>33.791383219954646</c:v>
                </c:pt>
                <c:pt idx="7">
                  <c:v>40</c:v>
                </c:pt>
                <c:pt idx="8">
                  <c:v>41.519274376417229</c:v>
                </c:pt>
                <c:pt idx="9">
                  <c:v>42.630385487528343</c:v>
                </c:pt>
                <c:pt idx="10">
                  <c:v>49.886621315192741</c:v>
                </c:pt>
                <c:pt idx="11">
                  <c:v>54.965986394557824</c:v>
                </c:pt>
                <c:pt idx="12">
                  <c:v>57.046669830722976</c:v>
                </c:pt>
                <c:pt idx="13">
                  <c:v>57.62</c:v>
                </c:pt>
                <c:pt idx="14">
                  <c:v>75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A3-4ECA-B481-C2502569B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58200"/>
        <c:axId val="572754264"/>
      </c:scatterChart>
      <c:valAx>
        <c:axId val="57275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2754264"/>
        <c:crosses val="autoZero"/>
        <c:crossBetween val="midCat"/>
      </c:valAx>
      <c:valAx>
        <c:axId val="572754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2758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Diameter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Data!$G$2:$G$17</c:f>
              <c:numCache>
                <c:formatCode>0.0000</c:formatCode>
                <c:ptCount val="16"/>
                <c:pt idx="0">
                  <c:v>0.20319999999999999</c:v>
                </c:pt>
                <c:pt idx="1">
                  <c:v>5.0799999999999998E-2</c:v>
                </c:pt>
                <c:pt idx="2">
                  <c:v>0.17779999999999999</c:v>
                </c:pt>
                <c:pt idx="3">
                  <c:v>0.16</c:v>
                </c:pt>
                <c:pt idx="4" formatCode="General">
                  <c:v>7.619999999999999E-2</c:v>
                </c:pt>
                <c:pt idx="5">
                  <c:v>0.10794999999999999</c:v>
                </c:pt>
                <c:pt idx="6">
                  <c:v>0.15239999999999998</c:v>
                </c:pt>
                <c:pt idx="7">
                  <c:v>0.13969999999999999</c:v>
                </c:pt>
                <c:pt idx="8">
                  <c:v>0.14000000000000001</c:v>
                </c:pt>
                <c:pt idx="9">
                  <c:v>0.22</c:v>
                </c:pt>
                <c:pt idx="10">
                  <c:v>0.20319999999999999</c:v>
                </c:pt>
                <c:pt idx="11">
                  <c:v>0.19583399999999998</c:v>
                </c:pt>
                <c:pt idx="12">
                  <c:v>0.18110199999999999</c:v>
                </c:pt>
                <c:pt idx="13">
                  <c:v>0.17779999999999999</c:v>
                </c:pt>
                <c:pt idx="14">
                  <c:v>0.15443199999999999</c:v>
                </c:pt>
                <c:pt idx="15">
                  <c:v>0.2</c:v>
                </c:pt>
              </c:numCache>
            </c:numRef>
          </c:xVal>
          <c:yVal>
            <c:numRef>
              <c:f>Data!$H$2:$H$17</c:f>
              <c:numCache>
                <c:formatCode>0.00</c:formatCode>
                <c:ptCount val="16"/>
                <c:pt idx="0">
                  <c:v>54.965986394557824</c:v>
                </c:pt>
                <c:pt idx="1">
                  <c:v>1.732</c:v>
                </c:pt>
                <c:pt idx="2">
                  <c:v>27.66439909297052</c:v>
                </c:pt>
                <c:pt idx="3">
                  <c:v>57.62</c:v>
                </c:pt>
                <c:pt idx="4">
                  <c:v>8</c:v>
                </c:pt>
                <c:pt idx="5">
                  <c:v>19.09297052154195</c:v>
                </c:pt>
                <c:pt idx="6">
                  <c:v>42.630385487528343</c:v>
                </c:pt>
                <c:pt idx="7">
                  <c:v>24.807256235827666</c:v>
                </c:pt>
                <c:pt idx="8">
                  <c:v>40</c:v>
                </c:pt>
                <c:pt idx="9">
                  <c:v>75</c:v>
                </c:pt>
                <c:pt idx="10">
                  <c:v>57.046669830722976</c:v>
                </c:pt>
                <c:pt idx="11">
                  <c:v>41.519274376417229</c:v>
                </c:pt>
                <c:pt idx="12">
                  <c:v>33.791383219954646</c:v>
                </c:pt>
                <c:pt idx="13">
                  <c:v>49.886621315192741</c:v>
                </c:pt>
                <c:pt idx="14">
                  <c:v>16.870748299319729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67-4B37-AFB6-C318DE6B8102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9090711557000937"/>
                  <c:y val="-9.4864649624610567E-2"/>
                </c:manualLayout>
              </c:layout>
              <c:numFmt formatCode="General" sourceLinked="0"/>
            </c:trendlineLbl>
          </c:trendline>
          <c:xVal>
            <c:numRef>
              <c:f>Data!$G$2:$G$17</c:f>
              <c:numCache>
                <c:formatCode>0.0000</c:formatCode>
                <c:ptCount val="16"/>
                <c:pt idx="0">
                  <c:v>0.20319999999999999</c:v>
                </c:pt>
                <c:pt idx="1">
                  <c:v>5.0799999999999998E-2</c:v>
                </c:pt>
                <c:pt idx="2">
                  <c:v>0.17779999999999999</c:v>
                </c:pt>
                <c:pt idx="3">
                  <c:v>0.16</c:v>
                </c:pt>
                <c:pt idx="4" formatCode="General">
                  <c:v>7.619999999999999E-2</c:v>
                </c:pt>
                <c:pt idx="5">
                  <c:v>0.10794999999999999</c:v>
                </c:pt>
                <c:pt idx="6">
                  <c:v>0.15239999999999998</c:v>
                </c:pt>
                <c:pt idx="7">
                  <c:v>0.13969999999999999</c:v>
                </c:pt>
                <c:pt idx="8">
                  <c:v>0.14000000000000001</c:v>
                </c:pt>
                <c:pt idx="9">
                  <c:v>0.22</c:v>
                </c:pt>
                <c:pt idx="10">
                  <c:v>0.20319999999999999</c:v>
                </c:pt>
                <c:pt idx="11">
                  <c:v>0.19583399999999998</c:v>
                </c:pt>
                <c:pt idx="12">
                  <c:v>0.18110199999999999</c:v>
                </c:pt>
                <c:pt idx="13">
                  <c:v>0.17779999999999999</c:v>
                </c:pt>
                <c:pt idx="14">
                  <c:v>0.15443199999999999</c:v>
                </c:pt>
                <c:pt idx="15">
                  <c:v>0.2</c:v>
                </c:pt>
              </c:numCache>
            </c:numRef>
          </c:xVal>
          <c:yVal>
            <c:numRef>
              <c:f>Data!$H$2:$H$17</c:f>
              <c:numCache>
                <c:formatCode>0.00</c:formatCode>
                <c:ptCount val="16"/>
                <c:pt idx="0">
                  <c:v>54.965986394557824</c:v>
                </c:pt>
                <c:pt idx="1">
                  <c:v>1.732</c:v>
                </c:pt>
                <c:pt idx="2">
                  <c:v>27.66439909297052</c:v>
                </c:pt>
                <c:pt idx="3">
                  <c:v>57.62</c:v>
                </c:pt>
                <c:pt idx="4">
                  <c:v>8</c:v>
                </c:pt>
                <c:pt idx="5">
                  <c:v>19.09297052154195</c:v>
                </c:pt>
                <c:pt idx="6">
                  <c:v>42.630385487528343</c:v>
                </c:pt>
                <c:pt idx="7">
                  <c:v>24.807256235827666</c:v>
                </c:pt>
                <c:pt idx="8">
                  <c:v>40</c:v>
                </c:pt>
                <c:pt idx="9">
                  <c:v>75</c:v>
                </c:pt>
                <c:pt idx="10">
                  <c:v>57.046669830722976</c:v>
                </c:pt>
                <c:pt idx="11">
                  <c:v>41.519274376417229</c:v>
                </c:pt>
                <c:pt idx="12">
                  <c:v>33.791383219954646</c:v>
                </c:pt>
                <c:pt idx="13">
                  <c:v>49.886621315192741</c:v>
                </c:pt>
                <c:pt idx="14">
                  <c:v>16.870748299319729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67-4B37-AFB6-C318DE6B8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59672"/>
        <c:axId val="299270688"/>
      </c:scatterChart>
      <c:valAx>
        <c:axId val="48075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70688"/>
        <c:crosses val="autoZero"/>
        <c:crossBetween val="midCat"/>
      </c:valAx>
      <c:valAx>
        <c:axId val="2992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596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1236039672821176"/>
                  <c:y val="1.54380782577240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Data!$F$2:$F$17</c:f>
              <c:numCache>
                <c:formatCode>General</c:formatCode>
                <c:ptCount val="16"/>
                <c:pt idx="0">
                  <c:v>4.3179999999999996</c:v>
                </c:pt>
                <c:pt idx="1">
                  <c:v>1.651</c:v>
                </c:pt>
                <c:pt idx="2">
                  <c:v>3.5813999999999999</c:v>
                </c:pt>
                <c:pt idx="3">
                  <c:v>4.55</c:v>
                </c:pt>
                <c:pt idx="5">
                  <c:v>3.2639</c:v>
                </c:pt>
                <c:pt idx="6">
                  <c:v>4.5211999999999994</c:v>
                </c:pt>
                <c:pt idx="7">
                  <c:v>2.9463999999999997</c:v>
                </c:pt>
                <c:pt idx="8">
                  <c:v>6</c:v>
                </c:pt>
                <c:pt idx="9">
                  <c:v>7.5</c:v>
                </c:pt>
                <c:pt idx="10">
                  <c:v>4.5720000000000001</c:v>
                </c:pt>
                <c:pt idx="11">
                  <c:v>4.2354500000000002</c:v>
                </c:pt>
                <c:pt idx="12">
                  <c:v>4.9783999999999997</c:v>
                </c:pt>
                <c:pt idx="13">
                  <c:v>5.1053999999999995</c:v>
                </c:pt>
                <c:pt idx="14">
                  <c:v>3.3273999999999999</c:v>
                </c:pt>
                <c:pt idx="15">
                  <c:v>7</c:v>
                </c:pt>
              </c:numCache>
            </c:numRef>
          </c:xVal>
          <c:yVal>
            <c:numRef>
              <c:f>Data!$H$2:$H$17</c:f>
              <c:numCache>
                <c:formatCode>0.00</c:formatCode>
                <c:ptCount val="16"/>
                <c:pt idx="0">
                  <c:v>54.965986394557824</c:v>
                </c:pt>
                <c:pt idx="1">
                  <c:v>1.732</c:v>
                </c:pt>
                <c:pt idx="2">
                  <c:v>27.66439909297052</c:v>
                </c:pt>
                <c:pt idx="3">
                  <c:v>57.62</c:v>
                </c:pt>
                <c:pt idx="4">
                  <c:v>8</c:v>
                </c:pt>
                <c:pt idx="5">
                  <c:v>19.09297052154195</c:v>
                </c:pt>
                <c:pt idx="6">
                  <c:v>42.630385487528343</c:v>
                </c:pt>
                <c:pt idx="7">
                  <c:v>24.807256235827666</c:v>
                </c:pt>
                <c:pt idx="8">
                  <c:v>40</c:v>
                </c:pt>
                <c:pt idx="9">
                  <c:v>75</c:v>
                </c:pt>
                <c:pt idx="10">
                  <c:v>57.046669830722976</c:v>
                </c:pt>
                <c:pt idx="11">
                  <c:v>41.519274376417229</c:v>
                </c:pt>
                <c:pt idx="12">
                  <c:v>33.791383219954646</c:v>
                </c:pt>
                <c:pt idx="13">
                  <c:v>49.886621315192741</c:v>
                </c:pt>
                <c:pt idx="14">
                  <c:v>16.870748299319729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0-48F5-9B7E-E280B458B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59672"/>
        <c:axId val="299270688"/>
      </c:scatterChart>
      <c:valAx>
        <c:axId val="48075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70688"/>
        <c:crosses val="autoZero"/>
        <c:crossBetween val="midCat"/>
      </c:valAx>
      <c:valAx>
        <c:axId val="2992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5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Multivariate Regression (MATLAB) All</a:t>
            </a:r>
            <a:r>
              <a:rPr lang="en-CA" baseline="0"/>
              <a:t> Rockets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Calcs!$P$2:$P$13</c:f>
              <c:numCache>
                <c:formatCode>0.00</c:formatCode>
                <c:ptCount val="12"/>
                <c:pt idx="0">
                  <c:v>54.965986394557824</c:v>
                </c:pt>
                <c:pt idx="1">
                  <c:v>27.66439909297052</c:v>
                </c:pt>
                <c:pt idx="2">
                  <c:v>57.62</c:v>
                </c:pt>
                <c:pt idx="3">
                  <c:v>19.09297052154195</c:v>
                </c:pt>
                <c:pt idx="4">
                  <c:v>42.630385487528343</c:v>
                </c:pt>
                <c:pt idx="5">
                  <c:v>24.807256235827666</c:v>
                </c:pt>
                <c:pt idx="6">
                  <c:v>40</c:v>
                </c:pt>
                <c:pt idx="7">
                  <c:v>57.046669830722976</c:v>
                </c:pt>
                <c:pt idx="8">
                  <c:v>41.519274376417229</c:v>
                </c:pt>
                <c:pt idx="9">
                  <c:v>33.791383219954646</c:v>
                </c:pt>
                <c:pt idx="10">
                  <c:v>49.886621315192741</c:v>
                </c:pt>
                <c:pt idx="11">
                  <c:v>16.870748299319729</c:v>
                </c:pt>
              </c:numCache>
            </c:numRef>
          </c:xVal>
          <c:yVal>
            <c:numRef>
              <c:f>Calcs!$N$2:$N$13</c:f>
              <c:numCache>
                <c:formatCode>0.00</c:formatCode>
                <c:ptCount val="12"/>
                <c:pt idx="0">
                  <c:v>48.028681332249995</c:v>
                </c:pt>
                <c:pt idx="1">
                  <c:v>51.682053695410225</c:v>
                </c:pt>
                <c:pt idx="2">
                  <c:v>46.393111714349381</c:v>
                </c:pt>
                <c:pt idx="3">
                  <c:v>17.11732643500482</c:v>
                </c:pt>
                <c:pt idx="4">
                  <c:v>34.377860299499268</c:v>
                </c:pt>
                <c:pt idx="5">
                  <c:v>26.799199896520612</c:v>
                </c:pt>
                <c:pt idx="6">
                  <c:v>39.355382563935969</c:v>
                </c:pt>
                <c:pt idx="7">
                  <c:v>47.101460612336467</c:v>
                </c:pt>
                <c:pt idx="8">
                  <c:v>40.275758495947258</c:v>
                </c:pt>
                <c:pt idx="9">
                  <c:v>45.126865417366432</c:v>
                </c:pt>
                <c:pt idx="10">
                  <c:v>44.270231658665544</c:v>
                </c:pt>
                <c:pt idx="11">
                  <c:v>27.839213593962313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B-4FA8-9DFC-C3E2EBA24EF7}"/>
            </c:ext>
          </c:extLst>
        </c:ser>
        <c:ser>
          <c:idx val="1"/>
          <c:order val="1"/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Calcs!$AH$2:$AH$14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Calcs!$AI$2:$AI$14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CB-4D3F-ACEC-2977640E1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314936"/>
        <c:axId val="929317888"/>
      </c:scatterChart>
      <c:valAx>
        <c:axId val="92931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Actual</a:t>
                </a:r>
                <a:r>
                  <a:rPr lang="en-CA" baseline="0"/>
                  <a:t> Mass (kg)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17888"/>
        <c:crosses val="autoZero"/>
        <c:crossBetween val="midCat"/>
      </c:valAx>
      <c:valAx>
        <c:axId val="9293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Predicted 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1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Hybrid Rocket Structural Mass (Multivariate Regression)</a:t>
            </a:r>
          </a:p>
        </c:rich>
      </c:tx>
      <c:layout>
        <c:manualLayout>
          <c:xMode val="edge"/>
          <c:yMode val="edge"/>
          <c:x val="0.2198541748546492"/>
          <c:y val="4.3972615311197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Calcs!$P$2:$P$13</c:f>
              <c:numCache>
                <c:formatCode>0.00</c:formatCode>
                <c:ptCount val="12"/>
                <c:pt idx="0">
                  <c:v>54.965986394557824</c:v>
                </c:pt>
                <c:pt idx="1">
                  <c:v>27.66439909297052</c:v>
                </c:pt>
                <c:pt idx="2">
                  <c:v>57.62</c:v>
                </c:pt>
                <c:pt idx="3">
                  <c:v>19.09297052154195</c:v>
                </c:pt>
                <c:pt idx="4">
                  <c:v>42.630385487528343</c:v>
                </c:pt>
                <c:pt idx="5">
                  <c:v>24.807256235827666</c:v>
                </c:pt>
                <c:pt idx="6">
                  <c:v>40</c:v>
                </c:pt>
                <c:pt idx="7">
                  <c:v>57.046669830722976</c:v>
                </c:pt>
                <c:pt idx="8">
                  <c:v>41.519274376417229</c:v>
                </c:pt>
                <c:pt idx="9">
                  <c:v>33.791383219954646</c:v>
                </c:pt>
                <c:pt idx="10">
                  <c:v>49.886621315192741</c:v>
                </c:pt>
                <c:pt idx="11">
                  <c:v>16.870748299319729</c:v>
                </c:pt>
              </c:numCache>
            </c:numRef>
          </c:xVal>
          <c:yVal>
            <c:numRef>
              <c:f>Calcs!$O$2:$O$13</c:f>
              <c:numCache>
                <c:formatCode>0.00</c:formatCode>
                <c:ptCount val="12"/>
                <c:pt idx="0">
                  <c:v>48.836166857638283</c:v>
                </c:pt>
                <c:pt idx="1">
                  <c:v>49.554260383091112</c:v>
                </c:pt>
                <c:pt idx="2">
                  <c:v>44.00068186057203</c:v>
                </c:pt>
                <c:pt idx="3">
                  <c:v>17.10460829369023</c:v>
                </c:pt>
                <c:pt idx="4">
                  <c:v>34.100474439506499</c:v>
                </c:pt>
                <c:pt idx="5">
                  <c:v>27.201897245396594</c:v>
                </c:pt>
                <c:pt idx="6">
                  <c:v>36.915675210228699</c:v>
                </c:pt>
                <c:pt idx="7">
                  <c:v>48.120678146018932</c:v>
                </c:pt>
                <c:pt idx="8">
                  <c:v>42.244335881331665</c:v>
                </c:pt>
                <c:pt idx="9">
                  <c:v>44.769090998338335</c:v>
                </c:pt>
                <c:pt idx="10">
                  <c:v>43.834937156236407</c:v>
                </c:pt>
                <c:pt idx="11">
                  <c:v>29.223018003527891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7-4F3E-AD7B-2D274C569FA7}"/>
            </c:ext>
          </c:extLst>
        </c:ser>
        <c:ser>
          <c:idx val="1"/>
          <c:order val="1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Calcs!$AH$2:$AH$18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</c:numCache>
            </c:numRef>
          </c:xVal>
          <c:yVal>
            <c:numRef>
              <c:f>Calcs!$AI$2:$AI$18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E-4049-9022-5BE10F3C6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314936"/>
        <c:axId val="929317888"/>
      </c:scatterChart>
      <c:valAx>
        <c:axId val="929314936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Actual 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17888"/>
        <c:crosses val="autoZero"/>
        <c:crossBetween val="midCat"/>
      </c:valAx>
      <c:valAx>
        <c:axId val="929317888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Predicted 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1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Trendline</a:t>
            </a:r>
            <a:r>
              <a:rPr lang="en-CA" baseline="0"/>
              <a:t> for Diameter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670625546806649"/>
                  <c:y val="0.305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Calcs!$P$2:$P$13</c:f>
              <c:numCache>
                <c:formatCode>0.00</c:formatCode>
                <c:ptCount val="12"/>
                <c:pt idx="0">
                  <c:v>54.965986394557824</c:v>
                </c:pt>
                <c:pt idx="1">
                  <c:v>27.66439909297052</c:v>
                </c:pt>
                <c:pt idx="2">
                  <c:v>57.62</c:v>
                </c:pt>
                <c:pt idx="3">
                  <c:v>19.09297052154195</c:v>
                </c:pt>
                <c:pt idx="4">
                  <c:v>42.630385487528343</c:v>
                </c:pt>
                <c:pt idx="5">
                  <c:v>24.807256235827666</c:v>
                </c:pt>
                <c:pt idx="6">
                  <c:v>40</c:v>
                </c:pt>
                <c:pt idx="7">
                  <c:v>57.046669830722976</c:v>
                </c:pt>
                <c:pt idx="8">
                  <c:v>41.519274376417229</c:v>
                </c:pt>
                <c:pt idx="9">
                  <c:v>33.791383219954646</c:v>
                </c:pt>
                <c:pt idx="10">
                  <c:v>49.886621315192741</c:v>
                </c:pt>
                <c:pt idx="11">
                  <c:v>16.870748299319729</c:v>
                </c:pt>
              </c:numCache>
            </c:numRef>
          </c:xVal>
          <c:yVal>
            <c:numRef>
              <c:f>Calcs!$M$2:$M$13</c:f>
              <c:numCache>
                <c:formatCode>0.00</c:formatCode>
                <c:ptCount val="12"/>
                <c:pt idx="0">
                  <c:v>61.646842498551273</c:v>
                </c:pt>
                <c:pt idx="1">
                  <c:v>45.214395950656581</c:v>
                </c:pt>
                <c:pt idx="2">
                  <c:v>35.393223511901354</c:v>
                </c:pt>
                <c:pt idx="3">
                  <c:v>14.195963155281589</c:v>
                </c:pt>
                <c:pt idx="4">
                  <c:v>31.6120795669808</c:v>
                </c:pt>
                <c:pt idx="5">
                  <c:v>25.829924896783126</c:v>
                </c:pt>
                <c:pt idx="6">
                  <c:v>25.958883812659245</c:v>
                </c:pt>
                <c:pt idx="7">
                  <c:v>61.646842498551273</c:v>
                </c:pt>
                <c:pt idx="8">
                  <c:v>56.582556736390465</c:v>
                </c:pt>
                <c:pt idx="9">
                  <c:v>47.187804992718192</c:v>
                </c:pt>
                <c:pt idx="10">
                  <c:v>45.214395950656581</c:v>
                </c:pt>
                <c:pt idx="11">
                  <c:v>32.599254849985542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7-4FBC-92FD-834016B1F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314936"/>
        <c:axId val="929317888"/>
      </c:scatterChart>
      <c:valAx>
        <c:axId val="92931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17888"/>
        <c:crosses val="autoZero"/>
        <c:crossBetween val="midCat"/>
      </c:valAx>
      <c:valAx>
        <c:axId val="9293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1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Calcs!$I$2:$I$13</c:f>
              <c:numCache>
                <c:formatCode>0.00</c:formatCode>
                <c:ptCount val="12"/>
                <c:pt idx="0">
                  <c:v>21.768707482993197</c:v>
                </c:pt>
                <c:pt idx="1">
                  <c:v>38.548752834467116</c:v>
                </c:pt>
                <c:pt idx="2">
                  <c:v>36.380000000000003</c:v>
                </c:pt>
                <c:pt idx="3">
                  <c:v>5.5328798185941039</c:v>
                </c:pt>
                <c:pt idx="4">
                  <c:v>18.140589569160998</c:v>
                </c:pt>
                <c:pt idx="5">
                  <c:v>9.8412698412698347</c:v>
                </c:pt>
                <c:pt idx="6">
                  <c:v>32</c:v>
                </c:pt>
                <c:pt idx="7">
                  <c:v>20.123398196487898</c:v>
                </c:pt>
                <c:pt idx="8">
                  <c:v>10.997732426303855</c:v>
                </c:pt>
                <c:pt idx="9">
                  <c:v>25.578231292517007</c:v>
                </c:pt>
                <c:pt idx="10">
                  <c:v>25.396825396825406</c:v>
                </c:pt>
                <c:pt idx="11">
                  <c:v>5.7142857142857135</c:v>
                </c:pt>
              </c:numCache>
            </c:numRef>
          </c:xVal>
          <c:yVal>
            <c:numRef>
              <c:f>'Propellant Regression'!$C$25:$C$40</c:f>
              <c:numCache>
                <c:formatCode>General</c:formatCode>
                <c:ptCount val="16"/>
                <c:pt idx="0">
                  <c:v>18.349439402600872</c:v>
                </c:pt>
                <c:pt idx="1">
                  <c:v>-18.337287658895647</c:v>
                </c:pt>
                <c:pt idx="2">
                  <c:v>-22.693315889123468</c:v>
                </c:pt>
                <c:pt idx="3">
                  <c:v>9.0382752731934133</c:v>
                </c:pt>
                <c:pt idx="4">
                  <c:v>-13.083085036403652</c:v>
                </c:pt>
                <c:pt idx="5">
                  <c:v>-4.2280679826607788</c:v>
                </c:pt>
                <c:pt idx="6">
                  <c:v>8.9849018447902154</c:v>
                </c:pt>
                <c:pt idx="7">
                  <c:v>-2.0419199955724068</c:v>
                </c:pt>
                <c:pt idx="8">
                  <c:v>-4.994945636754025</c:v>
                </c:pt>
                <c:pt idx="9">
                  <c:v>-15.853308431946502</c:v>
                </c:pt>
                <c:pt idx="10">
                  <c:v>21.777465520388517</c:v>
                </c:pt>
                <c:pt idx="11">
                  <c:v>13.723071702453652</c:v>
                </c:pt>
                <c:pt idx="12">
                  <c:v>-5.9447802886820611</c:v>
                </c:pt>
                <c:pt idx="13">
                  <c:v>10.299010974016966</c:v>
                </c:pt>
                <c:pt idx="14">
                  <c:v>-6.5988433723439393</c:v>
                </c:pt>
                <c:pt idx="15">
                  <c:v>11.603389574938802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75-4DA6-A3E7-813001BA6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55480"/>
        <c:axId val="543962040"/>
      </c:scatterChart>
      <c:valAx>
        <c:axId val="54395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 Variable 1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3962040"/>
        <c:crosses val="autoZero"/>
        <c:crossBetween val="midCat"/>
      </c:valAx>
      <c:valAx>
        <c:axId val="543962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39554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Calcs!$I$2:$I$13</c:f>
              <c:numCache>
                <c:formatCode>0.00</c:formatCode>
                <c:ptCount val="12"/>
                <c:pt idx="0">
                  <c:v>21.768707482993197</c:v>
                </c:pt>
                <c:pt idx="1">
                  <c:v>38.548752834467116</c:v>
                </c:pt>
                <c:pt idx="2">
                  <c:v>36.380000000000003</c:v>
                </c:pt>
                <c:pt idx="3">
                  <c:v>5.5328798185941039</c:v>
                </c:pt>
                <c:pt idx="4">
                  <c:v>18.140589569160998</c:v>
                </c:pt>
                <c:pt idx="5">
                  <c:v>9.8412698412698347</c:v>
                </c:pt>
                <c:pt idx="6">
                  <c:v>32</c:v>
                </c:pt>
                <c:pt idx="7">
                  <c:v>20.123398196487898</c:v>
                </c:pt>
                <c:pt idx="8">
                  <c:v>10.997732426303855</c:v>
                </c:pt>
                <c:pt idx="9">
                  <c:v>25.578231292517007</c:v>
                </c:pt>
                <c:pt idx="10">
                  <c:v>25.396825396825406</c:v>
                </c:pt>
                <c:pt idx="11">
                  <c:v>5.7142857142857135</c:v>
                </c:pt>
              </c:numCache>
            </c:numRef>
          </c:xVal>
          <c:yVal>
            <c:numRef>
              <c:f>Calcs!$P$2:$P$13</c:f>
              <c:numCache>
                <c:formatCode>0.00</c:formatCode>
                <c:ptCount val="12"/>
                <c:pt idx="0">
                  <c:v>54.965986394557824</c:v>
                </c:pt>
                <c:pt idx="1">
                  <c:v>27.66439909297052</c:v>
                </c:pt>
                <c:pt idx="2">
                  <c:v>57.62</c:v>
                </c:pt>
                <c:pt idx="3">
                  <c:v>19.09297052154195</c:v>
                </c:pt>
                <c:pt idx="4">
                  <c:v>42.630385487528343</c:v>
                </c:pt>
                <c:pt idx="5">
                  <c:v>24.807256235827666</c:v>
                </c:pt>
                <c:pt idx="6">
                  <c:v>40</c:v>
                </c:pt>
                <c:pt idx="7">
                  <c:v>57.046669830722976</c:v>
                </c:pt>
                <c:pt idx="8">
                  <c:v>41.519274376417229</c:v>
                </c:pt>
                <c:pt idx="9">
                  <c:v>33.791383219954646</c:v>
                </c:pt>
                <c:pt idx="10">
                  <c:v>49.886621315192741</c:v>
                </c:pt>
                <c:pt idx="11">
                  <c:v>16.870748299319729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F5-4330-99C8-E8C1CA9EB75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Calcs!$I$2:$I$13</c:f>
              <c:numCache>
                <c:formatCode>0.00</c:formatCode>
                <c:ptCount val="12"/>
                <c:pt idx="0">
                  <c:v>21.768707482993197</c:v>
                </c:pt>
                <c:pt idx="1">
                  <c:v>38.548752834467116</c:v>
                </c:pt>
                <c:pt idx="2">
                  <c:v>36.380000000000003</c:v>
                </c:pt>
                <c:pt idx="3">
                  <c:v>5.5328798185941039</c:v>
                </c:pt>
                <c:pt idx="4">
                  <c:v>18.140589569160998</c:v>
                </c:pt>
                <c:pt idx="5">
                  <c:v>9.8412698412698347</c:v>
                </c:pt>
                <c:pt idx="6">
                  <c:v>32</c:v>
                </c:pt>
                <c:pt idx="7">
                  <c:v>20.123398196487898</c:v>
                </c:pt>
                <c:pt idx="8">
                  <c:v>10.997732426303855</c:v>
                </c:pt>
                <c:pt idx="9">
                  <c:v>25.578231292517007</c:v>
                </c:pt>
                <c:pt idx="10">
                  <c:v>25.396825396825406</c:v>
                </c:pt>
                <c:pt idx="11">
                  <c:v>5.7142857142857135</c:v>
                </c:pt>
              </c:numCache>
            </c:numRef>
          </c:xVal>
          <c:yVal>
            <c:numRef>
              <c:f>'Propellant Regression'!$B$25:$B$40</c:f>
              <c:numCache>
                <c:formatCode>General</c:formatCode>
                <c:ptCount val="16"/>
                <c:pt idx="0">
                  <c:v>36.616546991956952</c:v>
                </c:pt>
                <c:pt idx="1">
                  <c:v>20.069287658895647</c:v>
                </c:pt>
                <c:pt idx="2">
                  <c:v>50.357714982093988</c:v>
                </c:pt>
                <c:pt idx="3">
                  <c:v>48.581724726806584</c:v>
                </c:pt>
                <c:pt idx="4">
                  <c:v>21.083085036403652</c:v>
                </c:pt>
                <c:pt idx="5">
                  <c:v>23.321038504202729</c:v>
                </c:pt>
                <c:pt idx="6">
                  <c:v>33.645483642738128</c:v>
                </c:pt>
                <c:pt idx="7">
                  <c:v>26.849176231400072</c:v>
                </c:pt>
                <c:pt idx="8">
                  <c:v>44.994945636754025</c:v>
                </c:pt>
                <c:pt idx="9">
                  <c:v>90.853308431946502</c:v>
                </c:pt>
                <c:pt idx="10">
                  <c:v>35.269204310334459</c:v>
                </c:pt>
                <c:pt idx="11">
                  <c:v>27.796202673963577</c:v>
                </c:pt>
                <c:pt idx="12">
                  <c:v>39.736163508636707</c:v>
                </c:pt>
                <c:pt idx="13">
                  <c:v>39.587610341175775</c:v>
                </c:pt>
                <c:pt idx="14">
                  <c:v>23.469591671663668</c:v>
                </c:pt>
                <c:pt idx="15">
                  <c:v>88.396610425061198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F5-4330-99C8-E8C1CA9EB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60032"/>
        <c:axId val="543956464"/>
      </c:scatterChart>
      <c:valAx>
        <c:axId val="53506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 Variable 1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3956464"/>
        <c:crosses val="autoZero"/>
        <c:crossBetween val="midCat"/>
      </c:valAx>
      <c:valAx>
        <c:axId val="543956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350600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'Propellant Regression'!$F$25:$F$40</c:f>
              <c:numCache>
                <c:formatCode>General</c:formatCode>
                <c:ptCount val="16"/>
                <c:pt idx="0">
                  <c:v>3.125</c:v>
                </c:pt>
                <c:pt idx="1">
                  <c:v>9.375</c:v>
                </c:pt>
                <c:pt idx="2">
                  <c:v>15.625</c:v>
                </c:pt>
                <c:pt idx="3">
                  <c:v>21.875</c:v>
                </c:pt>
                <c:pt idx="4">
                  <c:v>28.125</c:v>
                </c:pt>
                <c:pt idx="5">
                  <c:v>34.375</c:v>
                </c:pt>
                <c:pt idx="6">
                  <c:v>40.625</c:v>
                </c:pt>
                <c:pt idx="7">
                  <c:v>46.875</c:v>
                </c:pt>
                <c:pt idx="8">
                  <c:v>53.125</c:v>
                </c:pt>
                <c:pt idx="9">
                  <c:v>59.375</c:v>
                </c:pt>
                <c:pt idx="10">
                  <c:v>65.625</c:v>
                </c:pt>
                <c:pt idx="11">
                  <c:v>71.875</c:v>
                </c:pt>
                <c:pt idx="12">
                  <c:v>78.125</c:v>
                </c:pt>
                <c:pt idx="13">
                  <c:v>84.375</c:v>
                </c:pt>
                <c:pt idx="14">
                  <c:v>90.625</c:v>
                </c:pt>
                <c:pt idx="15">
                  <c:v>96.875</c:v>
                </c:pt>
              </c:numCache>
            </c:numRef>
          </c:xVal>
          <c:yVal>
            <c:numRef>
              <c:f>'Propellant Regression'!$G$25:$G$40</c:f>
              <c:numCache>
                <c:formatCode>General</c:formatCode>
                <c:ptCount val="16"/>
                <c:pt idx="0">
                  <c:v>1.732</c:v>
                </c:pt>
                <c:pt idx="1">
                  <c:v>8</c:v>
                </c:pt>
                <c:pt idx="2">
                  <c:v>16.870748299319729</c:v>
                </c:pt>
                <c:pt idx="3">
                  <c:v>19.09297052154195</c:v>
                </c:pt>
                <c:pt idx="4">
                  <c:v>24.807256235827666</c:v>
                </c:pt>
                <c:pt idx="5">
                  <c:v>27.66439909297052</c:v>
                </c:pt>
                <c:pt idx="6">
                  <c:v>33.791383219954646</c:v>
                </c:pt>
                <c:pt idx="7">
                  <c:v>40</c:v>
                </c:pt>
                <c:pt idx="8">
                  <c:v>41.519274376417229</c:v>
                </c:pt>
                <c:pt idx="9">
                  <c:v>42.630385487528343</c:v>
                </c:pt>
                <c:pt idx="10">
                  <c:v>49.886621315192741</c:v>
                </c:pt>
                <c:pt idx="11">
                  <c:v>54.965986394557824</c:v>
                </c:pt>
                <c:pt idx="12">
                  <c:v>57.046669830722976</c:v>
                </c:pt>
                <c:pt idx="13">
                  <c:v>57.62</c:v>
                </c:pt>
                <c:pt idx="14">
                  <c:v>75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5-4F04-BE8B-464635907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499144"/>
        <c:axId val="603499472"/>
      </c:scatterChart>
      <c:valAx>
        <c:axId val="603499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499472"/>
        <c:crosses val="autoZero"/>
        <c:crossBetween val="midCat"/>
      </c:valAx>
      <c:valAx>
        <c:axId val="603499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499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420462</xdr:colOff>
      <xdr:row>18</xdr:row>
      <xdr:rowOff>24491</xdr:rowOff>
    </xdr:from>
    <xdr:to>
      <xdr:col>13</xdr:col>
      <xdr:colOff>3235326</xdr:colOff>
      <xdr:row>33</xdr:row>
      <xdr:rowOff>100690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58CB4-3057-4331-8FE1-3D8DD85B9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217714</xdr:colOff>
      <xdr:row>18</xdr:row>
      <xdr:rowOff>63500</xdr:rowOff>
    </xdr:from>
    <xdr:to>
      <xdr:col>11</xdr:col>
      <xdr:colOff>66221</xdr:colOff>
      <xdr:row>33</xdr:row>
      <xdr:rowOff>139699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40707-E82F-4563-AD97-4931B46B8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1179286</xdr:colOff>
      <xdr:row>18</xdr:row>
      <xdr:rowOff>72571</xdr:rowOff>
    </xdr:from>
    <xdr:to>
      <xdr:col>4</xdr:col>
      <xdr:colOff>746579</xdr:colOff>
      <xdr:row>33</xdr:row>
      <xdr:rowOff>148770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483D07-272B-4215-9784-410494F6B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371475</xdr:colOff>
      <xdr:row>3</xdr:row>
      <xdr:rowOff>6350</xdr:rowOff>
    </xdr:from>
    <xdr:to>
      <xdr:col>32</xdr:col>
      <xdr:colOff>66675</xdr:colOff>
      <xdr:row>16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56CE6E-87A6-43CE-88B7-879C17025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69850</xdr:colOff>
      <xdr:row>20</xdr:row>
      <xdr:rowOff>63500</xdr:rowOff>
    </xdr:from>
    <xdr:to>
      <xdr:col>26</xdr:col>
      <xdr:colOff>101600</xdr:colOff>
      <xdr:row>35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16FBBD-FAE2-42AC-B5A4-903B7C8CC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393700</xdr:colOff>
      <xdr:row>19</xdr:row>
      <xdr:rowOff>177800</xdr:rowOff>
    </xdr:from>
    <xdr:to>
      <xdr:col>19</xdr:col>
      <xdr:colOff>419100</xdr:colOff>
      <xdr:row>31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F54611-76BC-4FFE-ADDA-64AF5F6FC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</xdr:row>
      <xdr:rowOff>82550</xdr:rowOff>
    </xdr:from>
    <xdr:to>
      <xdr:col>15</xdr:col>
      <xdr:colOff>190500</xdr:colOff>
      <xdr:row>11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D5091-97A1-40F4-91CA-71F371AE7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482600</xdr:colOff>
      <xdr:row>1</xdr:row>
      <xdr:rowOff>0</xdr:rowOff>
    </xdr:from>
    <xdr:to>
      <xdr:col>21</xdr:col>
      <xdr:colOff>482600</xdr:colOff>
      <xdr:row>10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678CD5-0FCD-4C9A-9408-7A94885DE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311150</xdr:colOff>
      <xdr:row>14</xdr:row>
      <xdr:rowOff>133350</xdr:rowOff>
    </xdr:from>
    <xdr:to>
      <xdr:col>15</xdr:col>
      <xdr:colOff>311150</xdr:colOff>
      <xdr:row>24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F0D41C-63F9-4033-8834-BD2C54515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939EC-7B03-4769-9416-0D9CBD1CB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368300</xdr:colOff>
      <xdr:row>3</xdr:row>
      <xdr:rowOff>0</xdr:rowOff>
    </xdr:from>
    <xdr:to>
      <xdr:col>21</xdr:col>
      <xdr:colOff>368300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6B2D8-D0C9-4532-BDF6-22188A441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273050</xdr:colOff>
      <xdr:row>12</xdr:row>
      <xdr:rowOff>95250</xdr:rowOff>
    </xdr:from>
    <xdr:to>
      <xdr:col>15</xdr:col>
      <xdr:colOff>273050</xdr:colOff>
      <xdr:row>22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DFB663-1731-403E-A175-3A4670AF0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4"/>
  <sheetViews>
    <sheetView topLeftCell="B1" zoomScale="70" zoomScaleNormal="70" workbookViewId="0">
      <selection activeCell="G2" sqref="G2"/>
    </sheetView>
  </sheetViews>
  <sheetFormatPr defaultColWidth="14.453125" defaultRowHeight="15" customHeight="1"/>
  <cols>
    <col min="1" max="1" width="22" customWidth="1"/>
    <col min="2" max="2" width="25.08984375" customWidth="1"/>
    <col min="3" max="3" width="7.453125" customWidth="1"/>
    <col min="4" max="4" width="17.453125" customWidth="1"/>
    <col min="5" max="11" width="11.26953125" customWidth="1"/>
    <col min="12" max="12" width="12.26953125" customWidth="1"/>
    <col min="13" max="13" width="13" customWidth="1"/>
    <col min="14" max="14" width="60.08984375" customWidth="1"/>
    <col min="15" max="15" width="13" customWidth="1"/>
    <col min="16" max="33" width="8.7265625" customWidth="1"/>
  </cols>
  <sheetData>
    <row r="1" spans="1:15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71</v>
      </c>
      <c r="G1" s="2" t="s">
        <v>64</v>
      </c>
      <c r="H1" s="2" t="s">
        <v>65</v>
      </c>
      <c r="I1" s="2" t="s">
        <v>66</v>
      </c>
      <c r="J1" s="2" t="s">
        <v>67</v>
      </c>
      <c r="K1" s="2" t="s">
        <v>68</v>
      </c>
      <c r="L1" s="2" t="s">
        <v>5</v>
      </c>
      <c r="M1" s="2" t="s">
        <v>6</v>
      </c>
      <c r="N1" s="1" t="s">
        <v>7</v>
      </c>
      <c r="O1" s="1" t="s">
        <v>8</v>
      </c>
    </row>
    <row r="2" spans="1:15" ht="14.25" customHeight="1">
      <c r="A2" s="3" t="s">
        <v>9</v>
      </c>
      <c r="B2" s="3" t="s">
        <v>10</v>
      </c>
      <c r="C2" s="3">
        <v>2018</v>
      </c>
      <c r="D2" s="3" t="s">
        <v>11</v>
      </c>
      <c r="E2" s="3">
        <v>1453</v>
      </c>
      <c r="F2" s="3">
        <f>170*0.0254</f>
        <v>4.3179999999999996</v>
      </c>
      <c r="G2" s="6">
        <f>8*0.0254</f>
        <v>0.20319999999999999</v>
      </c>
      <c r="H2" s="4">
        <f>121.2/2.205</f>
        <v>54.965986394557824</v>
      </c>
      <c r="I2" s="4">
        <f>48/2.205</f>
        <v>21.768707482993197</v>
      </c>
      <c r="J2" s="4">
        <f>8.8/2.205</f>
        <v>3.9909297052154198</v>
      </c>
      <c r="K2" s="4">
        <f>178/2.205</f>
        <v>80.725623582766431</v>
      </c>
      <c r="L2" s="3">
        <v>5</v>
      </c>
      <c r="M2" s="3" t="s">
        <v>12</v>
      </c>
      <c r="N2" s="3" t="s">
        <v>13</v>
      </c>
      <c r="O2" s="3" t="s">
        <v>14</v>
      </c>
    </row>
    <row r="3" spans="1:15" ht="14.25" customHeight="1">
      <c r="A3" s="3" t="s">
        <v>70</v>
      </c>
      <c r="B3" s="3" t="s">
        <v>15</v>
      </c>
      <c r="C3" s="3">
        <v>2003</v>
      </c>
      <c r="D3" s="3" t="s">
        <v>11</v>
      </c>
      <c r="E3" s="3">
        <v>1768</v>
      </c>
      <c r="F3" s="3">
        <f>65*0.0254</f>
        <v>1.651</v>
      </c>
      <c r="G3" s="6">
        <f>2*0.0254</f>
        <v>5.0799999999999998E-2</v>
      </c>
      <c r="H3" s="4">
        <v>1.732</v>
      </c>
      <c r="I3" s="4">
        <f>K3-H3</f>
        <v>1.5620000000000001</v>
      </c>
      <c r="J3" s="4">
        <v>0</v>
      </c>
      <c r="K3" s="4">
        <v>3.294</v>
      </c>
      <c r="L3" s="3">
        <v>5</v>
      </c>
      <c r="M3" s="3" t="s">
        <v>12</v>
      </c>
      <c r="N3" s="3" t="s">
        <v>16</v>
      </c>
      <c r="O3" s="3" t="s">
        <v>17</v>
      </c>
    </row>
    <row r="4" spans="1:15" ht="14.25" customHeight="1">
      <c r="A4" s="3" t="s">
        <v>69</v>
      </c>
      <c r="B4" s="3" t="s">
        <v>15</v>
      </c>
      <c r="C4" s="3">
        <v>2003</v>
      </c>
      <c r="D4" s="3" t="s">
        <v>11</v>
      </c>
      <c r="E4" s="3">
        <v>26822</v>
      </c>
      <c r="F4" s="3">
        <f>141*0.0254</f>
        <v>3.5813999999999999</v>
      </c>
      <c r="G4" s="6">
        <f>7*0.0254</f>
        <v>0.17779999999999999</v>
      </c>
      <c r="H4" s="4">
        <f>K4-I4</f>
        <v>27.66439909297052</v>
      </c>
      <c r="I4" s="4">
        <f>85/2.205</f>
        <v>38.548752834467116</v>
      </c>
      <c r="J4" s="4">
        <v>0</v>
      </c>
      <c r="K4" s="4">
        <f>146/2.205</f>
        <v>66.213151927437636</v>
      </c>
      <c r="L4" s="3">
        <v>5</v>
      </c>
      <c r="M4" s="3" t="s">
        <v>12</v>
      </c>
      <c r="N4" s="3" t="s">
        <v>16</v>
      </c>
      <c r="O4" s="3" t="s">
        <v>17</v>
      </c>
    </row>
    <row r="5" spans="1:15" ht="14.25" customHeight="1">
      <c r="A5" s="3" t="s">
        <v>18</v>
      </c>
      <c r="B5" s="3" t="s">
        <v>19</v>
      </c>
      <c r="C5" s="3">
        <v>2017</v>
      </c>
      <c r="D5" s="3" t="s">
        <v>11</v>
      </c>
      <c r="E5" s="3">
        <v>10000</v>
      </c>
      <c r="F5" s="3">
        <v>4.55</v>
      </c>
      <c r="G5" s="6">
        <v>0.16</v>
      </c>
      <c r="H5" s="4">
        <f>K5-J5-I5</f>
        <v>57.62</v>
      </c>
      <c r="I5" s="4">
        <v>36.380000000000003</v>
      </c>
      <c r="J5" s="4">
        <v>1</v>
      </c>
      <c r="K5" s="4">
        <v>95</v>
      </c>
      <c r="L5" s="3">
        <v>5</v>
      </c>
      <c r="M5" s="3" t="s">
        <v>12</v>
      </c>
      <c r="N5" s="3" t="s">
        <v>20</v>
      </c>
      <c r="O5" s="3" t="s">
        <v>21</v>
      </c>
    </row>
    <row r="6" spans="1:15" ht="14.25" customHeight="1">
      <c r="A6" s="3" t="s">
        <v>22</v>
      </c>
      <c r="B6" s="3" t="s">
        <v>15</v>
      </c>
      <c r="C6" s="3">
        <v>2005</v>
      </c>
      <c r="D6" s="3" t="s">
        <v>23</v>
      </c>
      <c r="E6" s="8">
        <f>9400*0.3048</f>
        <v>2865.1200000000003</v>
      </c>
      <c r="G6" s="3">
        <f>3*0.0254</f>
        <v>7.619999999999999E-2</v>
      </c>
      <c r="H6" s="4">
        <v>8</v>
      </c>
      <c r="I6" s="4">
        <f>K6-H6</f>
        <v>2.8000000000000007</v>
      </c>
      <c r="J6" s="4">
        <v>0</v>
      </c>
      <c r="K6" s="4">
        <v>10.8</v>
      </c>
      <c r="L6" s="3">
        <v>4</v>
      </c>
      <c r="M6" s="3" t="s">
        <v>12</v>
      </c>
      <c r="N6" s="3" t="s">
        <v>24</v>
      </c>
      <c r="O6" s="3" t="s">
        <v>25</v>
      </c>
    </row>
    <row r="7" spans="1:15" ht="14.25" customHeight="1">
      <c r="A7" s="3" t="s">
        <v>26</v>
      </c>
      <c r="B7" s="3" t="s">
        <v>27</v>
      </c>
      <c r="C7" s="3">
        <v>2017</v>
      </c>
      <c r="D7" s="3" t="s">
        <v>28</v>
      </c>
      <c r="E7" s="3">
        <v>5689</v>
      </c>
      <c r="F7" s="3">
        <f>128.5*0.0254</f>
        <v>3.2639</v>
      </c>
      <c r="G7" s="6">
        <f>4.25*0.0254</f>
        <v>0.10794999999999999</v>
      </c>
      <c r="H7" s="4">
        <f>42.1/2.205</f>
        <v>19.09297052154195</v>
      </c>
      <c r="I7" s="4">
        <f>K7-J7-H7</f>
        <v>5.5328798185941039</v>
      </c>
      <c r="J7" s="4">
        <f>8.8/2.205</f>
        <v>3.9909297052154198</v>
      </c>
      <c r="K7" s="4">
        <f>63.1/2.205</f>
        <v>28.616780045351472</v>
      </c>
      <c r="L7" s="3">
        <v>4</v>
      </c>
      <c r="M7" s="3" t="s">
        <v>29</v>
      </c>
      <c r="N7" s="3" t="s">
        <v>30</v>
      </c>
      <c r="O7" s="3" t="s">
        <v>31</v>
      </c>
    </row>
    <row r="8" spans="1:15" ht="14.25" customHeight="1">
      <c r="A8" t="s">
        <v>32</v>
      </c>
      <c r="B8" t="s">
        <v>27</v>
      </c>
      <c r="C8">
        <v>2018</v>
      </c>
      <c r="D8" t="s">
        <v>28</v>
      </c>
      <c r="E8" s="3">
        <v>4088</v>
      </c>
      <c r="F8" s="3">
        <f>178*0.0254</f>
        <v>4.5211999999999994</v>
      </c>
      <c r="G8" s="6">
        <f>6*0.0254</f>
        <v>0.15239999999999998</v>
      </c>
      <c r="H8" s="4">
        <f>94/2.205</f>
        <v>42.630385487528343</v>
      </c>
      <c r="I8" s="4">
        <f>40/2.205</f>
        <v>18.140589569160998</v>
      </c>
      <c r="J8" s="4">
        <f>9/2.205</f>
        <v>4.0816326530612246</v>
      </c>
      <c r="K8" s="4">
        <f>143/2.205</f>
        <v>64.852607709750558</v>
      </c>
      <c r="L8" s="3">
        <v>3</v>
      </c>
      <c r="M8" s="3" t="s">
        <v>29</v>
      </c>
      <c r="N8" s="3" t="s">
        <v>33</v>
      </c>
      <c r="O8" s="3" t="s">
        <v>34</v>
      </c>
    </row>
    <row r="9" spans="1:15" ht="14.25" customHeight="1">
      <c r="A9" s="3" t="s">
        <v>35</v>
      </c>
      <c r="B9" s="3" t="s">
        <v>36</v>
      </c>
      <c r="C9" s="3">
        <v>2017</v>
      </c>
      <c r="D9" s="3" t="s">
        <v>11</v>
      </c>
      <c r="E9" s="3">
        <v>7560</v>
      </c>
      <c r="F9" s="3">
        <f>116*0.0254</f>
        <v>2.9463999999999997</v>
      </c>
      <c r="G9" s="6">
        <f>5.5*0.0254</f>
        <v>0.13969999999999999</v>
      </c>
      <c r="H9" s="4">
        <f>54.7/2.205</f>
        <v>24.807256235827666</v>
      </c>
      <c r="I9" s="4">
        <f>K9-J9-H9</f>
        <v>9.8412698412698347</v>
      </c>
      <c r="J9" s="4">
        <f>8.8/2.205</f>
        <v>3.9909297052154198</v>
      </c>
      <c r="K9" s="4">
        <f>85.2/2.205</f>
        <v>38.639455782312922</v>
      </c>
      <c r="L9" s="3">
        <v>3</v>
      </c>
      <c r="M9" s="3" t="s">
        <v>29</v>
      </c>
      <c r="N9" s="3" t="s">
        <v>37</v>
      </c>
      <c r="O9" s="3" t="s">
        <v>31</v>
      </c>
    </row>
    <row r="10" spans="1:15" ht="14.25" customHeight="1">
      <c r="A10" s="3" t="s">
        <v>38</v>
      </c>
      <c r="B10" s="3" t="s">
        <v>36</v>
      </c>
      <c r="C10" s="3">
        <v>2018</v>
      </c>
      <c r="D10" s="3" t="s">
        <v>11</v>
      </c>
      <c r="E10" s="3">
        <v>15000</v>
      </c>
      <c r="F10" s="3">
        <v>6</v>
      </c>
      <c r="G10" s="6">
        <v>0.14000000000000001</v>
      </c>
      <c r="H10" s="4">
        <v>40</v>
      </c>
      <c r="I10" s="4">
        <f>K10-H10</f>
        <v>32</v>
      </c>
      <c r="J10" s="4">
        <v>0</v>
      </c>
      <c r="K10" s="4">
        <v>72</v>
      </c>
      <c r="L10" s="3">
        <v>3</v>
      </c>
      <c r="M10" s="3" t="s">
        <v>29</v>
      </c>
      <c r="N10" s="3" t="s">
        <v>39</v>
      </c>
      <c r="O10" s="3" t="s">
        <v>40</v>
      </c>
    </row>
    <row r="11" spans="1:15" ht="14.25" customHeight="1">
      <c r="A11" s="3" t="s">
        <v>72</v>
      </c>
      <c r="B11" s="3" t="s">
        <v>41</v>
      </c>
      <c r="C11" s="3">
        <v>2016</v>
      </c>
      <c r="D11" s="3" t="s">
        <v>11</v>
      </c>
      <c r="E11" s="3">
        <v>32300</v>
      </c>
      <c r="F11" s="3">
        <v>7.5</v>
      </c>
      <c r="G11" s="6">
        <v>0.22</v>
      </c>
      <c r="H11" s="4">
        <v>75</v>
      </c>
      <c r="I11" s="4">
        <f>K11-H11</f>
        <v>88</v>
      </c>
      <c r="J11" s="4">
        <v>0</v>
      </c>
      <c r="K11" s="4">
        <v>163</v>
      </c>
      <c r="L11" s="3">
        <v>2</v>
      </c>
      <c r="M11" s="3" t="s">
        <v>29</v>
      </c>
      <c r="N11" s="3" t="s">
        <v>42</v>
      </c>
      <c r="O11" s="3" t="s">
        <v>43</v>
      </c>
    </row>
    <row r="12" spans="1:15" ht="14.25" customHeight="1">
      <c r="A12" s="3" t="s">
        <v>44</v>
      </c>
      <c r="B12" s="3" t="s">
        <v>45</v>
      </c>
      <c r="C12" s="3">
        <v>2011</v>
      </c>
      <c r="D12" s="3" t="s">
        <v>23</v>
      </c>
      <c r="E12" s="3">
        <f>25000*0.3048</f>
        <v>7620</v>
      </c>
      <c r="F12" s="3">
        <f>15*0.3048</f>
        <v>4.5720000000000001</v>
      </c>
      <c r="G12" s="6">
        <f>8*0.0254</f>
        <v>0.20319999999999999</v>
      </c>
      <c r="H12" s="4">
        <f>K12-J12-I12</f>
        <v>57.046669830722976</v>
      </c>
      <c r="I12" s="4">
        <f>36*(1+1/4.3)/2.205</f>
        <v>20.123398196487898</v>
      </c>
      <c r="J12" s="4">
        <f>10/2.205</f>
        <v>4.5351473922902494</v>
      </c>
      <c r="K12" s="4">
        <f>180.16/2.205</f>
        <v>81.70521541950113</v>
      </c>
      <c r="L12" s="3">
        <v>2</v>
      </c>
      <c r="M12" s="3" t="s">
        <v>29</v>
      </c>
      <c r="N12" s="3" t="s">
        <v>46</v>
      </c>
      <c r="O12" s="3" t="s">
        <v>47</v>
      </c>
    </row>
    <row r="13" spans="1:15" ht="14.25" customHeight="1">
      <c r="A13" s="3" t="s">
        <v>49</v>
      </c>
      <c r="B13" s="3" t="s">
        <v>50</v>
      </c>
      <c r="C13" s="3">
        <v>2018</v>
      </c>
      <c r="D13" s="3" t="s">
        <v>11</v>
      </c>
      <c r="E13" s="9">
        <f>9830*0.3048</f>
        <v>2996.1840000000002</v>
      </c>
      <c r="F13" s="3">
        <f>166.75*0.0254</f>
        <v>4.2354500000000002</v>
      </c>
      <c r="G13" s="6">
        <f>7.71*0.0254</f>
        <v>0.19583399999999998</v>
      </c>
      <c r="H13" s="4">
        <f>91.55/2.205</f>
        <v>41.519274376417229</v>
      </c>
      <c r="I13" s="4">
        <f>24.25/2.205</f>
        <v>10.997732426303855</v>
      </c>
      <c r="J13" s="4">
        <f>8.8/2.205</f>
        <v>3.9909297052154198</v>
      </c>
      <c r="K13" s="4">
        <f>124.6/2.205</f>
        <v>56.507936507936506</v>
      </c>
      <c r="L13" s="3">
        <v>2</v>
      </c>
      <c r="M13" s="3" t="s">
        <v>29</v>
      </c>
      <c r="N13" s="3" t="s">
        <v>51</v>
      </c>
      <c r="O13" s="3" t="s">
        <v>52</v>
      </c>
    </row>
    <row r="14" spans="1:15" ht="14.25" customHeight="1">
      <c r="A14" s="3" t="s">
        <v>73</v>
      </c>
      <c r="B14" s="3" t="s">
        <v>53</v>
      </c>
      <c r="C14" s="3">
        <v>2018</v>
      </c>
      <c r="D14" s="3" t="s">
        <v>11</v>
      </c>
      <c r="E14" s="8">
        <f>30180*0.3048</f>
        <v>9198.8639999999996</v>
      </c>
      <c r="F14" s="3">
        <f>196*0.0254</f>
        <v>4.9783999999999997</v>
      </c>
      <c r="G14" s="6">
        <f>7.13*0.0254</f>
        <v>0.18110199999999999</v>
      </c>
      <c r="H14" s="4">
        <f>74.51/2.205</f>
        <v>33.791383219954646</v>
      </c>
      <c r="I14" s="4">
        <f>56.4/2.205</f>
        <v>25.578231292517007</v>
      </c>
      <c r="J14" s="4">
        <f>9/2.205</f>
        <v>4.0816326530612246</v>
      </c>
      <c r="K14" s="4">
        <f>140/2.205</f>
        <v>63.492063492063487</v>
      </c>
      <c r="L14" s="3">
        <v>2</v>
      </c>
      <c r="M14" s="3" t="s">
        <v>29</v>
      </c>
      <c r="N14" s="3" t="s">
        <v>54</v>
      </c>
      <c r="O14" s="3" t="s">
        <v>55</v>
      </c>
    </row>
    <row r="15" spans="1:15" ht="14.25" customHeight="1">
      <c r="A15" s="3" t="s">
        <v>74</v>
      </c>
      <c r="B15" s="3" t="s">
        <v>53</v>
      </c>
      <c r="C15" s="3">
        <v>2017</v>
      </c>
      <c r="D15" s="3" t="s">
        <v>11</v>
      </c>
      <c r="E15" s="3">
        <f>30000*0.3048</f>
        <v>9144</v>
      </c>
      <c r="F15" s="3">
        <f>201*0.0254</f>
        <v>5.1053999999999995</v>
      </c>
      <c r="G15" s="6">
        <f>7*0.0254</f>
        <v>0.17779999999999999</v>
      </c>
      <c r="H15" s="4">
        <f>110/2.205</f>
        <v>49.886621315192741</v>
      </c>
      <c r="I15" s="4">
        <f>K15-J15-H15</f>
        <v>25.396825396825406</v>
      </c>
      <c r="J15" s="4">
        <f>8.8/2.205</f>
        <v>3.9909297052154198</v>
      </c>
      <c r="K15" s="4">
        <f>174.8/2.205</f>
        <v>79.274376417233569</v>
      </c>
      <c r="L15" s="3">
        <v>2</v>
      </c>
      <c r="M15" s="3" t="s">
        <v>29</v>
      </c>
      <c r="N15" s="3" t="s">
        <v>54</v>
      </c>
      <c r="O15" s="3" t="s">
        <v>55</v>
      </c>
    </row>
    <row r="16" spans="1:15" ht="14.25" customHeight="1">
      <c r="A16" s="3" t="s">
        <v>56</v>
      </c>
      <c r="B16" s="3" t="s">
        <v>45</v>
      </c>
      <c r="C16" s="3">
        <v>2018</v>
      </c>
      <c r="D16" s="3" t="s">
        <v>57</v>
      </c>
      <c r="E16" s="3">
        <v>1837</v>
      </c>
      <c r="F16" s="3">
        <f>131*0.0254</f>
        <v>3.3273999999999999</v>
      </c>
      <c r="G16" s="6">
        <f>6.08*0.0254</f>
        <v>0.15443199999999999</v>
      </c>
      <c r="H16" s="4">
        <f>37.2/2.205</f>
        <v>16.870748299319729</v>
      </c>
      <c r="I16" s="4">
        <f>12.6/2.205</f>
        <v>5.7142857142857135</v>
      </c>
      <c r="J16" s="4">
        <f>9/2.205</f>
        <v>4.0816326530612246</v>
      </c>
      <c r="K16" s="4">
        <f>58.8/2.205</f>
        <v>26.666666666666664</v>
      </c>
      <c r="L16" s="3">
        <v>2</v>
      </c>
      <c r="M16" s="3" t="s">
        <v>29</v>
      </c>
      <c r="N16" s="3" t="s">
        <v>58</v>
      </c>
      <c r="O16" s="3" t="s">
        <v>59</v>
      </c>
    </row>
    <row r="17" spans="1:15" ht="14.25" customHeight="1">
      <c r="A17" s="3" t="s">
        <v>60</v>
      </c>
      <c r="B17" s="3" t="s">
        <v>48</v>
      </c>
      <c r="C17" s="3">
        <v>2016</v>
      </c>
      <c r="D17" s="3" t="s">
        <v>61</v>
      </c>
      <c r="E17" s="3">
        <v>21457</v>
      </c>
      <c r="F17" s="3">
        <v>7</v>
      </c>
      <c r="G17" s="6">
        <v>0.2</v>
      </c>
      <c r="H17" s="4">
        <v>100</v>
      </c>
      <c r="I17" s="4">
        <f>K17-H17</f>
        <v>85</v>
      </c>
      <c r="J17" s="4">
        <v>0</v>
      </c>
      <c r="K17" s="4">
        <v>185</v>
      </c>
      <c r="L17" s="3">
        <v>2</v>
      </c>
      <c r="M17" s="3" t="s">
        <v>29</v>
      </c>
      <c r="N17" s="3" t="s">
        <v>62</v>
      </c>
      <c r="O17" s="3" t="s">
        <v>63</v>
      </c>
    </row>
    <row r="18" spans="1:15" ht="14.25" customHeight="1">
      <c r="G18" s="7"/>
      <c r="H18" s="5"/>
      <c r="I18" s="5"/>
      <c r="J18" s="5"/>
      <c r="K18" s="5"/>
    </row>
    <row r="19" spans="1:15" ht="14.25" customHeight="1">
      <c r="G19" s="7"/>
    </row>
    <row r="20" spans="1:15" ht="14.25" customHeight="1">
      <c r="G20" s="7"/>
    </row>
    <row r="21" spans="1:15" ht="14.25" customHeight="1"/>
    <row r="22" spans="1:15" ht="14.25" customHeight="1"/>
    <row r="23" spans="1:15" ht="14.25" customHeight="1"/>
    <row r="24" spans="1:15" ht="14.25" customHeight="1"/>
    <row r="25" spans="1:15" ht="14.25" customHeight="1"/>
    <row r="26" spans="1:15" ht="14.25" customHeight="1"/>
    <row r="27" spans="1:15" ht="14.25" customHeight="1"/>
    <row r="28" spans="1:15" ht="14.25" customHeight="1"/>
    <row r="29" spans="1:15" ht="14.25" customHeight="1"/>
    <row r="30" spans="1:15" ht="14.25" customHeight="1"/>
    <row r="31" spans="1:15" ht="14.25" customHeight="1"/>
    <row r="32" spans="1:1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autoFilter ref="A1:O18" xr:uid="{00000000-0009-0000-0000-000000000000}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7ED9-52CC-4FAD-9048-09DD7CCC1A5D}">
  <dimension ref="A1:AI19"/>
  <sheetViews>
    <sheetView tabSelected="1" workbookViewId="0">
      <selection activeCell="C15" sqref="C15"/>
    </sheetView>
  </sheetViews>
  <sheetFormatPr defaultRowHeight="14.5"/>
  <cols>
    <col min="1" max="1" width="13.6328125" customWidth="1"/>
    <col min="2" max="2" width="19.36328125" customWidth="1"/>
    <col min="8" max="8" width="10.36328125" bestFit="1" customWidth="1"/>
    <col min="13" max="13" width="9" customWidth="1"/>
    <col min="14" max="15" width="10.7265625" customWidth="1"/>
  </cols>
  <sheetData>
    <row r="1" spans="1:35">
      <c r="A1" s="16" t="s">
        <v>0</v>
      </c>
      <c r="B1" s="16" t="s">
        <v>1</v>
      </c>
      <c r="C1" s="16" t="s">
        <v>2</v>
      </c>
      <c r="D1" s="17" t="s">
        <v>3</v>
      </c>
      <c r="E1" s="17" t="s">
        <v>4</v>
      </c>
      <c r="F1" s="17" t="s">
        <v>71</v>
      </c>
      <c r="G1" s="17" t="s">
        <v>64</v>
      </c>
      <c r="H1" s="18" t="s">
        <v>108</v>
      </c>
      <c r="I1" s="17" t="s">
        <v>66</v>
      </c>
      <c r="J1" s="18" t="s">
        <v>109</v>
      </c>
      <c r="K1" s="17" t="s">
        <v>67</v>
      </c>
      <c r="L1" s="17" t="s">
        <v>68</v>
      </c>
      <c r="M1" s="18" t="s">
        <v>115</v>
      </c>
      <c r="N1" s="18" t="s">
        <v>114</v>
      </c>
      <c r="O1" s="18" t="s">
        <v>113</v>
      </c>
      <c r="P1" s="17" t="s">
        <v>65</v>
      </c>
      <c r="Q1" s="2"/>
      <c r="R1" s="14" t="s">
        <v>110</v>
      </c>
      <c r="S1" s="14" t="s">
        <v>110</v>
      </c>
      <c r="T1" s="14" t="s">
        <v>110</v>
      </c>
      <c r="V1" s="14" t="s">
        <v>116</v>
      </c>
    </row>
    <row r="2" spans="1:35">
      <c r="A2" s="19" t="s">
        <v>9</v>
      </c>
      <c r="B2" s="19" t="s">
        <v>10</v>
      </c>
      <c r="C2" s="19">
        <v>2018</v>
      </c>
      <c r="D2" s="19" t="s">
        <v>11</v>
      </c>
      <c r="E2" s="19">
        <v>1453</v>
      </c>
      <c r="F2" s="19">
        <f>170*0.0254</f>
        <v>4.3179999999999996</v>
      </c>
      <c r="G2" s="20">
        <f>8*0.0254</f>
        <v>0.20319999999999999</v>
      </c>
      <c r="H2" s="21">
        <f>G2^2</f>
        <v>4.1290239999999999E-2</v>
      </c>
      <c r="I2" s="22">
        <f>48/2.205</f>
        <v>21.768707482993197</v>
      </c>
      <c r="J2" s="22">
        <f>LN(I2)</f>
        <v>3.0804735020090814</v>
      </c>
      <c r="K2" s="22">
        <f>8.8/2.205</f>
        <v>3.9909297052154198</v>
      </c>
      <c r="L2" s="22">
        <f>178/2.205</f>
        <v>80.725623582766431</v>
      </c>
      <c r="M2" s="22">
        <f>2492.5*G2^2.3216</f>
        <v>61.646842498551273</v>
      </c>
      <c r="N2" s="22">
        <f t="shared" ref="N2:N13" si="0">$K$17*I2+$K$18*G2+$K$19</f>
        <v>48.028681332249995</v>
      </c>
      <c r="O2" s="22">
        <f t="shared" ref="O2:O13" si="1">$L$17*I2+$L$18*G2+$L$19</f>
        <v>48.836166857638283</v>
      </c>
      <c r="P2" s="22">
        <f>121.2/2.205</f>
        <v>54.965986394557824</v>
      </c>
      <c r="Q2" s="4"/>
      <c r="R2">
        <f>(P2-M2)/P2*100</f>
        <v>-12.154527812958378</v>
      </c>
      <c r="S2">
        <f t="shared" ref="S2:S13" si="2">(P2-N2)/P2*100</f>
        <v>12.621087180188747</v>
      </c>
      <c r="T2">
        <f>(P2-O2)/P2*100</f>
        <v>11.152023167415502</v>
      </c>
      <c r="V2">
        <f>ABS(R2)</f>
        <v>12.154527812958378</v>
      </c>
      <c r="W2">
        <f t="shared" ref="W2:X2" si="3">ABS(S2)</f>
        <v>12.621087180188747</v>
      </c>
      <c r="X2">
        <f t="shared" si="3"/>
        <v>11.152023167415502</v>
      </c>
      <c r="AH2">
        <v>0</v>
      </c>
      <c r="AI2">
        <v>0</v>
      </c>
    </row>
    <row r="3" spans="1:35">
      <c r="A3" s="19" t="s">
        <v>69</v>
      </c>
      <c r="B3" s="19" t="s">
        <v>15</v>
      </c>
      <c r="C3" s="19">
        <v>2003</v>
      </c>
      <c r="D3" s="19" t="s">
        <v>11</v>
      </c>
      <c r="E3" s="19">
        <v>26822</v>
      </c>
      <c r="F3" s="19">
        <f>141*0.0254</f>
        <v>3.5813999999999999</v>
      </c>
      <c r="G3" s="20">
        <f>7*0.0254</f>
        <v>0.17779999999999999</v>
      </c>
      <c r="H3" s="21">
        <f t="shared" ref="H3:H13" si="4">G3^2</f>
        <v>3.1612839999999996E-2</v>
      </c>
      <c r="I3" s="22">
        <f>85/2.205</f>
        <v>38.548752834467116</v>
      </c>
      <c r="J3" s="22">
        <f t="shared" ref="J3:J13" si="5">LN(I3)</f>
        <v>3.651923747591507</v>
      </c>
      <c r="K3" s="22">
        <v>0</v>
      </c>
      <c r="L3" s="22">
        <f>146/2.205</f>
        <v>66.213151927437636</v>
      </c>
      <c r="M3" s="22">
        <f t="shared" ref="M3:M13" si="6">2492.5*G3^2.3216</f>
        <v>45.214395950656581</v>
      </c>
      <c r="N3" s="22">
        <f t="shared" si="0"/>
        <v>51.682053695410225</v>
      </c>
      <c r="O3" s="22">
        <f t="shared" si="1"/>
        <v>49.554260383091112</v>
      </c>
      <c r="P3" s="22">
        <f>L3-I3</f>
        <v>27.66439909297052</v>
      </c>
      <c r="Q3" s="4"/>
      <c r="R3">
        <f t="shared" ref="R3:R13" si="7">(P3-M3)/P3*100</f>
        <v>-63.438923067537324</v>
      </c>
      <c r="S3">
        <f t="shared" si="2"/>
        <v>-86.817915407179598</v>
      </c>
      <c r="T3">
        <f t="shared" ref="T3:T13" si="8">(P3-O3)/P3*100</f>
        <v>-79.12646581100968</v>
      </c>
      <c r="V3">
        <f t="shared" ref="V3:V13" si="9">ABS(R3)</f>
        <v>63.438923067537324</v>
      </c>
      <c r="W3">
        <f t="shared" ref="W3:W13" si="10">ABS(S3)</f>
        <v>86.817915407179598</v>
      </c>
      <c r="X3">
        <f t="shared" ref="X3:X13" si="11">ABS(T3)</f>
        <v>79.12646581100968</v>
      </c>
      <c r="AH3">
        <v>5</v>
      </c>
      <c r="AI3">
        <v>5</v>
      </c>
    </row>
    <row r="4" spans="1:35">
      <c r="A4" s="19" t="s">
        <v>18</v>
      </c>
      <c r="B4" s="19" t="s">
        <v>19</v>
      </c>
      <c r="C4" s="19">
        <v>2017</v>
      </c>
      <c r="D4" s="19" t="s">
        <v>11</v>
      </c>
      <c r="E4" s="19">
        <v>10000</v>
      </c>
      <c r="F4" s="19">
        <v>4.55</v>
      </c>
      <c r="G4" s="20">
        <v>0.16</v>
      </c>
      <c r="H4" s="21">
        <f t="shared" si="4"/>
        <v>2.5600000000000001E-2</v>
      </c>
      <c r="I4" s="22">
        <v>36.380000000000003</v>
      </c>
      <c r="J4" s="22">
        <f t="shared" si="5"/>
        <v>3.5940191730899764</v>
      </c>
      <c r="K4" s="22">
        <v>1</v>
      </c>
      <c r="L4" s="22">
        <v>95</v>
      </c>
      <c r="M4" s="22">
        <f t="shared" si="6"/>
        <v>35.393223511901354</v>
      </c>
      <c r="N4" s="22">
        <f t="shared" si="0"/>
        <v>46.393111714349381</v>
      </c>
      <c r="O4" s="22">
        <f t="shared" si="1"/>
        <v>44.00068186057203</v>
      </c>
      <c r="P4" s="22">
        <f>L4-K4-I4</f>
        <v>57.62</v>
      </c>
      <c r="Q4" s="4"/>
      <c r="R4">
        <f t="shared" si="7"/>
        <v>38.574759611417292</v>
      </c>
      <c r="S4">
        <f t="shared" si="2"/>
        <v>19.484360093111103</v>
      </c>
      <c r="T4">
        <f t="shared" si="8"/>
        <v>23.636442449545243</v>
      </c>
      <c r="V4">
        <f t="shared" si="9"/>
        <v>38.574759611417292</v>
      </c>
      <c r="W4">
        <f t="shared" si="10"/>
        <v>19.484360093111103</v>
      </c>
      <c r="X4">
        <f t="shared" si="11"/>
        <v>23.636442449545243</v>
      </c>
      <c r="AH4">
        <v>10</v>
      </c>
      <c r="AI4">
        <v>10</v>
      </c>
    </row>
    <row r="5" spans="1:35">
      <c r="A5" s="19" t="s">
        <v>26</v>
      </c>
      <c r="B5" s="19" t="s">
        <v>27</v>
      </c>
      <c r="C5" s="19">
        <v>2017</v>
      </c>
      <c r="D5" s="19" t="s">
        <v>28</v>
      </c>
      <c r="E5" s="19">
        <v>5689</v>
      </c>
      <c r="F5" s="19">
        <f>128.5*0.0254</f>
        <v>3.2639</v>
      </c>
      <c r="G5" s="20">
        <f>4.25*0.0254</f>
        <v>0.10794999999999999</v>
      </c>
      <c r="H5" s="21">
        <f t="shared" si="4"/>
        <v>1.1653202499999998E-2</v>
      </c>
      <c r="I5" s="22">
        <f>L5-K5-P5</f>
        <v>5.5328798185941039</v>
      </c>
      <c r="J5" s="22">
        <f t="shared" si="5"/>
        <v>1.7107084428404016</v>
      </c>
      <c r="K5" s="22">
        <f>8.8/2.205</f>
        <v>3.9909297052154198</v>
      </c>
      <c r="L5" s="22">
        <f>63.1/2.205</f>
        <v>28.616780045351472</v>
      </c>
      <c r="M5" s="22">
        <f t="shared" si="6"/>
        <v>14.195963155281589</v>
      </c>
      <c r="N5" s="22">
        <f t="shared" si="0"/>
        <v>17.11732643500482</v>
      </c>
      <c r="O5" s="22">
        <f t="shared" si="1"/>
        <v>17.10460829369023</v>
      </c>
      <c r="P5" s="22">
        <f>42.1/2.205</f>
        <v>19.09297052154195</v>
      </c>
      <c r="Q5" s="4"/>
      <c r="R5">
        <f t="shared" si="7"/>
        <v>25.648221478869587</v>
      </c>
      <c r="S5">
        <f t="shared" si="2"/>
        <v>10.347494562504448</v>
      </c>
      <c r="T5">
        <f t="shared" si="8"/>
        <v>10.414106205256633</v>
      </c>
      <c r="V5">
        <f t="shared" si="9"/>
        <v>25.648221478869587</v>
      </c>
      <c r="W5">
        <f t="shared" si="10"/>
        <v>10.347494562504448</v>
      </c>
      <c r="X5">
        <f t="shared" si="11"/>
        <v>10.414106205256633</v>
      </c>
      <c r="AH5">
        <v>15</v>
      </c>
      <c r="AI5">
        <v>15</v>
      </c>
    </row>
    <row r="6" spans="1:35">
      <c r="A6" s="23" t="s">
        <v>32</v>
      </c>
      <c r="B6" s="23" t="s">
        <v>27</v>
      </c>
      <c r="C6" s="23">
        <v>2018</v>
      </c>
      <c r="D6" s="23" t="s">
        <v>28</v>
      </c>
      <c r="E6" s="19">
        <v>4088</v>
      </c>
      <c r="F6" s="19">
        <f>178*0.0254</f>
        <v>4.5211999999999994</v>
      </c>
      <c r="G6" s="20">
        <f>6*0.0254</f>
        <v>0.15239999999999998</v>
      </c>
      <c r="H6" s="21">
        <f t="shared" si="4"/>
        <v>2.3225759999999995E-2</v>
      </c>
      <c r="I6" s="22">
        <f>40/2.205</f>
        <v>18.140589569160998</v>
      </c>
      <c r="J6" s="22">
        <f t="shared" si="5"/>
        <v>2.898151945215127</v>
      </c>
      <c r="K6" s="22">
        <f>9/2.205</f>
        <v>4.0816326530612246</v>
      </c>
      <c r="L6" s="22">
        <f>143/2.205</f>
        <v>64.852607709750558</v>
      </c>
      <c r="M6" s="22">
        <f t="shared" si="6"/>
        <v>31.6120795669808</v>
      </c>
      <c r="N6" s="22">
        <f t="shared" si="0"/>
        <v>34.377860299499268</v>
      </c>
      <c r="O6" s="22">
        <f t="shared" si="1"/>
        <v>34.100474439506499</v>
      </c>
      <c r="P6" s="22">
        <f>94/2.205</f>
        <v>42.630385487528343</v>
      </c>
      <c r="Q6" s="4"/>
      <c r="R6">
        <f t="shared" si="7"/>
        <v>25.846132505114184</v>
      </c>
      <c r="S6">
        <f t="shared" si="2"/>
        <v>19.358317063408627</v>
      </c>
      <c r="T6">
        <f t="shared" si="8"/>
        <v>20.008993469029964</v>
      </c>
      <c r="V6">
        <f t="shared" si="9"/>
        <v>25.846132505114184</v>
      </c>
      <c r="W6">
        <f t="shared" si="10"/>
        <v>19.358317063408627</v>
      </c>
      <c r="X6">
        <f t="shared" si="11"/>
        <v>20.008993469029964</v>
      </c>
      <c r="AH6">
        <v>20</v>
      </c>
      <c r="AI6">
        <v>20</v>
      </c>
    </row>
    <row r="7" spans="1:35">
      <c r="A7" s="19" t="s">
        <v>35</v>
      </c>
      <c r="B7" s="19" t="s">
        <v>36</v>
      </c>
      <c r="C7" s="19">
        <v>2017</v>
      </c>
      <c r="D7" s="19" t="s">
        <v>11</v>
      </c>
      <c r="E7" s="19">
        <v>7560</v>
      </c>
      <c r="F7" s="19">
        <f>116*0.0254</f>
        <v>2.9463999999999997</v>
      </c>
      <c r="G7" s="20">
        <f>5.5*0.0254</f>
        <v>0.13969999999999999</v>
      </c>
      <c r="H7" s="21">
        <f t="shared" si="4"/>
        <v>1.9516089999999996E-2</v>
      </c>
      <c r="I7" s="22">
        <f>L7-K7-P7</f>
        <v>9.8412698412698347</v>
      </c>
      <c r="J7" s="22">
        <f t="shared" si="5"/>
        <v>2.2865847516476041</v>
      </c>
      <c r="K7" s="22">
        <f>8.8/2.205</f>
        <v>3.9909297052154198</v>
      </c>
      <c r="L7" s="22">
        <f>85.2/2.205</f>
        <v>38.639455782312922</v>
      </c>
      <c r="M7" s="22">
        <f t="shared" si="6"/>
        <v>25.829924896783126</v>
      </c>
      <c r="N7" s="22">
        <f t="shared" si="0"/>
        <v>26.799199896520612</v>
      </c>
      <c r="O7" s="22">
        <f t="shared" si="1"/>
        <v>27.201897245396594</v>
      </c>
      <c r="P7" s="22">
        <f>54.7/2.205</f>
        <v>24.807256235827666</v>
      </c>
      <c r="Q7" s="4"/>
      <c r="R7">
        <f t="shared" si="7"/>
        <v>-4.1224577649118652</v>
      </c>
      <c r="S7">
        <f t="shared" si="2"/>
        <v>-8.0296814841461561</v>
      </c>
      <c r="T7">
        <f t="shared" si="8"/>
        <v>-9.6529861537467792</v>
      </c>
      <c r="V7">
        <f t="shared" si="9"/>
        <v>4.1224577649118652</v>
      </c>
      <c r="W7">
        <f t="shared" si="10"/>
        <v>8.0296814841461561</v>
      </c>
      <c r="X7">
        <f t="shared" si="11"/>
        <v>9.6529861537467792</v>
      </c>
      <c r="AH7">
        <v>25</v>
      </c>
      <c r="AI7">
        <v>25</v>
      </c>
    </row>
    <row r="8" spans="1:35">
      <c r="A8" s="19" t="s">
        <v>38</v>
      </c>
      <c r="B8" s="19" t="s">
        <v>36</v>
      </c>
      <c r="C8" s="19">
        <v>2018</v>
      </c>
      <c r="D8" s="19" t="s">
        <v>11</v>
      </c>
      <c r="E8" s="19">
        <v>15000</v>
      </c>
      <c r="F8" s="19">
        <v>6</v>
      </c>
      <c r="G8" s="20">
        <v>0.14000000000000001</v>
      </c>
      <c r="H8" s="21">
        <f t="shared" si="4"/>
        <v>1.9600000000000003E-2</v>
      </c>
      <c r="I8" s="22">
        <f>L8-P8</f>
        <v>32</v>
      </c>
      <c r="J8" s="22">
        <f t="shared" si="5"/>
        <v>3.4657359027997265</v>
      </c>
      <c r="K8" s="22">
        <v>0</v>
      </c>
      <c r="L8" s="22">
        <v>72</v>
      </c>
      <c r="M8" s="22">
        <f t="shared" si="6"/>
        <v>25.958883812659245</v>
      </c>
      <c r="N8" s="22">
        <f t="shared" si="0"/>
        <v>39.355382563935969</v>
      </c>
      <c r="O8" s="22">
        <f t="shared" si="1"/>
        <v>36.915675210228699</v>
      </c>
      <c r="P8" s="22">
        <v>40</v>
      </c>
      <c r="Q8" s="4"/>
      <c r="R8">
        <f t="shared" si="7"/>
        <v>35.102790468351884</v>
      </c>
      <c r="S8">
        <f t="shared" si="2"/>
        <v>1.6115435901600785</v>
      </c>
      <c r="T8">
        <f t="shared" si="8"/>
        <v>7.7108119744282524</v>
      </c>
      <c r="V8">
        <f t="shared" si="9"/>
        <v>35.102790468351884</v>
      </c>
      <c r="W8">
        <f t="shared" si="10"/>
        <v>1.6115435901600785</v>
      </c>
      <c r="X8">
        <f t="shared" si="11"/>
        <v>7.7108119744282524</v>
      </c>
      <c r="AH8">
        <v>30</v>
      </c>
      <c r="AI8">
        <v>30</v>
      </c>
    </row>
    <row r="9" spans="1:35">
      <c r="A9" s="19" t="s">
        <v>44</v>
      </c>
      <c r="B9" s="19" t="s">
        <v>45</v>
      </c>
      <c r="C9" s="19">
        <v>2011</v>
      </c>
      <c r="D9" s="19" t="s">
        <v>23</v>
      </c>
      <c r="E9" s="19">
        <f>25000*0.3048</f>
        <v>7620</v>
      </c>
      <c r="F9" s="19">
        <f>15*0.3048</f>
        <v>4.5720000000000001</v>
      </c>
      <c r="G9" s="20">
        <f>8*0.0254</f>
        <v>0.20319999999999999</v>
      </c>
      <c r="H9" s="21">
        <f t="shared" si="4"/>
        <v>4.1290239999999999E-2</v>
      </c>
      <c r="I9" s="22">
        <f>36*(1+1/4.3)/2.205</f>
        <v>20.123398196487898</v>
      </c>
      <c r="J9" s="22">
        <f t="shared" si="5"/>
        <v>3.0018832274158602</v>
      </c>
      <c r="K9" s="22">
        <f>10/2.205</f>
        <v>4.5351473922902494</v>
      </c>
      <c r="L9" s="22">
        <f>180.16/2.205</f>
        <v>81.70521541950113</v>
      </c>
      <c r="M9" s="22">
        <f t="shared" si="6"/>
        <v>61.646842498551273</v>
      </c>
      <c r="N9" s="22">
        <f t="shared" si="0"/>
        <v>47.101460612336467</v>
      </c>
      <c r="O9" s="22">
        <f t="shared" si="1"/>
        <v>48.120678146018932</v>
      </c>
      <c r="P9" s="22">
        <f>L9-K9-I9</f>
        <v>57.046669830722976</v>
      </c>
      <c r="Q9" s="4"/>
      <c r="R9">
        <f t="shared" si="7"/>
        <v>-8.0638759133155098</v>
      </c>
      <c r="S9">
        <f t="shared" si="2"/>
        <v>17.433461493716205</v>
      </c>
      <c r="T9">
        <f t="shared" si="8"/>
        <v>15.646823401244141</v>
      </c>
      <c r="V9">
        <f t="shared" si="9"/>
        <v>8.0638759133155098</v>
      </c>
      <c r="W9">
        <f t="shared" si="10"/>
        <v>17.433461493716205</v>
      </c>
      <c r="X9">
        <f t="shared" si="11"/>
        <v>15.646823401244141</v>
      </c>
      <c r="AH9">
        <v>35</v>
      </c>
      <c r="AI9">
        <v>35</v>
      </c>
    </row>
    <row r="10" spans="1:35">
      <c r="A10" s="19" t="s">
        <v>49</v>
      </c>
      <c r="B10" s="19" t="s">
        <v>50</v>
      </c>
      <c r="C10" s="19">
        <v>2018</v>
      </c>
      <c r="D10" s="19" t="s">
        <v>11</v>
      </c>
      <c r="E10" s="24">
        <f>9830*0.3048</f>
        <v>2996.1840000000002</v>
      </c>
      <c r="F10" s="19">
        <f>166.75*0.0254</f>
        <v>4.2354500000000002</v>
      </c>
      <c r="G10" s="20">
        <f>7.71*0.0254</f>
        <v>0.19583399999999998</v>
      </c>
      <c r="H10" s="21">
        <f t="shared" si="4"/>
        <v>3.8350955555999995E-2</v>
      </c>
      <c r="I10" s="22">
        <f>24.25/2.205</f>
        <v>10.997732426303855</v>
      </c>
      <c r="J10" s="22">
        <f t="shared" si="5"/>
        <v>2.3976891084846828</v>
      </c>
      <c r="K10" s="22">
        <f>8.8/2.205</f>
        <v>3.9909297052154198</v>
      </c>
      <c r="L10" s="22">
        <f>124.6/2.205</f>
        <v>56.507936507936506</v>
      </c>
      <c r="M10" s="22">
        <f t="shared" si="6"/>
        <v>56.582556736390465</v>
      </c>
      <c r="N10" s="22">
        <f t="shared" si="0"/>
        <v>40.275758495947258</v>
      </c>
      <c r="O10" s="22">
        <f t="shared" si="1"/>
        <v>42.244335881331665</v>
      </c>
      <c r="P10" s="22">
        <f>91.55/2.205</f>
        <v>41.519274376417229</v>
      </c>
      <c r="Q10" s="4"/>
      <c r="R10">
        <f t="shared" si="7"/>
        <v>-36.280215842425982</v>
      </c>
      <c r="S10">
        <f t="shared" si="2"/>
        <v>2.9950327869320446</v>
      </c>
      <c r="T10">
        <f t="shared" si="8"/>
        <v>-1.7463250882974668</v>
      </c>
      <c r="V10">
        <f t="shared" si="9"/>
        <v>36.280215842425982</v>
      </c>
      <c r="W10">
        <f t="shared" si="10"/>
        <v>2.9950327869320446</v>
      </c>
      <c r="X10">
        <f t="shared" si="11"/>
        <v>1.7463250882974668</v>
      </c>
      <c r="AH10">
        <v>40</v>
      </c>
      <c r="AI10">
        <v>40</v>
      </c>
    </row>
    <row r="11" spans="1:35">
      <c r="A11" s="19" t="s">
        <v>73</v>
      </c>
      <c r="B11" s="19" t="s">
        <v>53</v>
      </c>
      <c r="C11" s="19">
        <v>2018</v>
      </c>
      <c r="D11" s="19" t="s">
        <v>11</v>
      </c>
      <c r="E11" s="25">
        <f>30180*0.3048</f>
        <v>9198.8639999999996</v>
      </c>
      <c r="F11" s="19">
        <f>196*0.0254</f>
        <v>4.9783999999999997</v>
      </c>
      <c r="G11" s="20">
        <f>7.13*0.0254</f>
        <v>0.18110199999999999</v>
      </c>
      <c r="H11" s="21">
        <f t="shared" si="4"/>
        <v>3.2797934403999994E-2</v>
      </c>
      <c r="I11" s="22">
        <f>56.4/2.205</f>
        <v>25.578231292517007</v>
      </c>
      <c r="J11" s="22">
        <f t="shared" si="5"/>
        <v>3.2417416496052041</v>
      </c>
      <c r="K11" s="22">
        <f>9/2.205</f>
        <v>4.0816326530612246</v>
      </c>
      <c r="L11" s="22">
        <f>140/2.205</f>
        <v>63.492063492063487</v>
      </c>
      <c r="M11" s="22">
        <f t="shared" si="6"/>
        <v>47.187804992718192</v>
      </c>
      <c r="N11" s="22">
        <f t="shared" si="0"/>
        <v>45.126865417366432</v>
      </c>
      <c r="O11" s="22">
        <f t="shared" si="1"/>
        <v>44.769090998338335</v>
      </c>
      <c r="P11" s="22">
        <f>74.51/2.205</f>
        <v>33.791383219954646</v>
      </c>
      <c r="Q11" s="4"/>
      <c r="R11">
        <f t="shared" si="7"/>
        <v>-39.644490684396217</v>
      </c>
      <c r="S11">
        <f t="shared" si="2"/>
        <v>-33.545481472678816</v>
      </c>
      <c r="T11">
        <f t="shared" si="8"/>
        <v>-32.486707356510578</v>
      </c>
      <c r="V11">
        <f t="shared" si="9"/>
        <v>39.644490684396217</v>
      </c>
      <c r="W11">
        <f t="shared" si="10"/>
        <v>33.545481472678816</v>
      </c>
      <c r="X11">
        <f t="shared" si="11"/>
        <v>32.486707356510578</v>
      </c>
      <c r="AH11">
        <v>45</v>
      </c>
      <c r="AI11">
        <v>45</v>
      </c>
    </row>
    <row r="12" spans="1:35">
      <c r="A12" s="19" t="s">
        <v>74</v>
      </c>
      <c r="B12" s="19" t="s">
        <v>53</v>
      </c>
      <c r="C12" s="19">
        <v>2017</v>
      </c>
      <c r="D12" s="19" t="s">
        <v>11</v>
      </c>
      <c r="E12" s="19">
        <f>30000*0.3048</f>
        <v>9144</v>
      </c>
      <c r="F12" s="19">
        <f>201*0.0254</f>
        <v>5.1053999999999995</v>
      </c>
      <c r="G12" s="20">
        <f>7*0.0254</f>
        <v>0.17779999999999999</v>
      </c>
      <c r="H12" s="21">
        <f t="shared" si="4"/>
        <v>3.1612839999999996E-2</v>
      </c>
      <c r="I12" s="22">
        <f>L12-K12-P12</f>
        <v>25.396825396825406</v>
      </c>
      <c r="J12" s="22">
        <f t="shared" si="5"/>
        <v>3.2346241818363404</v>
      </c>
      <c r="K12" s="22">
        <f>8.8/2.205</f>
        <v>3.9909297052154198</v>
      </c>
      <c r="L12" s="22">
        <f>174.8/2.205</f>
        <v>79.274376417233569</v>
      </c>
      <c r="M12" s="22">
        <f t="shared" si="6"/>
        <v>45.214395950656581</v>
      </c>
      <c r="N12" s="22">
        <f t="shared" si="0"/>
        <v>44.270231658665544</v>
      </c>
      <c r="O12" s="22">
        <f t="shared" si="1"/>
        <v>43.834937156236407</v>
      </c>
      <c r="P12" s="22">
        <f>110/2.205</f>
        <v>49.886621315192741</v>
      </c>
      <c r="Q12" s="4"/>
      <c r="R12">
        <f t="shared" si="7"/>
        <v>9.3656881170929402</v>
      </c>
      <c r="S12">
        <f t="shared" si="2"/>
        <v>11.258308356947699</v>
      </c>
      <c r="T12">
        <f t="shared" si="8"/>
        <v>12.130875973180652</v>
      </c>
      <c r="V12">
        <f t="shared" si="9"/>
        <v>9.3656881170929402</v>
      </c>
      <c r="W12">
        <f t="shared" si="10"/>
        <v>11.258308356947699</v>
      </c>
      <c r="X12">
        <f t="shared" si="11"/>
        <v>12.130875973180652</v>
      </c>
      <c r="AH12">
        <v>50</v>
      </c>
      <c r="AI12">
        <v>50</v>
      </c>
    </row>
    <row r="13" spans="1:35">
      <c r="A13" s="19" t="s">
        <v>56</v>
      </c>
      <c r="B13" s="19" t="s">
        <v>45</v>
      </c>
      <c r="C13" s="19">
        <v>2018</v>
      </c>
      <c r="D13" s="19" t="s">
        <v>57</v>
      </c>
      <c r="E13" s="19">
        <v>1837</v>
      </c>
      <c r="F13" s="19">
        <f>131*0.0254</f>
        <v>3.3273999999999999</v>
      </c>
      <c r="G13" s="20">
        <f>6.08*0.0254</f>
        <v>0.15443199999999999</v>
      </c>
      <c r="H13" s="21">
        <f t="shared" si="4"/>
        <v>2.3849242623999997E-2</v>
      </c>
      <c r="I13" s="22">
        <f>12.6/2.205</f>
        <v>5.7142857142857135</v>
      </c>
      <c r="J13" s="22">
        <f t="shared" si="5"/>
        <v>1.7429693050586228</v>
      </c>
      <c r="K13" s="22">
        <f>9/2.205</f>
        <v>4.0816326530612246</v>
      </c>
      <c r="L13" s="22">
        <f>58.8/2.205</f>
        <v>26.666666666666664</v>
      </c>
      <c r="M13" s="22">
        <f t="shared" si="6"/>
        <v>32.599254849985542</v>
      </c>
      <c r="N13" s="22">
        <f t="shared" si="0"/>
        <v>27.839213593962313</v>
      </c>
      <c r="O13" s="22">
        <f t="shared" si="1"/>
        <v>29.223018003527891</v>
      </c>
      <c r="P13" s="22">
        <f>37.2/2.205</f>
        <v>16.870748299319729</v>
      </c>
      <c r="Q13" s="4"/>
      <c r="R13">
        <f t="shared" si="7"/>
        <v>-93.229454151123974</v>
      </c>
      <c r="S13">
        <f t="shared" si="2"/>
        <v>-65.014693480341123</v>
      </c>
      <c r="T13">
        <f t="shared" si="8"/>
        <v>-73.217082520911276</v>
      </c>
      <c r="V13">
        <f t="shared" si="9"/>
        <v>93.229454151123974</v>
      </c>
      <c r="W13">
        <f t="shared" si="10"/>
        <v>65.014693480341123</v>
      </c>
      <c r="X13">
        <f t="shared" si="11"/>
        <v>73.217082520911276</v>
      </c>
      <c r="AH13">
        <v>55</v>
      </c>
      <c r="AI13">
        <v>55</v>
      </c>
    </row>
    <row r="14" spans="1:35">
      <c r="AH14">
        <v>60</v>
      </c>
      <c r="AI14">
        <v>60</v>
      </c>
    </row>
    <row r="15" spans="1:35">
      <c r="K15" s="15" t="s">
        <v>120</v>
      </c>
      <c r="M15" s="15"/>
      <c r="U15" s="15" t="s">
        <v>117</v>
      </c>
      <c r="V15">
        <f>AVERAGE(V2:V13)</f>
        <v>32.622628118126265</v>
      </c>
      <c r="W15">
        <f t="shared" ref="W15:X15" si="12">AVERAGE(W2:W13)</f>
        <v>24.043114747609554</v>
      </c>
      <c r="X15">
        <f t="shared" si="12"/>
        <v>24.744136964214679</v>
      </c>
      <c r="AH15">
        <v>65</v>
      </c>
      <c r="AI15">
        <v>65</v>
      </c>
    </row>
    <row r="16" spans="1:35">
      <c r="K16" s="15" t="s">
        <v>111</v>
      </c>
      <c r="L16" s="15" t="s">
        <v>112</v>
      </c>
      <c r="U16" s="15" t="s">
        <v>118</v>
      </c>
      <c r="V16">
        <f>MAX(V2:V13)</f>
        <v>93.229454151123974</v>
      </c>
      <c r="W16">
        <f t="shared" ref="W16:X16" si="13">MAX(W2:W13)</f>
        <v>86.817915407179598</v>
      </c>
      <c r="X16">
        <f t="shared" si="13"/>
        <v>79.12646581100968</v>
      </c>
      <c r="AH16">
        <v>70</v>
      </c>
      <c r="AI16">
        <v>70</v>
      </c>
    </row>
    <row r="17" spans="11:35">
      <c r="K17">
        <v>0.56355405486282895</v>
      </c>
      <c r="L17">
        <v>0.43486578328326297</v>
      </c>
      <c r="U17" s="15" t="s">
        <v>119</v>
      </c>
      <c r="V17">
        <f>MIN(V2:V13)</f>
        <v>4.1224577649118652</v>
      </c>
      <c r="W17">
        <f t="shared" ref="W17:X17" si="14">MIN(W2:W13)</f>
        <v>1.6115435901600785</v>
      </c>
      <c r="X17">
        <f t="shared" si="14"/>
        <v>1.7463250882974668</v>
      </c>
      <c r="AH17">
        <v>75</v>
      </c>
      <c r="AI17">
        <v>75</v>
      </c>
    </row>
    <row r="18" spans="11:35">
      <c r="K18">
        <v>228.468119505711</v>
      </c>
      <c r="L18">
        <v>259.01472597813199</v>
      </c>
      <c r="AH18">
        <v>80</v>
      </c>
      <c r="AI18">
        <v>80</v>
      </c>
    </row>
    <row r="19" spans="11:35">
      <c r="K19">
        <v>-10.663883922474101</v>
      </c>
      <c r="L19">
        <v>-13.2620914917742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815E-C57E-458F-9E33-5BE6A7BF6302}">
  <dimension ref="A1:I40"/>
  <sheetViews>
    <sheetView topLeftCell="E1" workbookViewId="0">
      <selection sqref="A1:I40"/>
    </sheetView>
  </sheetViews>
  <sheetFormatPr defaultRowHeight="14.5"/>
  <sheetData>
    <row r="1" spans="1:9">
      <c r="A1" t="s">
        <v>75</v>
      </c>
    </row>
    <row r="2" spans="1:9" ht="15" thickBot="1"/>
    <row r="3" spans="1:9">
      <c r="A3" s="13" t="s">
        <v>76</v>
      </c>
      <c r="B3" s="13"/>
    </row>
    <row r="4" spans="1:9">
      <c r="A4" s="10" t="s">
        <v>77</v>
      </c>
      <c r="B4" s="10">
        <v>0.84207565873798118</v>
      </c>
    </row>
    <row r="5" spans="1:9">
      <c r="A5" s="10" t="s">
        <v>78</v>
      </c>
      <c r="B5" s="10">
        <v>0.70909141503900486</v>
      </c>
    </row>
    <row r="6" spans="1:9">
      <c r="A6" s="10" t="s">
        <v>79</v>
      </c>
      <c r="B6" s="10">
        <v>0.68831223039893374</v>
      </c>
    </row>
    <row r="7" spans="1:9">
      <c r="A7" s="10" t="s">
        <v>80</v>
      </c>
      <c r="B7" s="10">
        <v>14.147255203738981</v>
      </c>
    </row>
    <row r="8" spans="1:9" ht="15" thickBot="1">
      <c r="A8" s="11" t="s">
        <v>81</v>
      </c>
      <c r="B8" s="11">
        <v>16</v>
      </c>
    </row>
    <row r="10" spans="1:9" ht="15" thickBot="1">
      <c r="A10" t="s">
        <v>82</v>
      </c>
    </row>
    <row r="11" spans="1:9">
      <c r="A11" s="12"/>
      <c r="B11" s="12" t="s">
        <v>87</v>
      </c>
      <c r="C11" s="12" t="s">
        <v>88</v>
      </c>
      <c r="D11" s="12" t="s">
        <v>89</v>
      </c>
      <c r="E11" s="12" t="s">
        <v>90</v>
      </c>
      <c r="F11" s="12" t="s">
        <v>91</v>
      </c>
    </row>
    <row r="12" spans="1:9">
      <c r="A12" s="10" t="s">
        <v>83</v>
      </c>
      <c r="B12" s="10">
        <v>1</v>
      </c>
      <c r="C12" s="10">
        <v>6829.9590688337303</v>
      </c>
      <c r="D12" s="10">
        <v>6829.9590688337303</v>
      </c>
      <c r="E12" s="10">
        <v>34.125083698980951</v>
      </c>
      <c r="F12" s="10">
        <v>4.2805622781845389E-5</v>
      </c>
    </row>
    <row r="13" spans="1:9">
      <c r="A13" s="10" t="s">
        <v>84</v>
      </c>
      <c r="B13" s="10">
        <v>14</v>
      </c>
      <c r="C13" s="10">
        <v>2802.0276171960754</v>
      </c>
      <c r="D13" s="10">
        <v>200.14482979971967</v>
      </c>
      <c r="E13" s="10"/>
      <c r="F13" s="10"/>
    </row>
    <row r="14" spans="1:9" ht="15" thickBot="1">
      <c r="A14" s="11" t="s">
        <v>85</v>
      </c>
      <c r="B14" s="11">
        <v>15</v>
      </c>
      <c r="C14" s="11">
        <v>9631.9866860298062</v>
      </c>
      <c r="D14" s="11"/>
      <c r="E14" s="11"/>
      <c r="F14" s="11"/>
    </row>
    <row r="15" spans="1:9" ht="15" thickBot="1"/>
    <row r="16" spans="1:9">
      <c r="A16" s="12"/>
      <c r="B16" s="12" t="s">
        <v>92</v>
      </c>
      <c r="C16" s="12" t="s">
        <v>80</v>
      </c>
      <c r="D16" s="12" t="s">
        <v>93</v>
      </c>
      <c r="E16" s="12" t="s">
        <v>94</v>
      </c>
      <c r="F16" s="12" t="s">
        <v>95</v>
      </c>
      <c r="G16" s="12" t="s">
        <v>96</v>
      </c>
      <c r="H16" s="12" t="s">
        <v>97</v>
      </c>
      <c r="I16" s="12" t="s">
        <v>98</v>
      </c>
    </row>
    <row r="17" spans="1:9">
      <c r="A17" s="10" t="s">
        <v>86</v>
      </c>
      <c r="B17" s="10">
        <v>18.790166896644028</v>
      </c>
      <c r="C17" s="10">
        <v>5.1507527051702153</v>
      </c>
      <c r="D17" s="10">
        <v>3.6480429118219675</v>
      </c>
      <c r="E17" s="10">
        <v>2.635061003315879E-3</v>
      </c>
      <c r="F17" s="10">
        <v>7.7429010618383298</v>
      </c>
      <c r="G17" s="10">
        <v>29.837432731449724</v>
      </c>
      <c r="H17" s="10">
        <v>7.7429010618383298</v>
      </c>
      <c r="I17" s="10">
        <v>29.837432731449724</v>
      </c>
    </row>
    <row r="18" spans="1:9" ht="15" thickBot="1">
      <c r="A18" s="11" t="s">
        <v>102</v>
      </c>
      <c r="B18" s="11">
        <v>0.81889933562843731</v>
      </c>
      <c r="C18" s="11">
        <v>0.14018245328309703</v>
      </c>
      <c r="D18" s="11">
        <v>5.8416678867409919</v>
      </c>
      <c r="E18" s="11">
        <v>4.2805622781845389E-5</v>
      </c>
      <c r="F18" s="11">
        <v>0.51823787594719128</v>
      </c>
      <c r="G18" s="11">
        <v>1.1195607953096833</v>
      </c>
      <c r="H18" s="11">
        <v>0.51823787594719128</v>
      </c>
      <c r="I18" s="11">
        <v>1.1195607953096833</v>
      </c>
    </row>
    <row r="22" spans="1:9">
      <c r="A22" t="s">
        <v>99</v>
      </c>
      <c r="F22" t="s">
        <v>105</v>
      </c>
    </row>
    <row r="23" spans="1:9" ht="15" thickBot="1"/>
    <row r="24" spans="1:9">
      <c r="A24" s="12" t="s">
        <v>100</v>
      </c>
      <c r="B24" s="12" t="s">
        <v>103</v>
      </c>
      <c r="C24" s="12" t="s">
        <v>101</v>
      </c>
      <c r="D24" s="12" t="s">
        <v>104</v>
      </c>
      <c r="F24" s="12" t="s">
        <v>106</v>
      </c>
      <c r="G24" s="12" t="s">
        <v>107</v>
      </c>
    </row>
    <row r="25" spans="1:9">
      <c r="A25" s="10">
        <v>1</v>
      </c>
      <c r="B25" s="10">
        <v>36.616546991956952</v>
      </c>
      <c r="C25" s="10">
        <v>18.349439402600872</v>
      </c>
      <c r="D25" s="10">
        <v>1.342555426754571</v>
      </c>
      <c r="F25" s="10">
        <v>3.125</v>
      </c>
      <c r="G25" s="10">
        <v>1.732</v>
      </c>
    </row>
    <row r="26" spans="1:9">
      <c r="A26" s="10">
        <v>2</v>
      </c>
      <c r="B26" s="10">
        <v>20.069287658895647</v>
      </c>
      <c r="C26" s="10">
        <v>-18.337287658895647</v>
      </c>
      <c r="D26" s="10">
        <v>-1.3416663320472053</v>
      </c>
      <c r="F26" s="10">
        <v>9.375</v>
      </c>
      <c r="G26" s="10">
        <v>8</v>
      </c>
    </row>
    <row r="27" spans="1:9">
      <c r="A27" s="10">
        <v>3</v>
      </c>
      <c r="B27" s="10">
        <v>50.357714982093988</v>
      </c>
      <c r="C27" s="10">
        <v>-22.693315889123468</v>
      </c>
      <c r="D27" s="10">
        <v>-1.6603795750664736</v>
      </c>
      <c r="F27" s="10">
        <v>15.625</v>
      </c>
      <c r="G27" s="10">
        <v>16.870748299319729</v>
      </c>
    </row>
    <row r="28" spans="1:9">
      <c r="A28" s="10">
        <v>4</v>
      </c>
      <c r="B28" s="10">
        <v>48.581724726806584</v>
      </c>
      <c r="C28" s="10">
        <v>9.0382752731934133</v>
      </c>
      <c r="D28" s="10">
        <v>0.66129461779674459</v>
      </c>
      <c r="F28" s="10">
        <v>21.875</v>
      </c>
      <c r="G28" s="10">
        <v>19.09297052154195</v>
      </c>
    </row>
    <row r="29" spans="1:9">
      <c r="A29" s="10">
        <v>5</v>
      </c>
      <c r="B29" s="10">
        <v>21.083085036403652</v>
      </c>
      <c r="C29" s="10">
        <v>-13.083085036403652</v>
      </c>
      <c r="D29" s="10">
        <v>-0.95723724463351145</v>
      </c>
      <c r="F29" s="10">
        <v>28.125</v>
      </c>
      <c r="G29" s="10">
        <v>24.807256235827666</v>
      </c>
    </row>
    <row r="30" spans="1:9">
      <c r="A30" s="10">
        <v>6</v>
      </c>
      <c r="B30" s="10">
        <v>23.321038504202729</v>
      </c>
      <c r="C30" s="10">
        <v>-4.2280679826607788</v>
      </c>
      <c r="D30" s="10">
        <v>-0.30935090115090369</v>
      </c>
      <c r="F30" s="10">
        <v>34.375</v>
      </c>
      <c r="G30" s="10">
        <v>27.66439909297052</v>
      </c>
    </row>
    <row r="31" spans="1:9">
      <c r="A31" s="10">
        <v>7</v>
      </c>
      <c r="B31" s="10">
        <v>33.645483642738128</v>
      </c>
      <c r="C31" s="10">
        <v>8.9849018447902154</v>
      </c>
      <c r="D31" s="10">
        <v>0.65738949653527146</v>
      </c>
      <c r="F31" s="10">
        <v>40.625</v>
      </c>
      <c r="G31" s="10">
        <v>33.791383219954646</v>
      </c>
    </row>
    <row r="32" spans="1:9">
      <c r="A32" s="10">
        <v>8</v>
      </c>
      <c r="B32" s="10">
        <v>26.849176231400072</v>
      </c>
      <c r="C32" s="10">
        <v>-2.0419199955724068</v>
      </c>
      <c r="D32" s="10">
        <v>-0.14939915661215439</v>
      </c>
      <c r="F32" s="10">
        <v>46.875</v>
      </c>
      <c r="G32" s="10">
        <v>40</v>
      </c>
    </row>
    <row r="33" spans="1:7">
      <c r="A33" s="10">
        <v>9</v>
      </c>
      <c r="B33" s="10">
        <v>44.994945636754025</v>
      </c>
      <c r="C33" s="10">
        <v>-4.994945636754025</v>
      </c>
      <c r="D33" s="10">
        <v>-0.36546028594299546</v>
      </c>
      <c r="F33" s="10">
        <v>53.125</v>
      </c>
      <c r="G33" s="10">
        <v>41.519274376417229</v>
      </c>
    </row>
    <row r="34" spans="1:7">
      <c r="A34" s="10">
        <v>10</v>
      </c>
      <c r="B34" s="10">
        <v>90.853308431946502</v>
      </c>
      <c r="C34" s="10">
        <v>-15.853308431946502</v>
      </c>
      <c r="D34" s="10">
        <v>-1.1599234614386618</v>
      </c>
      <c r="F34" s="10">
        <v>59.375</v>
      </c>
      <c r="G34" s="10">
        <v>42.630385487528343</v>
      </c>
    </row>
    <row r="35" spans="1:7">
      <c r="A35" s="10">
        <v>11</v>
      </c>
      <c r="B35" s="10">
        <v>35.269204310334459</v>
      </c>
      <c r="C35" s="10">
        <v>21.777465520388517</v>
      </c>
      <c r="D35" s="10">
        <v>1.593370449846768</v>
      </c>
      <c r="F35" s="10">
        <v>65.625</v>
      </c>
      <c r="G35" s="10">
        <v>49.886621315192741</v>
      </c>
    </row>
    <row r="36" spans="1:7">
      <c r="A36" s="10">
        <v>12</v>
      </c>
      <c r="B36" s="10">
        <v>27.796202673963577</v>
      </c>
      <c r="C36" s="10">
        <v>13.723071702453652</v>
      </c>
      <c r="D36" s="10">
        <v>1.0040625210195686</v>
      </c>
      <c r="F36" s="10">
        <v>71.875</v>
      </c>
      <c r="G36" s="10">
        <v>54.965986394557824</v>
      </c>
    </row>
    <row r="37" spans="1:7">
      <c r="A37" s="10">
        <v>13</v>
      </c>
      <c r="B37" s="10">
        <v>39.736163508636707</v>
      </c>
      <c r="C37" s="10">
        <v>-5.9447802886820611</v>
      </c>
      <c r="D37" s="10">
        <v>-0.43495590586284838</v>
      </c>
      <c r="F37" s="10">
        <v>78.125</v>
      </c>
      <c r="G37" s="10">
        <v>57.046669830722976</v>
      </c>
    </row>
    <row r="38" spans="1:7">
      <c r="A38" s="10">
        <v>14</v>
      </c>
      <c r="B38" s="10">
        <v>39.587610341175775</v>
      </c>
      <c r="C38" s="10">
        <v>10.299010974016966</v>
      </c>
      <c r="D38" s="10">
        <v>0.75353762967883919</v>
      </c>
      <c r="F38" s="10">
        <v>84.375</v>
      </c>
      <c r="G38" s="10">
        <v>57.62</v>
      </c>
    </row>
    <row r="39" spans="1:7">
      <c r="A39" s="10">
        <v>15</v>
      </c>
      <c r="B39" s="10">
        <v>23.469591671663668</v>
      </c>
      <c r="C39" s="10">
        <v>-6.5988433723439393</v>
      </c>
      <c r="D39" s="10">
        <v>-0.48281109768334718</v>
      </c>
      <c r="F39" s="10">
        <v>90.625</v>
      </c>
      <c r="G39" s="10">
        <v>75</v>
      </c>
    </row>
    <row r="40" spans="1:7" ht="15" thickBot="1">
      <c r="A40" s="11">
        <v>16</v>
      </c>
      <c r="B40" s="11">
        <v>88.396610425061198</v>
      </c>
      <c r="C40" s="11">
        <v>11.603389574938802</v>
      </c>
      <c r="D40" s="11">
        <v>0.84897381880633538</v>
      </c>
      <c r="F40" s="11">
        <v>96.875</v>
      </c>
      <c r="G40" s="11">
        <v>100</v>
      </c>
    </row>
  </sheetData>
  <sortState ref="G25:G40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981EB-4C23-40D7-81D4-77F26EF36C30}">
  <dimension ref="A1:I40"/>
  <sheetViews>
    <sheetView workbookViewId="0">
      <selection activeCell="B22" sqref="B22"/>
    </sheetView>
  </sheetViews>
  <sheetFormatPr defaultRowHeight="14.5"/>
  <cols>
    <col min="1" max="1" width="12.54296875" customWidth="1"/>
    <col min="2" max="2" width="11.81640625" customWidth="1"/>
  </cols>
  <sheetData>
    <row r="1" spans="1:9">
      <c r="A1" t="s">
        <v>75</v>
      </c>
    </row>
    <row r="2" spans="1:9" ht="15" thickBot="1"/>
    <row r="3" spans="1:9">
      <c r="A3" s="13" t="s">
        <v>76</v>
      </c>
      <c r="B3" s="13"/>
    </row>
    <row r="4" spans="1:9">
      <c r="A4" s="10" t="s">
        <v>77</v>
      </c>
      <c r="B4" s="10">
        <v>0.78342991593986722</v>
      </c>
    </row>
    <row r="5" spans="1:9">
      <c r="A5" s="10" t="s">
        <v>78</v>
      </c>
      <c r="B5" s="10">
        <v>0.61376243318954748</v>
      </c>
    </row>
    <row r="6" spans="1:9">
      <c r="A6" s="10" t="s">
        <v>79</v>
      </c>
      <c r="B6" s="10">
        <v>0.5861740355602294</v>
      </c>
    </row>
    <row r="7" spans="1:9">
      <c r="A7" s="10" t="s">
        <v>80</v>
      </c>
      <c r="B7" s="10">
        <v>16.301260032724084</v>
      </c>
    </row>
    <row r="8" spans="1:9" ht="15" thickBot="1">
      <c r="A8" s="11" t="s">
        <v>81</v>
      </c>
      <c r="B8" s="11">
        <v>16</v>
      </c>
    </row>
    <row r="10" spans="1:9" ht="15" thickBot="1">
      <c r="A10" t="s">
        <v>82</v>
      </c>
    </row>
    <row r="11" spans="1:9">
      <c r="A11" s="12"/>
      <c r="B11" s="12" t="s">
        <v>87</v>
      </c>
      <c r="C11" s="12" t="s">
        <v>88</v>
      </c>
      <c r="D11" s="12" t="s">
        <v>89</v>
      </c>
      <c r="E11" s="12" t="s">
        <v>90</v>
      </c>
      <c r="F11" s="12" t="s">
        <v>91</v>
      </c>
    </row>
    <row r="12" spans="1:9">
      <c r="A12" s="10" t="s">
        <v>83</v>
      </c>
      <c r="B12" s="10">
        <v>1</v>
      </c>
      <c r="C12" s="10">
        <v>5911.75158486698</v>
      </c>
      <c r="D12" s="10">
        <v>5911.75158486698</v>
      </c>
      <c r="E12" s="10">
        <v>22.247121468820126</v>
      </c>
      <c r="F12" s="10">
        <v>3.3059691824459332E-4</v>
      </c>
    </row>
    <row r="13" spans="1:9">
      <c r="A13" s="10" t="s">
        <v>84</v>
      </c>
      <c r="B13" s="10">
        <v>14</v>
      </c>
      <c r="C13" s="10">
        <v>3720.2351011628261</v>
      </c>
      <c r="D13" s="10">
        <v>265.73107865448759</v>
      </c>
      <c r="E13" s="10"/>
      <c r="F13" s="10"/>
    </row>
    <row r="14" spans="1:9" ht="15" thickBot="1">
      <c r="A14" s="11" t="s">
        <v>85</v>
      </c>
      <c r="B14" s="11">
        <v>15</v>
      </c>
      <c r="C14" s="11">
        <v>9631.9866860298062</v>
      </c>
      <c r="D14" s="11"/>
      <c r="E14" s="11"/>
      <c r="F14" s="11"/>
    </row>
    <row r="15" spans="1:9" ht="15" thickBot="1"/>
    <row r="16" spans="1:9">
      <c r="A16" s="12"/>
      <c r="B16" s="12" t="s">
        <v>92</v>
      </c>
      <c r="C16" s="12" t="s">
        <v>80</v>
      </c>
      <c r="D16" s="12" t="s">
        <v>93</v>
      </c>
      <c r="E16" s="12" t="s">
        <v>94</v>
      </c>
      <c r="F16" s="12" t="s">
        <v>95</v>
      </c>
      <c r="G16" s="12" t="s">
        <v>96</v>
      </c>
      <c r="H16" s="12" t="s">
        <v>97</v>
      </c>
      <c r="I16" s="12" t="s">
        <v>98</v>
      </c>
    </row>
    <row r="17" spans="1:9">
      <c r="A17" s="10" t="s">
        <v>86</v>
      </c>
      <c r="B17" s="10">
        <v>-25.710173604700472</v>
      </c>
      <c r="C17" s="10">
        <v>14.650480513033642</v>
      </c>
      <c r="D17" s="10">
        <v>-1.7549030956239076</v>
      </c>
      <c r="E17" s="10">
        <v>0.10112477593742647</v>
      </c>
      <c r="F17" s="10">
        <v>-57.132329180654231</v>
      </c>
      <c r="G17" s="10">
        <v>5.7119819712532873</v>
      </c>
      <c r="H17" s="10">
        <v>-57.132329180654231</v>
      </c>
      <c r="I17" s="10">
        <v>5.7119819712532873</v>
      </c>
    </row>
    <row r="18" spans="1:9" ht="15" thickBot="1">
      <c r="A18" s="11" t="s">
        <v>102</v>
      </c>
      <c r="B18" s="11">
        <v>418.03769003732504</v>
      </c>
      <c r="C18" s="11">
        <v>88.629546325060517</v>
      </c>
      <c r="D18" s="11">
        <v>4.7166854324642129</v>
      </c>
      <c r="E18" s="11">
        <v>3.305969182445937E-4</v>
      </c>
      <c r="F18" s="11">
        <v>227.94621892314089</v>
      </c>
      <c r="G18" s="11">
        <v>608.12916115150915</v>
      </c>
      <c r="H18" s="11">
        <v>227.94621892314089</v>
      </c>
      <c r="I18" s="11">
        <v>608.12916115150915</v>
      </c>
    </row>
    <row r="22" spans="1:9">
      <c r="A22" t="s">
        <v>99</v>
      </c>
      <c r="F22" t="s">
        <v>105</v>
      </c>
    </row>
    <row r="23" spans="1:9" ht="15" thickBot="1"/>
    <row r="24" spans="1:9">
      <c r="A24" s="12" t="s">
        <v>100</v>
      </c>
      <c r="B24" s="12" t="s">
        <v>103</v>
      </c>
      <c r="C24" s="12" t="s">
        <v>101</v>
      </c>
      <c r="D24" s="12" t="s">
        <v>104</v>
      </c>
      <c r="F24" s="12" t="s">
        <v>106</v>
      </c>
      <c r="G24" s="12" t="s">
        <v>107</v>
      </c>
    </row>
    <row r="25" spans="1:9">
      <c r="A25" s="10">
        <v>1</v>
      </c>
      <c r="B25" s="10">
        <v>59.235085010883978</v>
      </c>
      <c r="C25" s="10">
        <v>-4.2690986163261542</v>
      </c>
      <c r="D25" s="10">
        <v>-0.27107946735242183</v>
      </c>
      <c r="F25" s="10">
        <v>3.125</v>
      </c>
      <c r="G25" s="10">
        <v>1.732</v>
      </c>
    </row>
    <row r="26" spans="1:9">
      <c r="A26" s="10">
        <v>2</v>
      </c>
      <c r="B26" s="10">
        <v>-4.4738589508043596</v>
      </c>
      <c r="C26" s="10">
        <v>6.2058589508043598</v>
      </c>
      <c r="D26" s="10">
        <v>0.39405998550017585</v>
      </c>
      <c r="F26" s="10">
        <v>9.375</v>
      </c>
      <c r="G26" s="10">
        <v>8</v>
      </c>
    </row>
    <row r="27" spans="1:9">
      <c r="A27" s="10">
        <v>3</v>
      </c>
      <c r="B27" s="10">
        <v>48.616927683935913</v>
      </c>
      <c r="C27" s="10">
        <v>-20.952528590965393</v>
      </c>
      <c r="D27" s="10">
        <v>-1.3304448551280217</v>
      </c>
      <c r="F27" s="10">
        <v>15.625</v>
      </c>
      <c r="G27" s="10">
        <v>16.870748299319729</v>
      </c>
    </row>
    <row r="28" spans="1:9">
      <c r="A28" s="10">
        <v>4</v>
      </c>
      <c r="B28" s="10">
        <v>41.175856801271536</v>
      </c>
      <c r="C28" s="10">
        <v>16.444143198728462</v>
      </c>
      <c r="D28" s="10">
        <v>1.0441711424353053</v>
      </c>
      <c r="F28" s="10">
        <v>21.875</v>
      </c>
      <c r="G28" s="10">
        <v>19.09297052154195</v>
      </c>
    </row>
    <row r="29" spans="1:9">
      <c r="A29" s="10">
        <v>5</v>
      </c>
      <c r="B29" s="10">
        <v>6.1442983761436913</v>
      </c>
      <c r="C29" s="10">
        <v>1.8557016238563087</v>
      </c>
      <c r="D29" s="10">
        <v>0.11783344751892715</v>
      </c>
      <c r="F29" s="10">
        <v>28.125</v>
      </c>
      <c r="G29" s="10">
        <v>24.807256235827666</v>
      </c>
    </row>
    <row r="30" spans="1:9">
      <c r="A30" s="10">
        <v>6</v>
      </c>
      <c r="B30" s="10">
        <v>19.416995034828759</v>
      </c>
      <c r="C30" s="10">
        <v>-0.32402451328680826</v>
      </c>
      <c r="D30" s="10">
        <v>-2.0574927019724087E-2</v>
      </c>
      <c r="F30" s="10">
        <v>34.375</v>
      </c>
      <c r="G30" s="10">
        <v>27.66439909297052</v>
      </c>
    </row>
    <row r="31" spans="1:9">
      <c r="A31" s="10">
        <v>7</v>
      </c>
      <c r="B31" s="10">
        <v>37.998770356987855</v>
      </c>
      <c r="C31" s="10">
        <v>4.6316151305404887</v>
      </c>
      <c r="D31" s="10">
        <v>0.29409856164175613</v>
      </c>
      <c r="F31" s="10">
        <v>40.625</v>
      </c>
      <c r="G31" s="10">
        <v>33.791383219954646</v>
      </c>
    </row>
    <row r="32" spans="1:9">
      <c r="A32" s="10">
        <v>8</v>
      </c>
      <c r="B32" s="10">
        <v>32.689691693513829</v>
      </c>
      <c r="C32" s="10">
        <v>-7.8824354576861637</v>
      </c>
      <c r="D32" s="10">
        <v>-0.50051933612820576</v>
      </c>
      <c r="F32" s="10">
        <v>46.875</v>
      </c>
      <c r="G32" s="10">
        <v>40</v>
      </c>
    </row>
    <row r="33" spans="1:7">
      <c r="A33" s="10">
        <v>9</v>
      </c>
      <c r="B33" s="10">
        <v>32.815103000525042</v>
      </c>
      <c r="C33" s="10">
        <v>7.1848969994749581</v>
      </c>
      <c r="D33" s="10">
        <v>0.45622699933687477</v>
      </c>
      <c r="F33" s="10">
        <v>53.125</v>
      </c>
      <c r="G33" s="10">
        <v>41.519274376417229</v>
      </c>
    </row>
    <row r="34" spans="1:7">
      <c r="A34" s="10">
        <v>10</v>
      </c>
      <c r="B34" s="10">
        <v>66.258118203511032</v>
      </c>
      <c r="C34" s="10">
        <v>8.7418817964889683</v>
      </c>
      <c r="D34" s="10">
        <v>0.55509250875291005</v>
      </c>
      <c r="F34" s="10">
        <v>59.375</v>
      </c>
      <c r="G34" s="10">
        <v>42.630385487528343</v>
      </c>
    </row>
    <row r="35" spans="1:7">
      <c r="A35" s="10">
        <v>11</v>
      </c>
      <c r="B35" s="10">
        <v>59.235085010883978</v>
      </c>
      <c r="C35" s="10">
        <v>-2.1884151801610017</v>
      </c>
      <c r="D35" s="10">
        <v>-0.13896011188762761</v>
      </c>
      <c r="F35" s="10">
        <v>65.625</v>
      </c>
      <c r="G35" s="10">
        <v>49.886621315192741</v>
      </c>
    </row>
    <row r="36" spans="1:7">
      <c r="A36" s="10">
        <v>12</v>
      </c>
      <c r="B36" s="10">
        <v>56.155819386069027</v>
      </c>
      <c r="C36" s="10">
        <v>-14.636545009651797</v>
      </c>
      <c r="D36" s="10">
        <v>-0.92939216956074922</v>
      </c>
      <c r="F36" s="10">
        <v>71.875</v>
      </c>
      <c r="G36" s="10">
        <v>54.965986394557824</v>
      </c>
    </row>
    <row r="37" spans="1:7">
      <c r="A37" s="10">
        <v>13</v>
      </c>
      <c r="B37" s="10">
        <v>49.997288136439167</v>
      </c>
      <c r="C37" s="10">
        <v>-16.205904916484521</v>
      </c>
      <c r="D37" s="10">
        <v>-1.0290434744056498</v>
      </c>
      <c r="F37" s="10">
        <v>78.125</v>
      </c>
      <c r="G37" s="10">
        <v>57.046669830722976</v>
      </c>
    </row>
    <row r="38" spans="1:7">
      <c r="A38" s="10">
        <v>14</v>
      </c>
      <c r="B38" s="10">
        <v>48.616927683935913</v>
      </c>
      <c r="C38" s="10">
        <v>1.2696936312568283</v>
      </c>
      <c r="D38" s="10">
        <v>8.0623078592187702E-2</v>
      </c>
      <c r="F38" s="10">
        <v>84.375</v>
      </c>
      <c r="G38" s="10">
        <v>57.62</v>
      </c>
    </row>
    <row r="39" spans="1:7">
      <c r="A39" s="10">
        <v>15</v>
      </c>
      <c r="B39" s="10">
        <v>38.848222943143696</v>
      </c>
      <c r="C39" s="10">
        <v>-21.977474643823967</v>
      </c>
      <c r="D39" s="10">
        <v>-1.3955269380322042</v>
      </c>
      <c r="F39" s="10">
        <v>90.625</v>
      </c>
      <c r="G39" s="10">
        <v>75</v>
      </c>
    </row>
    <row r="40" spans="1:7" ht="15" thickBot="1">
      <c r="A40" s="11">
        <v>16</v>
      </c>
      <c r="B40" s="11">
        <v>57.897364402764538</v>
      </c>
      <c r="C40" s="11">
        <v>42.102635597235462</v>
      </c>
      <c r="D40" s="11">
        <v>2.6734355557364688</v>
      </c>
      <c r="F40" s="11">
        <v>96.875</v>
      </c>
      <c r="G40" s="11">
        <v>100</v>
      </c>
    </row>
  </sheetData>
  <sortState ref="G25:G40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Calcs</vt:lpstr>
      <vt:lpstr>Propellant Regression</vt:lpstr>
      <vt:lpstr>Diameter 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Klammer</dc:creator>
  <cp:lastModifiedBy>Benjamin Klammer</cp:lastModifiedBy>
  <dcterms:created xsi:type="dcterms:W3CDTF">2019-02-22T04:17:21Z</dcterms:created>
  <dcterms:modified xsi:type="dcterms:W3CDTF">2019-04-17T20:50:25Z</dcterms:modified>
</cp:coreProperties>
</file>