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enkl\OneDrive\Documents\UVic\Rocketry\MECH 498\Models\"/>
    </mc:Choice>
  </mc:AlternateContent>
  <xr:revisionPtr revIDLastSave="0" documentId="13_ncr:1_{99CBC902-CC99-4DBC-87BE-A76FC63AE7E4}" xr6:coauthVersionLast="36" xr6:coauthVersionMax="36" xr10:uidLastSave="{00000000-0000-0000-0000-000000000000}"/>
  <bookViews>
    <workbookView xWindow="0" yWindow="0" windowWidth="20490" windowHeight="7460" xr2:uid="{00000000-000D-0000-FFFF-FFFF00000000}"/>
  </bookViews>
  <sheets>
    <sheet name="INPUT" sheetId="6" r:id="rId1"/>
    <sheet name="Ramses-1 (final report)" sheetId="21" r:id="rId2"/>
    <sheet name="Ramses-1 (ga presentation)" sheetId="20" r:id="rId3"/>
    <sheet name="Ramses-1 (pattern massflux)" sheetId="19" r:id="rId4"/>
    <sheet name="Ramses-1 (ga)" sheetId="18" r:id="rId5"/>
    <sheet name="Ramses-1 (patternsearch)" sheetId="17" r:id="rId6"/>
    <sheet name="Deliverance II (UofT)" sheetId="8" r:id="rId7"/>
    <sheet name="Boundless (UofW)" sheetId="9" r:id="rId8"/>
    <sheet name="Phoenix 1A (UofKZN)" sheetId="11" r:id="rId9"/>
    <sheet name="Phase 2 (Stanford)" sheetId="12" r:id="rId10"/>
    <sheet name="3&quot; Diameter (Stanford)" sheetId="14" r:id="rId11"/>
    <sheet name="Mars Ascent (Stanford)" sheetId="16" r:id="rId12"/>
    <sheet name="Prometheus (Poly Montreal)" sheetId="15" r:id="rId13"/>
    <sheet name="RATTWORKS M-900" sheetId="13" r:id="rId14"/>
    <sheet name="Mule-1" sheetId="7" r:id="rId15"/>
    <sheet name="Density Calculator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21" l="1"/>
  <c r="J8" i="21"/>
  <c r="H8" i="21"/>
  <c r="H7" i="21"/>
  <c r="H5" i="21"/>
  <c r="J5" i="21" s="1"/>
  <c r="H15" i="21"/>
  <c r="J19" i="21"/>
  <c r="G31" i="21"/>
  <c r="H25" i="21"/>
  <c r="H3" i="21"/>
  <c r="H4" i="21" s="1"/>
  <c r="J4" i="21" s="1"/>
  <c r="B17" i="10"/>
  <c r="H6" i="21" l="1"/>
  <c r="J6" i="21" s="1"/>
  <c r="U30" i="21" l="1"/>
  <c r="T30" i="21"/>
  <c r="U29" i="21"/>
  <c r="T29" i="21"/>
  <c r="U28" i="21"/>
  <c r="T28" i="21"/>
  <c r="G32" i="21"/>
  <c r="U27" i="21"/>
  <c r="T27" i="21"/>
  <c r="U26" i="21"/>
  <c r="T26" i="21"/>
  <c r="U25" i="21"/>
  <c r="T25" i="21"/>
  <c r="U24" i="21"/>
  <c r="T24" i="21"/>
  <c r="U23" i="21"/>
  <c r="T23" i="21"/>
  <c r="U22" i="21"/>
  <c r="T22" i="21"/>
  <c r="U21" i="21"/>
  <c r="T21" i="21"/>
  <c r="U20" i="21"/>
  <c r="T20" i="21"/>
  <c r="U19" i="21"/>
  <c r="T19" i="21"/>
  <c r="U18" i="21"/>
  <c r="T18" i="21"/>
  <c r="U17" i="21"/>
  <c r="T17" i="21"/>
  <c r="U16" i="21"/>
  <c r="T16" i="21"/>
  <c r="U15" i="21"/>
  <c r="T15" i="21"/>
  <c r="U14" i="21"/>
  <c r="T14" i="21"/>
  <c r="U13" i="21"/>
  <c r="T13" i="21"/>
  <c r="H17" i="21"/>
  <c r="U12" i="21"/>
  <c r="T12" i="21"/>
  <c r="H16" i="21"/>
  <c r="J16" i="21" s="1"/>
  <c r="U11" i="21"/>
  <c r="T11" i="21"/>
  <c r="J15" i="21"/>
  <c r="U10" i="21"/>
  <c r="T10" i="21"/>
  <c r="H14" i="21"/>
  <c r="U9" i="21"/>
  <c r="T9" i="21"/>
  <c r="U8" i="21"/>
  <c r="T8" i="21"/>
  <c r="H12" i="21"/>
  <c r="U7" i="21"/>
  <c r="T7" i="21"/>
  <c r="H11" i="21"/>
  <c r="U6" i="21"/>
  <c r="T6" i="21"/>
  <c r="H10" i="21"/>
  <c r="U5" i="21"/>
  <c r="T5" i="21"/>
  <c r="U4" i="21"/>
  <c r="T4" i="21"/>
  <c r="U3" i="21"/>
  <c r="T3" i="21"/>
  <c r="U2" i="21"/>
  <c r="T2" i="21"/>
  <c r="J2" i="21"/>
  <c r="H19" i="21" l="1"/>
  <c r="H13" i="21"/>
  <c r="H21" i="21" s="1"/>
  <c r="C6" i="20"/>
  <c r="J13" i="21" l="1"/>
  <c r="H20" i="21"/>
  <c r="H22" i="21"/>
  <c r="U30" i="20"/>
  <c r="T30" i="20"/>
  <c r="U29" i="20"/>
  <c r="T29" i="20"/>
  <c r="U28" i="20"/>
  <c r="T28" i="20"/>
  <c r="G28" i="20"/>
  <c r="U27" i="20"/>
  <c r="T27" i="20"/>
  <c r="G27" i="20"/>
  <c r="U26" i="20"/>
  <c r="T26" i="20"/>
  <c r="U25" i="20"/>
  <c r="T25" i="20"/>
  <c r="U24" i="20"/>
  <c r="T24" i="20"/>
  <c r="U23" i="20"/>
  <c r="T23" i="20"/>
  <c r="H23" i="20"/>
  <c r="U22" i="20"/>
  <c r="T22" i="20"/>
  <c r="U21" i="20"/>
  <c r="T21" i="20"/>
  <c r="U20" i="20"/>
  <c r="T20" i="20"/>
  <c r="U19" i="20"/>
  <c r="T19" i="20"/>
  <c r="U18" i="20"/>
  <c r="T18" i="20"/>
  <c r="U17" i="20"/>
  <c r="T17" i="20"/>
  <c r="U16" i="20"/>
  <c r="T16" i="20"/>
  <c r="U15" i="20"/>
  <c r="T15" i="20"/>
  <c r="U14" i="20"/>
  <c r="T14" i="20"/>
  <c r="U13" i="20"/>
  <c r="T13" i="20"/>
  <c r="H13" i="20"/>
  <c r="U12" i="20"/>
  <c r="T12" i="20"/>
  <c r="H12" i="20"/>
  <c r="J12" i="20" s="1"/>
  <c r="U11" i="20"/>
  <c r="T11" i="20"/>
  <c r="H11" i="20"/>
  <c r="J11" i="20" s="1"/>
  <c r="U10" i="20"/>
  <c r="T10" i="20"/>
  <c r="H10" i="20"/>
  <c r="U9" i="20"/>
  <c r="T9" i="20"/>
  <c r="U8" i="20"/>
  <c r="T8" i="20"/>
  <c r="H8" i="20"/>
  <c r="U7" i="20"/>
  <c r="T7" i="20"/>
  <c r="H7" i="20"/>
  <c r="U6" i="20"/>
  <c r="T6" i="20"/>
  <c r="H6" i="20"/>
  <c r="U5" i="20"/>
  <c r="T5" i="20"/>
  <c r="U4" i="20"/>
  <c r="T4" i="20"/>
  <c r="H4" i="20"/>
  <c r="H9" i="20" s="1"/>
  <c r="U3" i="20"/>
  <c r="T3" i="20"/>
  <c r="H3" i="20"/>
  <c r="U2" i="20"/>
  <c r="T2" i="20"/>
  <c r="H2" i="20"/>
  <c r="J2" i="20" s="1"/>
  <c r="J21" i="21" l="1"/>
  <c r="J20" i="21"/>
  <c r="J22" i="21"/>
  <c r="J9" i="20"/>
  <c r="H16" i="20"/>
  <c r="H17" i="20"/>
  <c r="H18" i="20"/>
  <c r="J4" i="20"/>
  <c r="C6" i="19"/>
  <c r="U30" i="19"/>
  <c r="T30" i="19"/>
  <c r="U29" i="19"/>
  <c r="T29" i="19"/>
  <c r="U28" i="19"/>
  <c r="T28" i="19"/>
  <c r="G28" i="19"/>
  <c r="U27" i="19"/>
  <c r="T27" i="19"/>
  <c r="G27" i="19"/>
  <c r="U26" i="19"/>
  <c r="T26" i="19"/>
  <c r="U25" i="19"/>
  <c r="T25" i="19"/>
  <c r="U24" i="19"/>
  <c r="T24" i="19"/>
  <c r="U23" i="19"/>
  <c r="T23" i="19"/>
  <c r="H23" i="19"/>
  <c r="U22" i="19"/>
  <c r="T22" i="19"/>
  <c r="U21" i="19"/>
  <c r="T21" i="19"/>
  <c r="U20" i="19"/>
  <c r="T20" i="19"/>
  <c r="U19" i="19"/>
  <c r="T19" i="19"/>
  <c r="U18" i="19"/>
  <c r="T18" i="19"/>
  <c r="U17" i="19"/>
  <c r="T17" i="19"/>
  <c r="U16" i="19"/>
  <c r="T16" i="19"/>
  <c r="U15" i="19"/>
  <c r="T15" i="19"/>
  <c r="U14" i="19"/>
  <c r="T14" i="19"/>
  <c r="U13" i="19"/>
  <c r="T13" i="19"/>
  <c r="H13" i="19"/>
  <c r="U12" i="19"/>
  <c r="T12" i="19"/>
  <c r="H12" i="19"/>
  <c r="J12" i="19" s="1"/>
  <c r="U11" i="19"/>
  <c r="T11" i="19"/>
  <c r="H11" i="19"/>
  <c r="J11" i="19" s="1"/>
  <c r="U10" i="19"/>
  <c r="T10" i="19"/>
  <c r="H10" i="19"/>
  <c r="U9" i="19"/>
  <c r="T9" i="19"/>
  <c r="U8" i="19"/>
  <c r="T8" i="19"/>
  <c r="H8" i="19"/>
  <c r="U7" i="19"/>
  <c r="T7" i="19"/>
  <c r="H7" i="19"/>
  <c r="U6" i="19"/>
  <c r="T6" i="19"/>
  <c r="H6" i="19"/>
  <c r="U5" i="19"/>
  <c r="T5" i="19"/>
  <c r="U4" i="19"/>
  <c r="T4" i="19"/>
  <c r="U3" i="19"/>
  <c r="T3" i="19"/>
  <c r="H3" i="19"/>
  <c r="U2" i="19"/>
  <c r="T2" i="19"/>
  <c r="H2" i="19"/>
  <c r="J2" i="19" s="1"/>
  <c r="C6" i="18"/>
  <c r="J18" i="20" l="1"/>
  <c r="J17" i="20"/>
  <c r="J16" i="20"/>
  <c r="H4" i="19"/>
  <c r="J4" i="19" l="1"/>
  <c r="H9" i="19"/>
  <c r="J9" i="19" l="1"/>
  <c r="H16" i="19"/>
  <c r="H18" i="19"/>
  <c r="H17" i="19"/>
  <c r="J17" i="19" l="1"/>
  <c r="J16" i="19"/>
  <c r="J18" i="19"/>
  <c r="G28" i="18" l="1"/>
  <c r="G27" i="18"/>
  <c r="H23" i="18" l="1"/>
  <c r="U30" i="18"/>
  <c r="T30" i="18"/>
  <c r="U29" i="18"/>
  <c r="T29" i="18"/>
  <c r="U28" i="18"/>
  <c r="T28" i="18"/>
  <c r="U27" i="18"/>
  <c r="T27" i="18"/>
  <c r="U26" i="18"/>
  <c r="T26" i="18"/>
  <c r="U25" i="18"/>
  <c r="T25" i="18"/>
  <c r="U24" i="18"/>
  <c r="T24" i="18"/>
  <c r="U23" i="18"/>
  <c r="T23" i="18"/>
  <c r="U22" i="18"/>
  <c r="T22" i="18"/>
  <c r="U21" i="18"/>
  <c r="T21" i="18"/>
  <c r="U20" i="18"/>
  <c r="T20" i="18"/>
  <c r="U19" i="18"/>
  <c r="T19" i="18"/>
  <c r="U18" i="18"/>
  <c r="T18" i="18"/>
  <c r="U17" i="18"/>
  <c r="T17" i="18"/>
  <c r="U16" i="18"/>
  <c r="T16" i="18"/>
  <c r="U15" i="18"/>
  <c r="T15" i="18"/>
  <c r="U14" i="18"/>
  <c r="T14" i="18"/>
  <c r="U13" i="18"/>
  <c r="T13" i="18"/>
  <c r="H13" i="18"/>
  <c r="U12" i="18"/>
  <c r="T12" i="18"/>
  <c r="H12" i="18"/>
  <c r="J12" i="18" s="1"/>
  <c r="U11" i="18"/>
  <c r="T11" i="18"/>
  <c r="H11" i="18"/>
  <c r="J11" i="18" s="1"/>
  <c r="U10" i="18"/>
  <c r="T10" i="18"/>
  <c r="H10" i="18"/>
  <c r="U9" i="18"/>
  <c r="T9" i="18"/>
  <c r="U8" i="18"/>
  <c r="T8" i="18"/>
  <c r="H8" i="18"/>
  <c r="U7" i="18"/>
  <c r="T7" i="18"/>
  <c r="H7" i="18"/>
  <c r="U6" i="18"/>
  <c r="T6" i="18"/>
  <c r="H6" i="18"/>
  <c r="U5" i="18"/>
  <c r="T5" i="18"/>
  <c r="U4" i="18"/>
  <c r="T4" i="18"/>
  <c r="U3" i="18"/>
  <c r="T3" i="18"/>
  <c r="H3" i="18"/>
  <c r="U2" i="18"/>
  <c r="T2" i="18"/>
  <c r="H2" i="18"/>
  <c r="H4" i="18" s="1"/>
  <c r="C6" i="17"/>
  <c r="H9" i="18" l="1"/>
  <c r="J4" i="18"/>
  <c r="J2" i="18"/>
  <c r="H16" i="18" l="1"/>
  <c r="H18" i="18"/>
  <c r="J9" i="18"/>
  <c r="H17" i="18"/>
  <c r="J18" i="18" l="1"/>
  <c r="J16" i="18"/>
  <c r="J17" i="18"/>
  <c r="B9" i="10" l="1"/>
  <c r="C7" i="10"/>
  <c r="D6" i="10"/>
  <c r="U3" i="17" l="1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T28" i="17"/>
  <c r="T29" i="17"/>
  <c r="T30" i="17"/>
  <c r="T20" i="17"/>
  <c r="T21" i="17"/>
  <c r="T22" i="17"/>
  <c r="T23" i="17"/>
  <c r="T24" i="17"/>
  <c r="T25" i="17"/>
  <c r="T26" i="17"/>
  <c r="T27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U2" i="17"/>
  <c r="T3" i="17"/>
  <c r="T2" i="17"/>
  <c r="H3" i="17"/>
  <c r="H13" i="17"/>
  <c r="H12" i="17"/>
  <c r="J12" i="17" s="1"/>
  <c r="H10" i="17"/>
  <c r="H11" i="17"/>
  <c r="J11" i="17" s="1"/>
  <c r="H7" i="17"/>
  <c r="H8" i="17"/>
  <c r="H6" i="17"/>
  <c r="H2" i="17"/>
  <c r="H4" i="17" s="1"/>
  <c r="J4" i="17" s="1"/>
  <c r="J2" i="17" l="1"/>
  <c r="H9" i="17"/>
  <c r="H16" i="17" s="1"/>
  <c r="H18" i="17" l="1"/>
  <c r="H17" i="17"/>
  <c r="J9" i="17"/>
  <c r="J16" i="17" s="1"/>
  <c r="J18" i="17" l="1"/>
  <c r="J17" i="17"/>
  <c r="C2" i="16" l="1"/>
  <c r="C13" i="16"/>
  <c r="C6" i="13" l="1"/>
  <c r="C13" i="7"/>
  <c r="C13" i="11"/>
  <c r="C13" i="9"/>
  <c r="D3" i="10" l="1"/>
  <c r="D4" i="10"/>
  <c r="D5" i="10"/>
  <c r="D2" i="10"/>
</calcChain>
</file>

<file path=xl/sharedStrings.xml><?xml version="1.0" encoding="utf-8"?>
<sst xmlns="http://schemas.openxmlformats.org/spreadsheetml/2006/main" count="1665" uniqueCount="238">
  <si>
    <t>Parameter</t>
  </si>
  <si>
    <t>Symbol</t>
  </si>
  <si>
    <t>Value</t>
  </si>
  <si>
    <t>Units</t>
  </si>
  <si>
    <t>m</t>
  </si>
  <si>
    <t>Fuel Grain Length</t>
  </si>
  <si>
    <t>L</t>
  </si>
  <si>
    <t>rho_f</t>
  </si>
  <si>
    <t>kg/m^3</t>
  </si>
  <si>
    <t>Density of Fuel</t>
  </si>
  <si>
    <t>a</t>
  </si>
  <si>
    <t>n</t>
  </si>
  <si>
    <t>m/s</t>
  </si>
  <si>
    <t>-</t>
  </si>
  <si>
    <t>Regression Rate Constant</t>
  </si>
  <si>
    <t>Regression Rate Exponent</t>
  </si>
  <si>
    <t>del_time</t>
  </si>
  <si>
    <t>s</t>
  </si>
  <si>
    <t>K</t>
  </si>
  <si>
    <t>Pa</t>
  </si>
  <si>
    <t>Time Step</t>
  </si>
  <si>
    <t>Initial Combustion Chamber Temperature</t>
  </si>
  <si>
    <t>Initial Combustion Chamber Pressure</t>
  </si>
  <si>
    <t>Injector orifice diameter</t>
  </si>
  <si>
    <t>d_inj</t>
  </si>
  <si>
    <t>Injector discharge coefficient</t>
  </si>
  <si>
    <t>Tank Volume</t>
  </si>
  <si>
    <t>V_tank</t>
  </si>
  <si>
    <t>kg</t>
  </si>
  <si>
    <t>time_max</t>
  </si>
  <si>
    <t>Max Burn Time</t>
  </si>
  <si>
    <t>m^3</t>
  </si>
  <si>
    <t>p_tank_init</t>
  </si>
  <si>
    <t>m_ox_tank_init</t>
  </si>
  <si>
    <t>Initial Oxidizer Tank Pressure</t>
  </si>
  <si>
    <t>Initial Mass of Oxidizer in Tank</t>
  </si>
  <si>
    <t>Number of Injector Orifices</t>
  </si>
  <si>
    <t>Nozzle Throat Diameter</t>
  </si>
  <si>
    <t>d_th</t>
  </si>
  <si>
    <t>Fuel Grain Initial Diameter</t>
  </si>
  <si>
    <t>n_inj</t>
  </si>
  <si>
    <t>Cd_inj</t>
  </si>
  <si>
    <t>Nozzle Area Ratio</t>
  </si>
  <si>
    <t>Atmospheric Pressure</t>
  </si>
  <si>
    <t>A_ratio_nozzle</t>
  </si>
  <si>
    <t>Notes</t>
  </si>
  <si>
    <t>Paraffin</t>
  </si>
  <si>
    <t>Stearic acid</t>
  </si>
  <si>
    <t>Vybar</t>
  </si>
  <si>
    <t>Aluminum powder</t>
  </si>
  <si>
    <t>arranged in six 0.120" doublets</t>
  </si>
  <si>
    <t>From graph of test #2</t>
  </si>
  <si>
    <t>1.603" from drawing</t>
  </si>
  <si>
    <t>Assuming 16.5" from CAD and OD ratio</t>
  </si>
  <si>
    <t>Saturation temperature that would cause the initial tank pressure</t>
  </si>
  <si>
    <t>1 atm</t>
  </si>
  <si>
    <t>Expected burn time = 10s</t>
  </si>
  <si>
    <t>Incompressible flow assumed for Cd calculations, use average of 0.29 and 0.32</t>
  </si>
  <si>
    <t>Standard</t>
  </si>
  <si>
    <t>Assume 2.15" from picture ratio and volume calculation</t>
  </si>
  <si>
    <t>d_port_init</t>
  </si>
  <si>
    <t>Substance</t>
  </si>
  <si>
    <t>Chemical Formula</t>
  </si>
  <si>
    <t>Reference Densities</t>
  </si>
  <si>
    <t>Density (kg/m^3)</t>
  </si>
  <si>
    <t>C32H66</t>
  </si>
  <si>
    <t>Aluminum</t>
  </si>
  <si>
    <t>Al</t>
  </si>
  <si>
    <t>Source</t>
  </si>
  <si>
    <t>at 20degC (https://en.wikipedia.org/wiki/Stearic_acid)</t>
  </si>
  <si>
    <t>Stearic Acid</t>
  </si>
  <si>
    <t>Weight Fraction</t>
  </si>
  <si>
    <t>C18H36O2</t>
  </si>
  <si>
    <t>upper bound (https://www.candlewic.com/files/products/vybar-103-sds-1.pdf)</t>
  </si>
  <si>
    <t>near room T (https://en.wikipedia.org/wiki/Aluminium)</t>
  </si>
  <si>
    <t>(https://en.wikipedia.org/wiki/Paraffin_wax)</t>
  </si>
  <si>
    <t>Total</t>
  </si>
  <si>
    <t>Norm. Vol.</t>
  </si>
  <si>
    <t>p_cc_init</t>
  </si>
  <si>
    <t>save</t>
  </si>
  <si>
    <t>Do you want to save output? (Yes = 1)</t>
  </si>
  <si>
    <t>Do you want to graph the results? (Yes = 1)</t>
  </si>
  <si>
    <t>graph</t>
  </si>
  <si>
    <t>From density calculator sheet and fuel composition</t>
  </si>
  <si>
    <t>K Tank Volume</t>
  </si>
  <si>
    <t>Saturation pressure at 298K</t>
  </si>
  <si>
    <t>http://www.chemicalbook.com/ProductMSDSDetailCB2854418_EN.htm</t>
  </si>
  <si>
    <t>Stanford</t>
  </si>
  <si>
    <t>Measured from actual nozzle</t>
  </si>
  <si>
    <t>25degC</t>
  </si>
  <si>
    <t>Time expected to test</t>
  </si>
  <si>
    <t>Paraffin (C50H102)</t>
  </si>
  <si>
    <t>Charcoal</t>
  </si>
  <si>
    <t>C</t>
  </si>
  <si>
    <t>Supercharged with helium, will affect model</t>
  </si>
  <si>
    <t>From "A Computational Tool for Predicting Hybrid Rocket Motor Performance"</t>
  </si>
  <si>
    <t>Expected burn time of 11s</t>
  </si>
  <si>
    <t>From "Development of a Hybrid Sounding Rocket Motor"</t>
  </si>
  <si>
    <t>From graph of oxidizer pressure in M2</t>
  </si>
  <si>
    <t>Used in order to get a unit area</t>
  </si>
  <si>
    <t>Value for combined CdA</t>
  </si>
  <si>
    <t>From area of throat and exit</t>
  </si>
  <si>
    <t>Calculated from area of throat</t>
  </si>
  <si>
    <t>Polypropylene</t>
  </si>
  <si>
    <t>*Data from "Hybrid rocket, theoretical model and experiment" unless otherwise noted</t>
  </si>
  <si>
    <t>Notes*</t>
  </si>
  <si>
    <t>1"</t>
  </si>
  <si>
    <t>*Data from "Team 09 Project Technical Report to the 2018 SAC" unless otherwise noted</t>
  </si>
  <si>
    <t>*Data from "A Computation Tool for Predicting Hybrid Rocket Motor Performance" unless otherwise noted</t>
  </si>
  <si>
    <t>Assumed values, not measured</t>
  </si>
  <si>
    <t>Modified from theoretical 0.8</t>
  </si>
  <si>
    <t>For static test, 30kg for flight motor</t>
  </si>
  <si>
    <t>Expected burn time 6s</t>
  </si>
  <si>
    <t>* Data from "Development of High-Burning-Rate Hybrid-Rocket-Fuel Flight Demonstrators" unless otherwise noted</t>
  </si>
  <si>
    <t>Expected burn time is 12s</t>
  </si>
  <si>
    <t>2159 in^3</t>
  </si>
  <si>
    <t>70 lbm (test 1 50 lbf)</t>
  </si>
  <si>
    <t>is fuel just paraffin or 40% aluminized? (Scale up tests of high regression rate liquefiying hybrid rocket fuels)</t>
  </si>
  <si>
    <t>Pressurized with N2 to keep stable (50psi), may affect calculations (test 1 725 psi)</t>
  </si>
  <si>
    <t>Notes* DOUBLE CHECK ALL THESE VALUES</t>
  </si>
  <si>
    <t>Aluminum?</t>
  </si>
  <si>
    <t>* Data from "Design, Optimization, and Launch of a 3" Diameter N2)/Aluminized Paraffin Rocket" unless otherwise noted</t>
  </si>
  <si>
    <t>10% higher than standard due to high amounts of Al</t>
  </si>
  <si>
    <t>Given in report, 1227 kg/m3 from density calculator (40% Al, 60% Paraffin)</t>
  </si>
  <si>
    <t>35.2mm (67.85mm after burn)</t>
  </si>
  <si>
    <t>0.067"</t>
  </si>
  <si>
    <t>Standard, measured Cd of 0.42 (m_dot = 0.68kg/s) using SPI model</t>
  </si>
  <si>
    <t>Based on 72% fill</t>
  </si>
  <si>
    <t>Expected burn time of 2s</t>
  </si>
  <si>
    <t>Based on 700 psi as most common initial ozidizer pressure in testing</t>
  </si>
  <si>
    <t>Based on temperature that would cause the initial tank pressure</t>
  </si>
  <si>
    <t>Based on measured dimensions of 3/4 drawing (L = 1.02m, r = 0.035m)</t>
  </si>
  <si>
    <t>Essentially just guessed</t>
  </si>
  <si>
    <t>zeta_d</t>
  </si>
  <si>
    <t>zeta_cstar</t>
  </si>
  <si>
    <t>zeta_CF</t>
  </si>
  <si>
    <t>Discharge Correction Factor</t>
  </si>
  <si>
    <t>Characteristic Velocity Correction Factor</t>
  </si>
  <si>
    <t>Thrust Coefficient Correction Factor</t>
  </si>
  <si>
    <t>Fuel Grain Outer Diameter</t>
  </si>
  <si>
    <t>Mass when 90% full of liquid at 744kg/m^3 (density of N2O(liq) @ 298K), approx. 10kg mass left in tank at t_LRO, 5kg from model</t>
  </si>
  <si>
    <t>d_f</t>
  </si>
  <si>
    <t>Outer diameter of rocket</t>
  </si>
  <si>
    <t>Expected burn time of 4.2s</t>
  </si>
  <si>
    <t>Not quoted, probably lower due to swirl</t>
  </si>
  <si>
    <t>* Data from "Team 59 Project Technical Report for the 2018 IREC" unless otherwise noted</t>
  </si>
  <si>
    <t>800 psi @ 25degC</t>
  </si>
  <si>
    <t>Assume all paraffin</t>
  </si>
  <si>
    <t>Standard for paraffin</t>
  </si>
  <si>
    <t>For test data, nozzle broke off, so use retaining ring diameter as nozzle dia</t>
  </si>
  <si>
    <t>Assume 80% full of liquid (@ 753 kg/m^3)</t>
  </si>
  <si>
    <t>Notes* THIS SET OF DATA BREAKS THE MODEL</t>
  </si>
  <si>
    <t>*Data from "Team 91 Project Technical Report for the 2017 IREC" unless otherwise noted</t>
  </si>
  <si>
    <t>12 L</t>
  </si>
  <si>
    <t>Value given for flight engine, maybe not test</t>
  </si>
  <si>
    <t>Based on fuel mass and geometry</t>
  </si>
  <si>
    <t>Tuned to have lower regression rate than pure paraffin</t>
  </si>
  <si>
    <t>Expected burn time is 2.5s</t>
  </si>
  <si>
    <t>Guessed</t>
  </si>
  <si>
    <t>Based on geometry of tank from cross section</t>
  </si>
  <si>
    <t>No thrust data given, so don't care</t>
  </si>
  <si>
    <t>0.886" used in test, designed around 0.6"</t>
  </si>
  <si>
    <t>12.5 lbs design value</t>
  </si>
  <si>
    <t>From tank pressure curve</t>
  </si>
  <si>
    <t>Injector B</t>
  </si>
  <si>
    <t>0.03125" - Injector B</t>
  </si>
  <si>
    <t>Assumed value</t>
  </si>
  <si>
    <t>* Data from "Paraffin and Nitrous Oxide Hybrid Rocket as a Mars Ascent Vehicle Demonstrator" unless otherwise noted</t>
  </si>
  <si>
    <t>Feed system pressure drop</t>
  </si>
  <si>
    <t>p_feed</t>
  </si>
  <si>
    <t>Taken from curve (initial pressure of 590psi)</t>
  </si>
  <si>
    <t>Tar</t>
  </si>
  <si>
    <t>Claimed lower regression rate</t>
  </si>
  <si>
    <t>Approx. 15psi from cold flow data</t>
  </si>
  <si>
    <t>Measured from cold flow test, claimed theoretical discharge coefficient of 0.611</t>
  </si>
  <si>
    <t>Average of 1 and 1.15</t>
  </si>
  <si>
    <t>In well-designed nozzles, the value of the ζCF correction factor is above 90%.</t>
  </si>
  <si>
    <t>"Well designed  combustion chamebrs have c* efficiencies of greater than 95%"</t>
  </si>
  <si>
    <t>*Data from MATLAB optimization</t>
  </si>
  <si>
    <t>Rocket Geometry Calculations</t>
  </si>
  <si>
    <t>Rocket Outer Diameter</t>
  </si>
  <si>
    <t>Nosecone Length</t>
  </si>
  <si>
    <t>Recovery Length</t>
  </si>
  <si>
    <t>Freedom Units</t>
  </si>
  <si>
    <t>in</t>
  </si>
  <si>
    <t>Payload Length</t>
  </si>
  <si>
    <t>Oxidizer Tank Length</t>
  </si>
  <si>
    <t>Pre&amp;Post Combustion Chamber Length</t>
  </si>
  <si>
    <t>2x initial port diameter for each</t>
  </si>
  <si>
    <t>From tank volume and outer diameter</t>
  </si>
  <si>
    <t>Feed System Length</t>
  </si>
  <si>
    <t>Nozzle Length</t>
  </si>
  <si>
    <t>Total Length</t>
  </si>
  <si>
    <t>Tank wall</t>
  </si>
  <si>
    <t>Tank inner diameter</t>
  </si>
  <si>
    <t>UofW Boundless</t>
  </si>
  <si>
    <t>Civilized Units</t>
  </si>
  <si>
    <t>Body Length</t>
  </si>
  <si>
    <t>Motor Length</t>
  </si>
  <si>
    <t>From inner measurements in engineering drawings (1578in^3)</t>
  </si>
  <si>
    <t>?? Same as other rockets I guess (Valve not fully open, but same peak thrust as normal)</t>
  </si>
  <si>
    <t>34 lbs from test #2 (37 lbs from test #3)</t>
  </si>
  <si>
    <t>upper bound (http://ukrfuel.com/news-physical-properties-of-charcoal-22.html)</t>
  </si>
  <si>
    <t>Calculated @ 848 kg/m3</t>
  </si>
  <si>
    <t>7.612"</t>
  </si>
  <si>
    <t>Based on 100psi from cold flow</t>
  </si>
  <si>
    <t>Based on motor targets</t>
  </si>
  <si>
    <t>Based on other team's injectors</t>
  </si>
  <si>
    <t>2.39" (ID of phenolic liner)</t>
  </si>
  <si>
    <t>Calculated from 60% fill level</t>
  </si>
  <si>
    <t>Based on Effective injector area of 39.9975202828517mm^2</t>
  </si>
  <si>
    <t>Based on Effective injector area of 39.9975202828517mm^3</t>
  </si>
  <si>
    <t>Based on Effective injector area of 39.9975202828517mm^4</t>
  </si>
  <si>
    <t>Model output, final port diameter</t>
  </si>
  <si>
    <t>Based on Effective injector area of 37.6mm^2</t>
  </si>
  <si>
    <t>Based on Effective injector area of 37.6mm^3</t>
  </si>
  <si>
    <t>Based on Effective injector area of 37.6mm^4</t>
  </si>
  <si>
    <t>Structural Mass</t>
  </si>
  <si>
    <t>Propellant Mass</t>
  </si>
  <si>
    <t>Total Mass</t>
  </si>
  <si>
    <t>OPTIMIZED WITH INCORRECT PRESSURE CONSTRAINTS</t>
  </si>
  <si>
    <t>Based on Effective injector area of 29.3mm^2</t>
  </si>
  <si>
    <t>Based on Effective injector area of 17.5mm^2</t>
  </si>
  <si>
    <t>Variable</t>
  </si>
  <si>
    <t>A_eff</t>
  </si>
  <si>
    <t>m^2</t>
  </si>
  <si>
    <t>Cd</t>
  </si>
  <si>
    <t>d</t>
  </si>
  <si>
    <t>Based on Effective injector area of 21.3mm^2</t>
  </si>
  <si>
    <t>Payload Mass</t>
  </si>
  <si>
    <t>Upper Fuselage Length</t>
  </si>
  <si>
    <t>1.5x initial port diameter for each</t>
  </si>
  <si>
    <t>Nozzle Exit Diameter</t>
  </si>
  <si>
    <t>Initial Port Diameter</t>
  </si>
  <si>
    <t>Final Port Diameter</t>
  </si>
  <si>
    <t>p_amb</t>
  </si>
  <si>
    <t>1 atm (slightly larger than p_amb)</t>
  </si>
  <si>
    <t>T_amb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</si>
</sst>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00"/>
    <numFmt numFmtId="166" formatCode="0.0"/>
    <numFmt numFmtId="167" formatCode="0.0000"/>
    <numFmt numFmtId="168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" fontId="0" fillId="0" borderId="0" xfId="0" applyNumberFormat="1"/>
    <xf numFmtId="0" fontId="1" fillId="0" borderId="0" xfId="0" applyFont="1" applyFill="1"/>
    <xf numFmtId="11" fontId="0" fillId="3" borderId="0" xfId="0" applyNumberFormat="1" applyFill="1"/>
    <xf numFmtId="164" fontId="0" fillId="3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0" fontId="2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0" fillId="0" borderId="0" xfId="0" applyNumberFormat="1" applyFont="1" applyAlignment="1"/>
    <xf numFmtId="168" fontId="0" fillId="0" borderId="0" xfId="0" applyNumberFormat="1" applyFont="1" applyAlignment="1"/>
    <xf numFmtId="167" fontId="0" fillId="0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99CC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hemicalbook.com/ProductMSDSDetailCB2854418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3" zoomScale="80" zoomScaleNormal="80" workbookViewId="0">
      <selection activeCell="C21" sqref="C21"/>
    </sheetView>
  </sheetViews>
  <sheetFormatPr defaultRowHeight="14.5" x14ac:dyDescent="0.35"/>
  <cols>
    <col min="1" max="1" width="39.7265625" customWidth="1"/>
    <col min="2" max="2" width="17.54296875" customWidth="1"/>
    <col min="3" max="3" width="10.8164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35">
      <c r="A2" s="3" t="s">
        <v>26</v>
      </c>
      <c r="B2" s="3" t="s">
        <v>27</v>
      </c>
      <c r="C2" s="3">
        <v>9.3660041253114407E-3</v>
      </c>
      <c r="D2" s="3" t="s">
        <v>31</v>
      </c>
    </row>
    <row r="3" spans="1:11" x14ac:dyDescent="0.35">
      <c r="A3" s="3" t="s">
        <v>35</v>
      </c>
      <c r="B3" s="3" t="s">
        <v>33</v>
      </c>
      <c r="C3" s="3">
        <v>5.01441959747262</v>
      </c>
      <c r="D3" s="3" t="s">
        <v>28</v>
      </c>
    </row>
    <row r="4" spans="1:11" x14ac:dyDescent="0.35">
      <c r="A4" s="3" t="s">
        <v>34</v>
      </c>
      <c r="B4" s="3" t="s">
        <v>32</v>
      </c>
      <c r="C4" s="9">
        <v>5000000</v>
      </c>
      <c r="D4" s="3" t="s">
        <v>19</v>
      </c>
    </row>
    <row r="5" spans="1:11" x14ac:dyDescent="0.35">
      <c r="A5" s="3" t="s">
        <v>168</v>
      </c>
      <c r="B5" s="3" t="s">
        <v>169</v>
      </c>
      <c r="C5" s="3">
        <v>100000</v>
      </c>
      <c r="D5" s="3" t="s">
        <v>19</v>
      </c>
      <c r="E5" s="5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1.5038956467710461E-3</v>
      </c>
      <c r="D6" s="3" t="s">
        <v>4</v>
      </c>
    </row>
    <row r="7" spans="1:11" x14ac:dyDescent="0.35">
      <c r="A7" s="3" t="s">
        <v>36</v>
      </c>
      <c r="B7" s="3" t="s">
        <v>40</v>
      </c>
      <c r="C7" s="3">
        <v>30</v>
      </c>
      <c r="D7" s="3" t="s">
        <v>13</v>
      </c>
    </row>
    <row r="8" spans="1:11" x14ac:dyDescent="0.35">
      <c r="A8" s="3" t="s">
        <v>25</v>
      </c>
      <c r="B8" s="3" t="s">
        <v>41</v>
      </c>
      <c r="C8" s="3">
        <v>0.4</v>
      </c>
      <c r="D8" s="3" t="s">
        <v>13</v>
      </c>
    </row>
    <row r="9" spans="1:11" x14ac:dyDescent="0.35">
      <c r="A9" s="3" t="s">
        <v>5</v>
      </c>
      <c r="B9" s="3" t="s">
        <v>6</v>
      </c>
      <c r="C9" s="3">
        <v>0.25154091198379303</v>
      </c>
      <c r="D9" s="3" t="s">
        <v>4</v>
      </c>
    </row>
    <row r="10" spans="1:11" x14ac:dyDescent="0.35">
      <c r="A10" s="3" t="s">
        <v>39</v>
      </c>
      <c r="B10" s="3" t="s">
        <v>60</v>
      </c>
      <c r="C10" s="3">
        <v>6.2526646482361503E-2</v>
      </c>
      <c r="D10" s="3" t="s">
        <v>4</v>
      </c>
      <c r="E10" s="5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</row>
    <row r="12" spans="1:11" x14ac:dyDescent="0.35">
      <c r="A12" s="3" t="s">
        <v>139</v>
      </c>
      <c r="B12" s="3" t="s">
        <v>141</v>
      </c>
      <c r="C12" s="3">
        <v>8.9278174841333602E-2</v>
      </c>
      <c r="D12" s="3" t="s">
        <v>4</v>
      </c>
    </row>
    <row r="13" spans="1:11" x14ac:dyDescent="0.35">
      <c r="A13" s="3" t="s">
        <v>14</v>
      </c>
      <c r="B13" s="3" t="s">
        <v>10</v>
      </c>
      <c r="C13" s="3">
        <v>1.55E-4</v>
      </c>
      <c r="D13" s="3" t="s">
        <v>12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</row>
    <row r="15" spans="1:11" x14ac:dyDescent="0.35">
      <c r="A15" s="3" t="s">
        <v>37</v>
      </c>
      <c r="B15" s="3" t="s">
        <v>38</v>
      </c>
      <c r="C15" s="3">
        <v>2.5552238064009601E-2</v>
      </c>
      <c r="D15" s="3" t="s">
        <v>4</v>
      </c>
    </row>
    <row r="16" spans="1:11" x14ac:dyDescent="0.35">
      <c r="A16" s="3" t="s">
        <v>42</v>
      </c>
      <c r="B16" s="3" t="s">
        <v>44</v>
      </c>
      <c r="C16" s="3">
        <v>5.9865827504742102</v>
      </c>
      <c r="D16" s="3" t="s">
        <v>13</v>
      </c>
    </row>
    <row r="17" spans="1:4" x14ac:dyDescent="0.35">
      <c r="A17" s="2" t="s">
        <v>43</v>
      </c>
      <c r="B17" s="2" t="s">
        <v>235</v>
      </c>
      <c r="C17" s="2">
        <v>85600</v>
      </c>
      <c r="D17" s="2" t="s">
        <v>19</v>
      </c>
    </row>
    <row r="18" spans="1:4" x14ac:dyDescent="0.35">
      <c r="A18" s="2" t="s">
        <v>21</v>
      </c>
      <c r="B18" s="2" t="s">
        <v>237</v>
      </c>
      <c r="C18" s="2">
        <v>301</v>
      </c>
      <c r="D18" s="2" t="s">
        <v>18</v>
      </c>
    </row>
    <row r="19" spans="1:4" x14ac:dyDescent="0.35">
      <c r="A19" s="2" t="s">
        <v>136</v>
      </c>
      <c r="B19" s="2" t="s">
        <v>133</v>
      </c>
      <c r="C19" s="2">
        <v>1.05</v>
      </c>
      <c r="D19" s="2" t="s">
        <v>13</v>
      </c>
    </row>
    <row r="20" spans="1:4" x14ac:dyDescent="0.35">
      <c r="A20" s="2" t="s">
        <v>137</v>
      </c>
      <c r="B20" s="2" t="s">
        <v>134</v>
      </c>
      <c r="C20" s="2">
        <v>0.9</v>
      </c>
      <c r="D20" s="2" t="s">
        <v>13</v>
      </c>
    </row>
    <row r="21" spans="1:4" x14ac:dyDescent="0.35">
      <c r="A21" s="2" t="s">
        <v>138</v>
      </c>
      <c r="B21" s="2" t="s">
        <v>135</v>
      </c>
      <c r="C21" s="2">
        <v>0.95</v>
      </c>
      <c r="D21" s="2" t="s">
        <v>13</v>
      </c>
    </row>
    <row r="22" spans="1:4" x14ac:dyDescent="0.35">
      <c r="A22" s="4" t="s">
        <v>20</v>
      </c>
      <c r="B22" s="4" t="s">
        <v>16</v>
      </c>
      <c r="C22" s="4">
        <v>0.01</v>
      </c>
      <c r="D22" s="4" t="s">
        <v>17</v>
      </c>
    </row>
    <row r="23" spans="1:4" x14ac:dyDescent="0.35">
      <c r="A23" s="4" t="s">
        <v>30</v>
      </c>
      <c r="B23" s="4" t="s">
        <v>29</v>
      </c>
      <c r="C23" s="4">
        <v>15</v>
      </c>
      <c r="D23" s="4" t="s">
        <v>17</v>
      </c>
    </row>
    <row r="24" spans="1:4" x14ac:dyDescent="0.35">
      <c r="A24" s="4" t="s">
        <v>81</v>
      </c>
      <c r="B24" s="4" t="s">
        <v>82</v>
      </c>
      <c r="C24" s="4">
        <v>1</v>
      </c>
      <c r="D24" s="4" t="s">
        <v>13</v>
      </c>
    </row>
    <row r="25" spans="1:4" x14ac:dyDescent="0.35">
      <c r="A25" s="4" t="s">
        <v>80</v>
      </c>
      <c r="B25" s="4" t="s">
        <v>79</v>
      </c>
      <c r="C25" s="4">
        <v>1</v>
      </c>
      <c r="D25" s="4" t="s">
        <v>13</v>
      </c>
    </row>
  </sheetData>
  <protectedRanges>
    <protectedRange sqref="C31:C1048576 C1" name="Value"/>
    <protectedRange sqref="C2:C4 C22:C24 C6:C18" name="Value_4_3"/>
    <protectedRange sqref="C19:C21" name="Value_4_2_1"/>
    <protectedRange sqref="C5" name="Value_4_4_1"/>
  </protectedRange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6FE4-B979-48DD-9B9B-4519D25513A0}">
  <dimension ref="A1:K29"/>
  <sheetViews>
    <sheetView topLeftCell="A4" workbookViewId="0">
      <selection activeCell="A5" sqref="A5:XFD5"/>
    </sheetView>
  </sheetViews>
  <sheetFormatPr defaultRowHeight="14.5" x14ac:dyDescent="0.35"/>
  <cols>
    <col min="1" max="1" width="37.81640625" customWidth="1"/>
    <col min="2" max="2" width="18.6328125" customWidth="1"/>
    <col min="5" max="5" width="68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119</v>
      </c>
    </row>
    <row r="2" spans="1:11" x14ac:dyDescent="0.35">
      <c r="A2" s="3" t="s">
        <v>26</v>
      </c>
      <c r="B2" s="3" t="s">
        <v>27</v>
      </c>
      <c r="C2" s="3">
        <v>3.5000000000000003E-2</v>
      </c>
      <c r="D2" s="3" t="s">
        <v>31</v>
      </c>
      <c r="E2" s="3" t="s">
        <v>115</v>
      </c>
    </row>
    <row r="3" spans="1:11" x14ac:dyDescent="0.35">
      <c r="A3" s="3" t="s">
        <v>35</v>
      </c>
      <c r="B3" s="3" t="s">
        <v>33</v>
      </c>
      <c r="C3" s="3">
        <v>25</v>
      </c>
      <c r="D3" s="3" t="s">
        <v>28</v>
      </c>
      <c r="E3" s="3" t="s">
        <v>116</v>
      </c>
    </row>
    <row r="4" spans="1:11" x14ac:dyDescent="0.35">
      <c r="A4" s="3" t="s">
        <v>34</v>
      </c>
      <c r="B4" s="3" t="s">
        <v>32</v>
      </c>
      <c r="C4" s="8">
        <v>5600000</v>
      </c>
      <c r="D4" s="3" t="s">
        <v>19</v>
      </c>
      <c r="E4" s="3" t="s">
        <v>118</v>
      </c>
    </row>
    <row r="5" spans="1:11" x14ac:dyDescent="0.35">
      <c r="A5" s="3" t="s">
        <v>168</v>
      </c>
      <c r="B5" s="3" t="s">
        <v>169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2E-3</v>
      </c>
      <c r="D6" s="3" t="s">
        <v>4</v>
      </c>
      <c r="E6" s="3" t="s">
        <v>95</v>
      </c>
    </row>
    <row r="7" spans="1:11" x14ac:dyDescent="0.35">
      <c r="A7" s="3" t="s">
        <v>36</v>
      </c>
      <c r="B7" s="3" t="s">
        <v>40</v>
      </c>
      <c r="C7" s="3">
        <v>15</v>
      </c>
      <c r="D7" s="3" t="s">
        <v>13</v>
      </c>
      <c r="E7" s="3" t="s">
        <v>95</v>
      </c>
    </row>
    <row r="8" spans="1:11" x14ac:dyDescent="0.35">
      <c r="A8" s="3" t="s">
        <v>25</v>
      </c>
      <c r="B8" s="3" t="s">
        <v>41</v>
      </c>
      <c r="C8" s="3">
        <v>0.8</v>
      </c>
      <c r="D8" s="3" t="s">
        <v>13</v>
      </c>
      <c r="E8" s="3" t="s">
        <v>95</v>
      </c>
    </row>
    <row r="9" spans="1:11" x14ac:dyDescent="0.35">
      <c r="A9" s="3" t="s">
        <v>5</v>
      </c>
      <c r="B9" s="3" t="s">
        <v>6</v>
      </c>
      <c r="C9" s="3">
        <v>0.38500000000000001</v>
      </c>
      <c r="D9" s="3" t="s">
        <v>4</v>
      </c>
      <c r="E9" s="3" t="s">
        <v>95</v>
      </c>
    </row>
    <row r="10" spans="1:11" x14ac:dyDescent="0.35">
      <c r="A10" s="3" t="s">
        <v>39</v>
      </c>
      <c r="B10" s="3" t="s">
        <v>60</v>
      </c>
      <c r="C10" s="3">
        <v>6.9000000000000006E-2</v>
      </c>
      <c r="D10" s="3" t="s">
        <v>4</v>
      </c>
      <c r="E10" s="3" t="s">
        <v>95</v>
      </c>
    </row>
    <row r="11" spans="1:11" x14ac:dyDescent="0.35">
      <c r="A11" s="3" t="s">
        <v>9</v>
      </c>
      <c r="B11" s="3" t="s">
        <v>7</v>
      </c>
      <c r="C11" s="3">
        <v>900</v>
      </c>
      <c r="D11" s="3" t="s">
        <v>8</v>
      </c>
      <c r="E11" s="3" t="s">
        <v>117</v>
      </c>
    </row>
    <row r="12" spans="1:11" x14ac:dyDescent="0.35">
      <c r="A12" s="3" t="s">
        <v>139</v>
      </c>
      <c r="B12" s="3" t="s">
        <v>141</v>
      </c>
      <c r="C12" s="3">
        <v>0.151</v>
      </c>
      <c r="D12" s="3" t="s">
        <v>4</v>
      </c>
      <c r="E12" s="3" t="s">
        <v>95</v>
      </c>
    </row>
    <row r="13" spans="1:11" x14ac:dyDescent="0.35">
      <c r="A13" s="3" t="s">
        <v>14</v>
      </c>
      <c r="B13" s="3" t="s">
        <v>10</v>
      </c>
      <c r="C13" s="8">
        <v>1.55E-4</v>
      </c>
      <c r="D13" s="3" t="s">
        <v>12</v>
      </c>
      <c r="E13" s="3"/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3.7499999999999999E-2</v>
      </c>
      <c r="D15" s="3" t="s">
        <v>4</v>
      </c>
      <c r="E15" s="3" t="s">
        <v>95</v>
      </c>
    </row>
    <row r="16" spans="1:11" x14ac:dyDescent="0.35">
      <c r="A16" s="3" t="s">
        <v>42</v>
      </c>
      <c r="B16" s="3" t="s">
        <v>44</v>
      </c>
      <c r="C16" s="3">
        <v>4.5</v>
      </c>
      <c r="D16" s="3" t="s">
        <v>13</v>
      </c>
      <c r="E16" s="3"/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/>
    </row>
    <row r="20" spans="1:5" x14ac:dyDescent="0.35">
      <c r="A20" s="2" t="s">
        <v>136</v>
      </c>
      <c r="B20" s="2" t="s">
        <v>133</v>
      </c>
      <c r="C20" s="2">
        <v>1.01</v>
      </c>
      <c r="D20" s="2" t="s">
        <v>13</v>
      </c>
      <c r="E20" s="2" t="s">
        <v>58</v>
      </c>
    </row>
    <row r="21" spans="1:5" x14ac:dyDescent="0.35">
      <c r="A21" s="2" t="s">
        <v>137</v>
      </c>
      <c r="B21" s="2" t="s">
        <v>134</v>
      </c>
      <c r="C21" s="2">
        <v>0.98</v>
      </c>
      <c r="D21" s="2" t="s">
        <v>13</v>
      </c>
      <c r="E21" s="2" t="s">
        <v>58</v>
      </c>
    </row>
    <row r="22" spans="1:5" x14ac:dyDescent="0.35">
      <c r="A22" s="2" t="s">
        <v>138</v>
      </c>
      <c r="B22" s="2" t="s">
        <v>135</v>
      </c>
      <c r="C22" s="2">
        <v>0.97</v>
      </c>
      <c r="D22" s="2" t="s">
        <v>13</v>
      </c>
      <c r="E22" s="2" t="s">
        <v>58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30</v>
      </c>
      <c r="D24" s="4" t="s">
        <v>17</v>
      </c>
      <c r="E24" s="4" t="s">
        <v>114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113</v>
      </c>
    </row>
    <row r="28" spans="1:5" x14ac:dyDescent="0.35">
      <c r="B28" s="4" t="s">
        <v>46</v>
      </c>
      <c r="C28" s="4">
        <v>1</v>
      </c>
    </row>
    <row r="29" spans="1:5" x14ac:dyDescent="0.35">
      <c r="B29" s="4" t="s">
        <v>120</v>
      </c>
      <c r="C29" s="4">
        <v>0.4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23C1-B3CD-4433-91E5-3FD971C55367}">
  <dimension ref="A1:K29"/>
  <sheetViews>
    <sheetView topLeftCell="A4" workbookViewId="0">
      <selection activeCell="A5" sqref="A5:XFD5"/>
    </sheetView>
  </sheetViews>
  <sheetFormatPr defaultRowHeight="14.5" x14ac:dyDescent="0.35"/>
  <cols>
    <col min="1" max="1" width="37.81640625" customWidth="1"/>
    <col min="2" max="2" width="18.6328125" customWidth="1"/>
    <col min="5" max="5" width="59.4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</row>
    <row r="2" spans="1:11" x14ac:dyDescent="0.35">
      <c r="A2" s="3" t="s">
        <v>26</v>
      </c>
      <c r="B2" s="3" t="s">
        <v>27</v>
      </c>
      <c r="C2" s="3">
        <v>3.9249999999999997E-3</v>
      </c>
      <c r="D2" s="3" t="s">
        <v>31</v>
      </c>
      <c r="E2" s="3" t="s">
        <v>131</v>
      </c>
    </row>
    <row r="3" spans="1:11" x14ac:dyDescent="0.35">
      <c r="A3" s="3" t="s">
        <v>35</v>
      </c>
      <c r="B3" s="3" t="s">
        <v>33</v>
      </c>
      <c r="C3" s="3">
        <v>1.66</v>
      </c>
      <c r="D3" s="3" t="s">
        <v>28</v>
      </c>
      <c r="E3" s="3" t="s">
        <v>127</v>
      </c>
    </row>
    <row r="4" spans="1:11" x14ac:dyDescent="0.35">
      <c r="A4" s="3" t="s">
        <v>34</v>
      </c>
      <c r="B4" s="3" t="s">
        <v>32</v>
      </c>
      <c r="C4" s="8">
        <v>4826000</v>
      </c>
      <c r="D4" s="3" t="s">
        <v>19</v>
      </c>
      <c r="E4" s="3" t="s">
        <v>129</v>
      </c>
    </row>
    <row r="5" spans="1:11" x14ac:dyDescent="0.35">
      <c r="A5" s="3" t="s">
        <v>168</v>
      </c>
      <c r="B5" s="3" t="s">
        <v>169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1.7018000000000001E-3</v>
      </c>
      <c r="D6" s="3" t="s">
        <v>4</v>
      </c>
      <c r="E6" s="3" t="s">
        <v>125</v>
      </c>
    </row>
    <row r="7" spans="1:11" x14ac:dyDescent="0.35">
      <c r="A7" s="3" t="s">
        <v>36</v>
      </c>
      <c r="B7" s="3" t="s">
        <v>40</v>
      </c>
      <c r="C7" s="3">
        <v>13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0.66</v>
      </c>
      <c r="D8" s="3" t="s">
        <v>13</v>
      </c>
      <c r="E8" s="3" t="s">
        <v>126</v>
      </c>
    </row>
    <row r="9" spans="1:11" x14ac:dyDescent="0.35">
      <c r="A9" s="3" t="s">
        <v>5</v>
      </c>
      <c r="B9" s="3" t="s">
        <v>6</v>
      </c>
      <c r="C9" s="3">
        <v>0.30020000000000002</v>
      </c>
      <c r="D9" s="3" t="s">
        <v>4</v>
      </c>
      <c r="E9" s="3"/>
    </row>
    <row r="10" spans="1:11" x14ac:dyDescent="0.35">
      <c r="A10" s="3" t="s">
        <v>39</v>
      </c>
      <c r="B10" s="3" t="s">
        <v>60</v>
      </c>
      <c r="C10" s="3">
        <v>3.5200000000000002E-2</v>
      </c>
      <c r="D10" s="3" t="s">
        <v>4</v>
      </c>
      <c r="E10" s="3" t="s">
        <v>124</v>
      </c>
    </row>
    <row r="11" spans="1:11" x14ac:dyDescent="0.35">
      <c r="A11" s="3" t="s">
        <v>9</v>
      </c>
      <c r="B11" s="3" t="s">
        <v>7</v>
      </c>
      <c r="C11" s="3">
        <v>1250</v>
      </c>
      <c r="D11" s="3" t="s">
        <v>8</v>
      </c>
      <c r="E11" s="3" t="s">
        <v>123</v>
      </c>
    </row>
    <row r="12" spans="1:11" x14ac:dyDescent="0.35">
      <c r="A12" s="3" t="s">
        <v>139</v>
      </c>
      <c r="B12" s="3" t="s">
        <v>141</v>
      </c>
      <c r="C12" s="3">
        <v>7.6200000000000004E-2</v>
      </c>
      <c r="D12" s="3" t="s">
        <v>4</v>
      </c>
      <c r="E12" s="3" t="s">
        <v>142</v>
      </c>
    </row>
    <row r="13" spans="1:11" x14ac:dyDescent="0.35">
      <c r="A13" s="3" t="s">
        <v>14</v>
      </c>
      <c r="B13" s="3" t="s">
        <v>10</v>
      </c>
      <c r="C13" s="8">
        <v>1.705E-4</v>
      </c>
      <c r="D13" s="3" t="s">
        <v>12</v>
      </c>
      <c r="E13" s="3" t="s">
        <v>122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0.03</v>
      </c>
      <c r="D15" s="3" t="s">
        <v>4</v>
      </c>
      <c r="E15" s="3" t="s">
        <v>132</v>
      </c>
    </row>
    <row r="16" spans="1:11" x14ac:dyDescent="0.35">
      <c r="A16" s="3" t="s">
        <v>42</v>
      </c>
      <c r="B16" s="3" t="s">
        <v>44</v>
      </c>
      <c r="C16" s="3">
        <v>5.3</v>
      </c>
      <c r="D16" s="3" t="s">
        <v>13</v>
      </c>
      <c r="E16" s="3"/>
    </row>
    <row r="17" spans="1:5" x14ac:dyDescent="0.35">
      <c r="A17" s="2" t="s">
        <v>43</v>
      </c>
      <c r="B17" s="2" t="s">
        <v>235</v>
      </c>
      <c r="C17" s="2">
        <v>101324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101325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 t="s">
        <v>130</v>
      </c>
    </row>
    <row r="20" spans="1:5" x14ac:dyDescent="0.35">
      <c r="A20" s="2" t="s">
        <v>136</v>
      </c>
      <c r="B20" s="2" t="s">
        <v>133</v>
      </c>
      <c r="C20" s="2">
        <v>1.01</v>
      </c>
      <c r="D20" s="2" t="s">
        <v>13</v>
      </c>
      <c r="E20" s="2" t="s">
        <v>58</v>
      </c>
    </row>
    <row r="21" spans="1:5" x14ac:dyDescent="0.35">
      <c r="A21" s="2" t="s">
        <v>137</v>
      </c>
      <c r="B21" s="2" t="s">
        <v>134</v>
      </c>
      <c r="C21" s="2">
        <v>0.98</v>
      </c>
      <c r="D21" s="2" t="s">
        <v>13</v>
      </c>
      <c r="E21" s="2" t="s">
        <v>58</v>
      </c>
    </row>
    <row r="22" spans="1:5" x14ac:dyDescent="0.35">
      <c r="A22" s="2" t="s">
        <v>138</v>
      </c>
      <c r="B22" s="2" t="s">
        <v>135</v>
      </c>
      <c r="C22" s="2">
        <v>0.97</v>
      </c>
      <c r="D22" s="2" t="s">
        <v>13</v>
      </c>
      <c r="E22" s="2" t="s">
        <v>58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5</v>
      </c>
      <c r="D24" s="4" t="s">
        <v>17</v>
      </c>
      <c r="E24" s="4" t="s">
        <v>128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121</v>
      </c>
    </row>
    <row r="28" spans="1:5" x14ac:dyDescent="0.35">
      <c r="B28" s="4" t="s">
        <v>46</v>
      </c>
      <c r="C28" s="4">
        <v>0.6</v>
      </c>
    </row>
    <row r="29" spans="1:5" x14ac:dyDescent="0.35">
      <c r="B29" s="4" t="s">
        <v>66</v>
      </c>
      <c r="C29" s="4">
        <v>0.4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0082-51B9-4911-9197-F9288BDFC4A0}">
  <dimension ref="A1:K28"/>
  <sheetViews>
    <sheetView topLeftCell="A7" workbookViewId="0">
      <selection activeCell="A5" sqref="A5:XFD5"/>
    </sheetView>
  </sheetViews>
  <sheetFormatPr defaultRowHeight="14.5" x14ac:dyDescent="0.35"/>
  <cols>
    <col min="1" max="1" width="37.81640625" customWidth="1"/>
    <col min="2" max="2" width="18.6328125" customWidth="1"/>
    <col min="5" max="5" width="68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</row>
    <row r="2" spans="1:11" x14ac:dyDescent="0.35">
      <c r="A2" s="3" t="s">
        <v>26</v>
      </c>
      <c r="B2" s="3" t="s">
        <v>27</v>
      </c>
      <c r="C2" s="3">
        <f>0.009</f>
        <v>8.9999999999999993E-3</v>
      </c>
      <c r="D2" s="3" t="s">
        <v>31</v>
      </c>
      <c r="E2" s="3" t="s">
        <v>159</v>
      </c>
    </row>
    <row r="3" spans="1:11" x14ac:dyDescent="0.35">
      <c r="A3" s="3" t="s">
        <v>35</v>
      </c>
      <c r="B3" s="3" t="s">
        <v>33</v>
      </c>
      <c r="C3" s="3">
        <v>5.6689999999999996</v>
      </c>
      <c r="D3" s="3" t="s">
        <v>28</v>
      </c>
      <c r="E3" s="3" t="s">
        <v>162</v>
      </c>
    </row>
    <row r="4" spans="1:11" x14ac:dyDescent="0.35">
      <c r="A4" s="3" t="s">
        <v>34</v>
      </c>
      <c r="B4" s="3" t="s">
        <v>32</v>
      </c>
      <c r="C4" s="8">
        <v>3740000</v>
      </c>
      <c r="D4" s="3" t="s">
        <v>19</v>
      </c>
      <c r="E4" s="3" t="s">
        <v>163</v>
      </c>
    </row>
    <row r="5" spans="1:11" x14ac:dyDescent="0.35">
      <c r="A5" s="3" t="s">
        <v>168</v>
      </c>
      <c r="B5" s="3" t="s">
        <v>169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7.9374999999999997E-4</v>
      </c>
      <c r="D6" s="3" t="s">
        <v>4</v>
      </c>
      <c r="E6" s="3" t="s">
        <v>165</v>
      </c>
    </row>
    <row r="7" spans="1:11" x14ac:dyDescent="0.35">
      <c r="A7" s="3" t="s">
        <v>36</v>
      </c>
      <c r="B7" s="3" t="s">
        <v>40</v>
      </c>
      <c r="C7" s="3">
        <v>37</v>
      </c>
      <c r="D7" s="3" t="s">
        <v>13</v>
      </c>
      <c r="E7" s="3" t="s">
        <v>164</v>
      </c>
    </row>
    <row r="8" spans="1:11" x14ac:dyDescent="0.35">
      <c r="A8" s="3" t="s">
        <v>25</v>
      </c>
      <c r="B8" s="3" t="s">
        <v>41</v>
      </c>
      <c r="C8" s="3">
        <v>0.66</v>
      </c>
      <c r="D8" s="3" t="s">
        <v>13</v>
      </c>
      <c r="E8" s="3" t="s">
        <v>166</v>
      </c>
    </row>
    <row r="9" spans="1:11" x14ac:dyDescent="0.35">
      <c r="A9" s="3" t="s">
        <v>5</v>
      </c>
      <c r="B9" s="3" t="s">
        <v>6</v>
      </c>
      <c r="C9" s="3">
        <v>0.30499999999999999</v>
      </c>
      <c r="D9" s="3" t="s">
        <v>4</v>
      </c>
      <c r="E9" s="3"/>
    </row>
    <row r="10" spans="1:11" x14ac:dyDescent="0.35">
      <c r="A10" s="3" t="s">
        <v>39</v>
      </c>
      <c r="B10" s="3" t="s">
        <v>60</v>
      </c>
      <c r="C10" s="3">
        <v>3.49E-2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 t="s">
        <v>158</v>
      </c>
    </row>
    <row r="12" spans="1:11" x14ac:dyDescent="0.35">
      <c r="A12" s="3" t="s">
        <v>139</v>
      </c>
      <c r="B12" s="3" t="s">
        <v>141</v>
      </c>
      <c r="C12" s="3">
        <v>7.5999999999999998E-2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8">
        <f>0.9*0.000155</f>
        <v>1.395E-4</v>
      </c>
      <c r="D13" s="3" t="s">
        <v>12</v>
      </c>
      <c r="E13" s="3" t="s">
        <v>156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2.2499999999999999E-2</v>
      </c>
      <c r="D15" s="3" t="s">
        <v>4</v>
      </c>
      <c r="E15" s="3" t="s">
        <v>161</v>
      </c>
    </row>
    <row r="16" spans="1:11" x14ac:dyDescent="0.35">
      <c r="A16" s="3" t="s">
        <v>42</v>
      </c>
      <c r="B16" s="3" t="s">
        <v>44</v>
      </c>
      <c r="C16" s="3">
        <v>1</v>
      </c>
      <c r="D16" s="3" t="s">
        <v>13</v>
      </c>
      <c r="E16" s="3" t="s">
        <v>160</v>
      </c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/>
    </row>
    <row r="20" spans="1:5" x14ac:dyDescent="0.35">
      <c r="A20" s="2" t="s">
        <v>136</v>
      </c>
      <c r="B20" s="2" t="s">
        <v>133</v>
      </c>
      <c r="C20" s="2">
        <v>1.01</v>
      </c>
      <c r="D20" s="2" t="s">
        <v>13</v>
      </c>
      <c r="E20" s="2"/>
    </row>
    <row r="21" spans="1:5" x14ac:dyDescent="0.35">
      <c r="A21" s="2" t="s">
        <v>137</v>
      </c>
      <c r="B21" s="2" t="s">
        <v>134</v>
      </c>
      <c r="C21" s="2">
        <v>0.98</v>
      </c>
      <c r="D21" s="2" t="s">
        <v>13</v>
      </c>
      <c r="E21" s="2"/>
    </row>
    <row r="22" spans="1:5" x14ac:dyDescent="0.35">
      <c r="A22" s="2" t="s">
        <v>138</v>
      </c>
      <c r="B22" s="2" t="s">
        <v>135</v>
      </c>
      <c r="C22" s="2">
        <v>0.97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3</v>
      </c>
      <c r="D24" s="4" t="s">
        <v>17</v>
      </c>
      <c r="E24" s="4" t="s">
        <v>157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167</v>
      </c>
    </row>
    <row r="28" spans="1:5" x14ac:dyDescent="0.35">
      <c r="B28" s="4" t="s">
        <v>46</v>
      </c>
      <c r="C28" s="4">
        <v>1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C8C7-B1A8-4428-8917-462282935B43}">
  <dimension ref="A1:K28"/>
  <sheetViews>
    <sheetView topLeftCell="A7" workbookViewId="0">
      <selection activeCell="B2" sqref="B2:C25"/>
    </sheetView>
  </sheetViews>
  <sheetFormatPr defaultRowHeight="14.5" x14ac:dyDescent="0.35"/>
  <cols>
    <col min="1" max="1" width="38.54296875" customWidth="1"/>
    <col min="2" max="2" width="14.6328125" customWidth="1"/>
    <col min="5" max="5" width="62.6328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151</v>
      </c>
    </row>
    <row r="2" spans="1:11" x14ac:dyDescent="0.35">
      <c r="A2" s="3" t="s">
        <v>26</v>
      </c>
      <c r="B2" s="3" t="s">
        <v>27</v>
      </c>
      <c r="C2" s="3">
        <v>1.065E-2</v>
      </c>
      <c r="D2" s="3" t="s">
        <v>31</v>
      </c>
      <c r="E2" s="3"/>
    </row>
    <row r="3" spans="1:11" x14ac:dyDescent="0.35">
      <c r="A3" s="3" t="s">
        <v>35</v>
      </c>
      <c r="B3" s="3" t="s">
        <v>33</v>
      </c>
      <c r="C3" s="3">
        <v>6.415</v>
      </c>
      <c r="D3" s="3" t="s">
        <v>28</v>
      </c>
      <c r="E3" s="3" t="s">
        <v>150</v>
      </c>
    </row>
    <row r="4" spans="1:11" x14ac:dyDescent="0.35">
      <c r="A4" s="3" t="s">
        <v>34</v>
      </c>
      <c r="B4" s="3" t="s">
        <v>32</v>
      </c>
      <c r="C4" s="8">
        <v>5516000</v>
      </c>
      <c r="D4" s="3" t="s">
        <v>19</v>
      </c>
      <c r="E4" s="3" t="s">
        <v>146</v>
      </c>
    </row>
    <row r="5" spans="1:11" x14ac:dyDescent="0.35">
      <c r="A5" s="3" t="s">
        <v>168</v>
      </c>
      <c r="B5" s="3" t="s">
        <v>169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1.6002E-3</v>
      </c>
      <c r="D6" s="3" t="s">
        <v>4</v>
      </c>
      <c r="E6" s="3"/>
    </row>
    <row r="7" spans="1:11" x14ac:dyDescent="0.35">
      <c r="A7" s="3" t="s">
        <v>36</v>
      </c>
      <c r="B7" s="3" t="s">
        <v>40</v>
      </c>
      <c r="C7" s="3">
        <v>67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0.66</v>
      </c>
      <c r="D8" s="3" t="s">
        <v>13</v>
      </c>
      <c r="E8" s="3" t="s">
        <v>144</v>
      </c>
    </row>
    <row r="9" spans="1:11" x14ac:dyDescent="0.35">
      <c r="A9" s="3" t="s">
        <v>5</v>
      </c>
      <c r="B9" s="3" t="s">
        <v>6</v>
      </c>
      <c r="C9" s="3">
        <v>0.51200000000000001</v>
      </c>
      <c r="D9" s="3" t="s">
        <v>4</v>
      </c>
      <c r="E9" s="3"/>
    </row>
    <row r="10" spans="1:11" x14ac:dyDescent="0.35">
      <c r="A10" s="3" t="s">
        <v>39</v>
      </c>
      <c r="B10" s="3" t="s">
        <v>60</v>
      </c>
      <c r="C10" s="3">
        <v>3.8100000000000002E-2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900</v>
      </c>
      <c r="D11" s="3" t="s">
        <v>8</v>
      </c>
      <c r="E11" s="3" t="s">
        <v>147</v>
      </c>
    </row>
    <row r="12" spans="1:11" x14ac:dyDescent="0.35">
      <c r="A12" s="3" t="s">
        <v>139</v>
      </c>
      <c r="B12" s="3" t="s">
        <v>141</v>
      </c>
      <c r="C12" s="3">
        <v>8.3000000000000004E-2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8">
        <v>1.55E-4</v>
      </c>
      <c r="D13" s="3" t="s">
        <v>12</v>
      </c>
      <c r="E13" s="3" t="s">
        <v>148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 t="s">
        <v>148</v>
      </c>
    </row>
    <row r="15" spans="1:11" x14ac:dyDescent="0.35">
      <c r="A15" s="3" t="s">
        <v>37</v>
      </c>
      <c r="B15" s="3" t="s">
        <v>38</v>
      </c>
      <c r="C15" s="3">
        <v>9.1439999999999994E-2</v>
      </c>
      <c r="D15" s="3" t="s">
        <v>4</v>
      </c>
      <c r="E15" s="3" t="s">
        <v>149</v>
      </c>
    </row>
    <row r="16" spans="1:11" x14ac:dyDescent="0.35">
      <c r="A16" s="3" t="s">
        <v>42</v>
      </c>
      <c r="B16" s="3" t="s">
        <v>44</v>
      </c>
      <c r="C16" s="3">
        <v>1</v>
      </c>
      <c r="D16" s="3" t="s">
        <v>13</v>
      </c>
      <c r="E16" s="3"/>
    </row>
    <row r="17" spans="1:5" x14ac:dyDescent="0.35">
      <c r="A17" s="2" t="s">
        <v>43</v>
      </c>
      <c r="B17" s="2" t="s">
        <v>235</v>
      </c>
      <c r="C17" s="2">
        <v>101324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101325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 t="s">
        <v>130</v>
      </c>
    </row>
    <row r="20" spans="1:5" x14ac:dyDescent="0.35">
      <c r="A20" s="2" t="s">
        <v>136</v>
      </c>
      <c r="B20" s="2" t="s">
        <v>133</v>
      </c>
      <c r="C20" s="2">
        <v>1.01</v>
      </c>
      <c r="D20" s="2" t="s">
        <v>13</v>
      </c>
      <c r="E20" s="2"/>
    </row>
    <row r="21" spans="1:5" x14ac:dyDescent="0.35">
      <c r="A21" s="2" t="s">
        <v>137</v>
      </c>
      <c r="B21" s="2" t="s">
        <v>134</v>
      </c>
      <c r="C21" s="2">
        <v>0.98</v>
      </c>
      <c r="D21" s="2" t="s">
        <v>13</v>
      </c>
      <c r="E21" s="2"/>
    </row>
    <row r="22" spans="1:5" x14ac:dyDescent="0.35">
      <c r="A22" s="2" t="s">
        <v>138</v>
      </c>
      <c r="B22" s="2" t="s">
        <v>135</v>
      </c>
      <c r="C22" s="2">
        <v>0.97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6</v>
      </c>
      <c r="D24" s="4" t="s">
        <v>17</v>
      </c>
      <c r="E24" s="4" t="s">
        <v>143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145</v>
      </c>
    </row>
    <row r="28" spans="1:5" x14ac:dyDescent="0.35">
      <c r="B28" s="4" t="s">
        <v>46</v>
      </c>
      <c r="C28" s="4">
        <v>1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9505-350C-4D79-8918-82467567FCFC}">
  <dimension ref="A1:K28"/>
  <sheetViews>
    <sheetView topLeftCell="A4" workbookViewId="0">
      <selection activeCell="A5" sqref="A5:XFD5"/>
    </sheetView>
  </sheetViews>
  <sheetFormatPr defaultRowHeight="14.5" x14ac:dyDescent="0.35"/>
  <cols>
    <col min="1" max="1" width="39.7265625" customWidth="1"/>
    <col min="2" max="2" width="17.54296875" customWidth="1"/>
    <col min="3" max="3" width="10.81640625" bestFit="1" customWidth="1"/>
    <col min="5" max="5" width="37.269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</row>
    <row r="2" spans="1:11" x14ac:dyDescent="0.35">
      <c r="A2" s="3" t="s">
        <v>26</v>
      </c>
      <c r="B2" s="3" t="s">
        <v>27</v>
      </c>
      <c r="C2" s="3">
        <v>0.01</v>
      </c>
      <c r="D2" s="3" t="s">
        <v>31</v>
      </c>
      <c r="E2" s="3"/>
    </row>
    <row r="3" spans="1:11" x14ac:dyDescent="0.35">
      <c r="A3" s="3" t="s">
        <v>35</v>
      </c>
      <c r="B3" s="3" t="s">
        <v>33</v>
      </c>
      <c r="C3" s="3">
        <v>4.3</v>
      </c>
      <c r="D3" s="3" t="s">
        <v>28</v>
      </c>
      <c r="E3" s="3"/>
    </row>
    <row r="4" spans="1:11" x14ac:dyDescent="0.35">
      <c r="A4" s="3" t="s">
        <v>34</v>
      </c>
      <c r="B4" s="3" t="s">
        <v>32</v>
      </c>
      <c r="C4" s="8">
        <v>5000000</v>
      </c>
      <c r="D4" s="3" t="s">
        <v>19</v>
      </c>
      <c r="E4" s="3" t="s">
        <v>98</v>
      </c>
    </row>
    <row r="5" spans="1:11" x14ac:dyDescent="0.35">
      <c r="A5" s="3" t="s">
        <v>168</v>
      </c>
      <c r="B5" s="3" t="s">
        <v>169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f>1/SQRT(PI())</f>
        <v>0.56418958354775628</v>
      </c>
      <c r="D6" s="3" t="s">
        <v>4</v>
      </c>
      <c r="E6" s="3" t="s">
        <v>99</v>
      </c>
    </row>
    <row r="7" spans="1:11" x14ac:dyDescent="0.35">
      <c r="A7" s="3" t="s">
        <v>36</v>
      </c>
      <c r="B7" s="3" t="s">
        <v>40</v>
      </c>
      <c r="C7" s="3">
        <v>1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8">
        <v>4.0000000000000003E-5</v>
      </c>
      <c r="D8" s="3" t="s">
        <v>13</v>
      </c>
      <c r="E8" s="3" t="s">
        <v>100</v>
      </c>
    </row>
    <row r="9" spans="1:11" x14ac:dyDescent="0.35">
      <c r="A9" s="3" t="s">
        <v>5</v>
      </c>
      <c r="B9" s="3" t="s">
        <v>6</v>
      </c>
      <c r="C9" s="3">
        <v>0.35560000000000003</v>
      </c>
      <c r="D9" s="3" t="s">
        <v>4</v>
      </c>
      <c r="E9" s="3"/>
    </row>
    <row r="10" spans="1:11" x14ac:dyDescent="0.35">
      <c r="A10" s="3" t="s">
        <v>39</v>
      </c>
      <c r="B10" s="3" t="s">
        <v>60</v>
      </c>
      <c r="C10" s="3">
        <v>1.2699999999999999E-2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900</v>
      </c>
      <c r="D11" s="3" t="s">
        <v>8</v>
      </c>
      <c r="E11" s="3"/>
    </row>
    <row r="12" spans="1:11" x14ac:dyDescent="0.35">
      <c r="A12" s="3" t="s">
        <v>139</v>
      </c>
      <c r="B12" s="3" t="s">
        <v>141</v>
      </c>
      <c r="C12" s="3">
        <v>6.4000000000000001E-2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8">
        <v>2.1999999999999999E-5</v>
      </c>
      <c r="D13" s="3" t="s">
        <v>12</v>
      </c>
      <c r="E13" s="3"/>
    </row>
    <row r="14" spans="1:11" x14ac:dyDescent="0.35">
      <c r="A14" s="3" t="s">
        <v>15</v>
      </c>
      <c r="B14" s="3" t="s">
        <v>11</v>
      </c>
      <c r="C14" s="3">
        <v>0.68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1.8780000000000002E-2</v>
      </c>
      <c r="D15" s="3" t="s">
        <v>4</v>
      </c>
      <c r="E15" s="3" t="s">
        <v>102</v>
      </c>
    </row>
    <row r="16" spans="1:11" x14ac:dyDescent="0.35">
      <c r="A16" s="3" t="s">
        <v>42</v>
      </c>
      <c r="B16" s="3" t="s">
        <v>44</v>
      </c>
      <c r="C16" s="3">
        <v>3.9710000000000001</v>
      </c>
      <c r="D16" s="3" t="s">
        <v>13</v>
      </c>
      <c r="E16" s="3" t="s">
        <v>101</v>
      </c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/>
    </row>
    <row r="20" spans="1:5" x14ac:dyDescent="0.35">
      <c r="A20" s="2" t="s">
        <v>136</v>
      </c>
      <c r="B20" s="2" t="s">
        <v>133</v>
      </c>
      <c r="C20" s="2">
        <v>1.01</v>
      </c>
      <c r="D20" s="2" t="s">
        <v>13</v>
      </c>
      <c r="E20" s="2" t="s">
        <v>58</v>
      </c>
    </row>
    <row r="21" spans="1:5" x14ac:dyDescent="0.35">
      <c r="A21" s="2" t="s">
        <v>137</v>
      </c>
      <c r="B21" s="2" t="s">
        <v>134</v>
      </c>
      <c r="C21" s="2">
        <v>0.98</v>
      </c>
      <c r="D21" s="2" t="s">
        <v>13</v>
      </c>
      <c r="E21" s="2" t="s">
        <v>58</v>
      </c>
    </row>
    <row r="22" spans="1:5" x14ac:dyDescent="0.35">
      <c r="A22" s="2" t="s">
        <v>138</v>
      </c>
      <c r="B22" s="2" t="s">
        <v>135</v>
      </c>
      <c r="C22" s="2">
        <v>0.97</v>
      </c>
      <c r="D22" s="2" t="s">
        <v>13</v>
      </c>
      <c r="E22" s="2" t="s">
        <v>58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11</v>
      </c>
      <c r="D24" s="4" t="s">
        <v>17</v>
      </c>
      <c r="E24" s="4" t="s">
        <v>112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t="s">
        <v>104</v>
      </c>
    </row>
    <row r="28" spans="1:5" x14ac:dyDescent="0.35">
      <c r="B28" s="4" t="s">
        <v>103</v>
      </c>
      <c r="C28" s="4">
        <v>1</v>
      </c>
    </row>
  </sheetData>
  <protectedRanges>
    <protectedRange sqref="C32:C1048576 C1" name="Value"/>
    <protectedRange sqref="C2:C4 C23:C25 C6:C19" name="Value_4_5"/>
    <protectedRange sqref="C20:C22" name="Value_4_2"/>
    <protectedRange sqref="I5" name="Value_1_1"/>
    <protectedRange sqref="C5" name="Value_4_4"/>
  </protectedRange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BB75-51F4-4459-B77F-1D6ABCAC005A}">
  <dimension ref="A1:K28"/>
  <sheetViews>
    <sheetView workbookViewId="0">
      <selection activeCell="C16" sqref="B2:C16"/>
    </sheetView>
  </sheetViews>
  <sheetFormatPr defaultRowHeight="14.5" x14ac:dyDescent="0.35"/>
  <cols>
    <col min="1" max="1" width="37.81640625" customWidth="1"/>
    <col min="2" max="2" width="17.453125" customWidth="1"/>
    <col min="5" max="5" width="61.4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</row>
    <row r="2" spans="1:11" x14ac:dyDescent="0.35">
      <c r="A2" s="3" t="s">
        <v>26</v>
      </c>
      <c r="B2" s="3" t="s">
        <v>27</v>
      </c>
      <c r="C2" s="3">
        <v>4.99E-2</v>
      </c>
      <c r="D2" s="3" t="s">
        <v>31</v>
      </c>
      <c r="E2" s="3" t="s">
        <v>84</v>
      </c>
    </row>
    <row r="3" spans="1:11" x14ac:dyDescent="0.35">
      <c r="A3" s="3" t="s">
        <v>35</v>
      </c>
      <c r="B3" s="3" t="s">
        <v>33</v>
      </c>
      <c r="C3" s="3">
        <v>33.5</v>
      </c>
      <c r="D3" s="3" t="s">
        <v>28</v>
      </c>
      <c r="E3" s="3" t="s">
        <v>140</v>
      </c>
    </row>
    <row r="4" spans="1:11" x14ac:dyDescent="0.35">
      <c r="A4" s="3" t="s">
        <v>34</v>
      </c>
      <c r="B4" s="3" t="s">
        <v>32</v>
      </c>
      <c r="C4" s="3">
        <v>4830000</v>
      </c>
      <c r="D4" s="3" t="s">
        <v>19</v>
      </c>
      <c r="E4" s="3" t="s">
        <v>85</v>
      </c>
    </row>
    <row r="5" spans="1:11" x14ac:dyDescent="0.35">
      <c r="A5" s="3" t="s">
        <v>168</v>
      </c>
      <c r="B5" s="3" t="s">
        <v>169</v>
      </c>
      <c r="C5" s="3">
        <v>689476</v>
      </c>
      <c r="D5" s="3" t="s">
        <v>19</v>
      </c>
      <c r="E5" s="3" t="s">
        <v>205</v>
      </c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1.462E-3</v>
      </c>
      <c r="D6" s="3" t="s">
        <v>4</v>
      </c>
      <c r="E6" s="3" t="s">
        <v>206</v>
      </c>
    </row>
    <row r="7" spans="1:11" x14ac:dyDescent="0.35">
      <c r="A7" s="3" t="s">
        <v>36</v>
      </c>
      <c r="B7" s="3" t="s">
        <v>40</v>
      </c>
      <c r="C7" s="3">
        <v>9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0.5</v>
      </c>
      <c r="D8" s="3" t="s">
        <v>13</v>
      </c>
      <c r="E8" s="3" t="s">
        <v>207</v>
      </c>
    </row>
    <row r="9" spans="1:11" x14ac:dyDescent="0.35">
      <c r="A9" s="3" t="s">
        <v>5</v>
      </c>
      <c r="B9" s="3" t="s">
        <v>6</v>
      </c>
      <c r="C9" s="3">
        <v>0.193</v>
      </c>
      <c r="D9" s="3" t="s">
        <v>4</v>
      </c>
      <c r="E9" s="3" t="s">
        <v>204</v>
      </c>
    </row>
    <row r="10" spans="1:11" x14ac:dyDescent="0.35">
      <c r="A10" s="3" t="s">
        <v>39</v>
      </c>
      <c r="B10" s="3" t="s">
        <v>60</v>
      </c>
      <c r="C10" s="3">
        <v>2.5399999999999999E-2</v>
      </c>
      <c r="D10" s="3" t="s">
        <v>4</v>
      </c>
      <c r="E10" s="3" t="s">
        <v>106</v>
      </c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 t="s">
        <v>86</v>
      </c>
    </row>
    <row r="12" spans="1:11" x14ac:dyDescent="0.35">
      <c r="A12" s="3" t="s">
        <v>139</v>
      </c>
      <c r="B12" s="3" t="s">
        <v>141</v>
      </c>
      <c r="C12" s="3">
        <v>6.0706000000000003E-2</v>
      </c>
      <c r="D12" s="3" t="s">
        <v>4</v>
      </c>
      <c r="E12" s="3" t="s">
        <v>208</v>
      </c>
    </row>
    <row r="13" spans="1:11" x14ac:dyDescent="0.35">
      <c r="A13" s="3" t="s">
        <v>14</v>
      </c>
      <c r="B13" s="3" t="s">
        <v>10</v>
      </c>
      <c r="C13" s="3">
        <f>0.155/1000</f>
        <v>1.55E-4</v>
      </c>
      <c r="D13" s="3" t="s">
        <v>12</v>
      </c>
      <c r="E13" s="3" t="s">
        <v>87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 t="s">
        <v>87</v>
      </c>
    </row>
    <row r="15" spans="1:11" x14ac:dyDescent="0.35">
      <c r="A15" s="3" t="s">
        <v>37</v>
      </c>
      <c r="B15" s="3" t="s">
        <v>38</v>
      </c>
      <c r="C15" s="3">
        <v>1.7000000000000001E-2</v>
      </c>
      <c r="D15" s="3" t="s">
        <v>4</v>
      </c>
      <c r="E15" s="3" t="s">
        <v>88</v>
      </c>
    </row>
    <row r="16" spans="1:11" x14ac:dyDescent="0.35">
      <c r="A16" s="3" t="s">
        <v>42</v>
      </c>
      <c r="B16" s="3" t="s">
        <v>44</v>
      </c>
      <c r="C16" s="3">
        <v>8.6463999999999999</v>
      </c>
      <c r="D16" s="3" t="s">
        <v>13</v>
      </c>
      <c r="E16" s="3" t="s">
        <v>88</v>
      </c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 t="s">
        <v>55</v>
      </c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 t="s">
        <v>236</v>
      </c>
    </row>
    <row r="19" spans="1:5" x14ac:dyDescent="0.35">
      <c r="A19" s="2" t="s">
        <v>21</v>
      </c>
      <c r="B19" s="2" t="s">
        <v>237</v>
      </c>
      <c r="C19" s="2">
        <v>298</v>
      </c>
      <c r="D19" s="2" t="s">
        <v>18</v>
      </c>
      <c r="E19" s="2" t="s">
        <v>89</v>
      </c>
    </row>
    <row r="20" spans="1:5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</row>
    <row r="21" spans="1:5" x14ac:dyDescent="0.35">
      <c r="A21" s="2" t="s">
        <v>137</v>
      </c>
      <c r="B21" s="2" t="s">
        <v>134</v>
      </c>
      <c r="C21" s="2">
        <v>0.95</v>
      </c>
      <c r="D21" s="2" t="s">
        <v>13</v>
      </c>
      <c r="E21" s="2"/>
    </row>
    <row r="22" spans="1:5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 t="s">
        <v>58</v>
      </c>
    </row>
    <row r="24" spans="1:5" x14ac:dyDescent="0.35">
      <c r="A24" s="4" t="s">
        <v>30</v>
      </c>
      <c r="B24" s="4" t="s">
        <v>29</v>
      </c>
      <c r="C24" s="4">
        <v>3</v>
      </c>
      <c r="D24" s="4" t="s">
        <v>17</v>
      </c>
      <c r="E24" s="4" t="s">
        <v>90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/>
    </row>
    <row r="28" spans="1:5" x14ac:dyDescent="0.35">
      <c r="B28" s="4" t="s">
        <v>46</v>
      </c>
      <c r="C28" s="4">
        <v>1</v>
      </c>
    </row>
  </sheetData>
  <protectedRanges>
    <protectedRange sqref="C2" name="Value"/>
    <protectedRange sqref="C1" name="Value_1"/>
    <protectedRange sqref="C3:C4 C23:C25 C6:C19" name="Value_4"/>
    <protectedRange sqref="C20:C22" name="Value_4_2"/>
    <protectedRange sqref="I5" name="Value_1_1"/>
    <protectedRange sqref="C5" name="Value_4_4"/>
  </protectedRanges>
  <hyperlinks>
    <hyperlink ref="E11" r:id="rId1" xr:uid="{69ABA8BD-8B0E-44A0-B106-4ACBFB1AE8B1}"/>
  </hyperlinks>
  <pageMargins left="0.7" right="0.7" top="0.75" bottom="0.75" header="0.3" footer="0.3"/>
  <pageSetup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3545-B466-4CEA-9AA9-2EF882257987}">
  <dimension ref="A1:J17"/>
  <sheetViews>
    <sheetView workbookViewId="0">
      <selection activeCell="B17" sqref="B17"/>
    </sheetView>
  </sheetViews>
  <sheetFormatPr defaultRowHeight="14.5" x14ac:dyDescent="0.35"/>
  <cols>
    <col min="1" max="1" width="10.7265625" customWidth="1"/>
    <col min="2" max="3" width="15.08984375" customWidth="1"/>
    <col min="4" max="5" width="9.90625" customWidth="1"/>
    <col min="7" max="7" width="18.1796875" customWidth="1"/>
    <col min="8" max="8" width="16.36328125" customWidth="1"/>
    <col min="9" max="9" width="15.1796875" customWidth="1"/>
    <col min="10" max="10" width="68" customWidth="1"/>
  </cols>
  <sheetData>
    <row r="1" spans="1:10" x14ac:dyDescent="0.35">
      <c r="A1" t="s">
        <v>61</v>
      </c>
      <c r="B1" t="s">
        <v>64</v>
      </c>
      <c r="C1" t="s">
        <v>71</v>
      </c>
      <c r="D1" t="s">
        <v>77</v>
      </c>
      <c r="G1" s="20" t="s">
        <v>63</v>
      </c>
      <c r="H1" s="20"/>
      <c r="I1" s="20"/>
    </row>
    <row r="2" spans="1:10" x14ac:dyDescent="0.35">
      <c r="A2" t="s">
        <v>46</v>
      </c>
      <c r="B2">
        <v>930</v>
      </c>
      <c r="C2">
        <v>0.97</v>
      </c>
      <c r="D2">
        <f>C2/B2</f>
        <v>1.043010752688172E-3</v>
      </c>
      <c r="G2" t="s">
        <v>61</v>
      </c>
      <c r="H2" t="s">
        <v>62</v>
      </c>
      <c r="I2" t="s">
        <v>64</v>
      </c>
      <c r="J2" t="s">
        <v>68</v>
      </c>
    </row>
    <row r="3" spans="1:10" x14ac:dyDescent="0.35">
      <c r="A3" t="s">
        <v>66</v>
      </c>
      <c r="B3">
        <v>2700</v>
      </c>
      <c r="C3">
        <v>0</v>
      </c>
      <c r="D3">
        <f t="shared" ref="D3:D6" si="0">C3/B3</f>
        <v>0</v>
      </c>
      <c r="G3" t="s">
        <v>46</v>
      </c>
      <c r="H3" t="s">
        <v>65</v>
      </c>
      <c r="I3">
        <v>900</v>
      </c>
      <c r="J3" t="s">
        <v>75</v>
      </c>
    </row>
    <row r="4" spans="1:10" x14ac:dyDescent="0.35">
      <c r="A4" t="s">
        <v>70</v>
      </c>
      <c r="B4">
        <v>940.8</v>
      </c>
      <c r="C4">
        <v>0</v>
      </c>
      <c r="D4">
        <f t="shared" si="0"/>
        <v>0</v>
      </c>
      <c r="G4" t="s">
        <v>66</v>
      </c>
      <c r="H4" t="s">
        <v>67</v>
      </c>
      <c r="I4">
        <v>2700</v>
      </c>
      <c r="J4" t="s">
        <v>74</v>
      </c>
    </row>
    <row r="5" spans="1:10" x14ac:dyDescent="0.35">
      <c r="A5" t="s">
        <v>48</v>
      </c>
      <c r="B5">
        <v>928</v>
      </c>
      <c r="C5">
        <v>0</v>
      </c>
      <c r="D5">
        <f t="shared" si="0"/>
        <v>0</v>
      </c>
      <c r="G5" t="s">
        <v>70</v>
      </c>
      <c r="H5" t="s">
        <v>72</v>
      </c>
      <c r="I5">
        <v>940.8</v>
      </c>
      <c r="J5" t="s">
        <v>69</v>
      </c>
    </row>
    <row r="6" spans="1:10" x14ac:dyDescent="0.35">
      <c r="A6" t="s">
        <v>92</v>
      </c>
      <c r="B6">
        <v>220</v>
      </c>
      <c r="C6">
        <v>0.03</v>
      </c>
      <c r="D6">
        <f t="shared" si="0"/>
        <v>1.3636363636363637E-4</v>
      </c>
      <c r="G6" t="s">
        <v>48</v>
      </c>
      <c r="H6" t="s">
        <v>13</v>
      </c>
      <c r="I6">
        <v>928</v>
      </c>
      <c r="J6" t="s">
        <v>73</v>
      </c>
    </row>
    <row r="7" spans="1:10" x14ac:dyDescent="0.35">
      <c r="C7">
        <f>SUM(C2:C6)</f>
        <v>1</v>
      </c>
      <c r="G7" t="s">
        <v>92</v>
      </c>
      <c r="H7" t="s">
        <v>93</v>
      </c>
      <c r="I7">
        <v>220</v>
      </c>
      <c r="J7" t="s">
        <v>202</v>
      </c>
    </row>
    <row r="9" spans="1:10" x14ac:dyDescent="0.35">
      <c r="A9" t="s">
        <v>76</v>
      </c>
      <c r="B9" s="6">
        <f>1/SUM(D2:D6)</f>
        <v>847.90716949854959</v>
      </c>
    </row>
    <row r="13" spans="1:10" x14ac:dyDescent="0.35">
      <c r="A13" s="13" t="s">
        <v>223</v>
      </c>
      <c r="B13" s="13" t="s">
        <v>2</v>
      </c>
      <c r="C13" s="14"/>
    </row>
    <row r="14" spans="1:10" x14ac:dyDescent="0.35">
      <c r="A14" s="13" t="s">
        <v>224</v>
      </c>
      <c r="B14" s="15">
        <v>2.1316040260254498E-5</v>
      </c>
      <c r="C14" s="13" t="s">
        <v>225</v>
      </c>
    </row>
    <row r="15" spans="1:10" x14ac:dyDescent="0.35">
      <c r="A15" s="13" t="s">
        <v>226</v>
      </c>
      <c r="B15" s="16">
        <v>0.4</v>
      </c>
      <c r="C15" s="13"/>
    </row>
    <row r="16" spans="1:10" x14ac:dyDescent="0.35">
      <c r="A16" s="13" t="s">
        <v>11</v>
      </c>
      <c r="B16" s="14">
        <v>30</v>
      </c>
      <c r="C16" s="13" t="s">
        <v>13</v>
      </c>
    </row>
    <row r="17" spans="1:3" x14ac:dyDescent="0.35">
      <c r="A17" s="13" t="s">
        <v>227</v>
      </c>
      <c r="B17" s="17">
        <f>SQRT(4*B14/B15/B16/PI())</f>
        <v>1.5038956467710461E-3</v>
      </c>
      <c r="C17" s="13" t="s">
        <v>4</v>
      </c>
    </row>
  </sheetData>
  <mergeCells count="1"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D12D-A38D-4E69-A975-4A1A89A53A24}">
  <dimension ref="A1:U391"/>
  <sheetViews>
    <sheetView workbookViewId="0">
      <selection activeCell="E9" sqref="E9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 t="s">
        <v>179</v>
      </c>
      <c r="H1" s="19" t="s">
        <v>196</v>
      </c>
      <c r="I1" s="19"/>
      <c r="J1" s="19" t="s">
        <v>183</v>
      </c>
      <c r="K1" s="19"/>
      <c r="L1" s="1" t="s">
        <v>45</v>
      </c>
    </row>
    <row r="2" spans="1:21" x14ac:dyDescent="0.35">
      <c r="A2" s="3" t="s">
        <v>26</v>
      </c>
      <c r="B2" s="3" t="s">
        <v>27</v>
      </c>
      <c r="C2" s="3">
        <v>9.3660041253114407E-3</v>
      </c>
      <c r="D2" s="3" t="s">
        <v>31</v>
      </c>
      <c r="E2" s="3"/>
      <c r="G2" s="5" t="s">
        <v>180</v>
      </c>
      <c r="H2" s="5">
        <v>0.13969999999999999</v>
      </c>
      <c r="I2" s="5" t="s">
        <v>4</v>
      </c>
      <c r="J2" s="11">
        <f>H2*39.3701</f>
        <v>5.5000029699999997</v>
      </c>
      <c r="K2" s="5" t="s">
        <v>184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5.01441959747262</v>
      </c>
      <c r="D3" s="3" t="s">
        <v>28</v>
      </c>
      <c r="E3" s="3" t="s">
        <v>209</v>
      </c>
      <c r="G3" s="5" t="s">
        <v>193</v>
      </c>
      <c r="H3" s="5">
        <f>J3/39.3701</f>
        <v>6.3499965710018518E-3</v>
      </c>
      <c r="I3" s="5" t="s">
        <v>4</v>
      </c>
      <c r="J3" s="5">
        <v>0.25</v>
      </c>
      <c r="K3" s="5" t="s">
        <v>184</v>
      </c>
      <c r="L3" t="s">
        <v>195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5000000</v>
      </c>
      <c r="D4" s="3" t="s">
        <v>19</v>
      </c>
      <c r="E4" s="3"/>
      <c r="G4" s="5" t="s">
        <v>194</v>
      </c>
      <c r="H4" s="5">
        <f>H2-2*H3</f>
        <v>0.12700000685799628</v>
      </c>
      <c r="I4" s="5" t="s">
        <v>4</v>
      </c>
      <c r="J4" s="11">
        <f>H4*39.3701</f>
        <v>5.0000029699999997</v>
      </c>
      <c r="K4" s="5" t="s">
        <v>184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 t="s">
        <v>37</v>
      </c>
      <c r="H5" s="5">
        <f>C15</f>
        <v>2.5552238064009601E-2</v>
      </c>
      <c r="I5" s="5" t="s">
        <v>4</v>
      </c>
      <c r="J5" s="10">
        <f t="shared" ref="J5:J6" si="2">H5*39.3701</f>
        <v>1.0059941678038644</v>
      </c>
      <c r="K5" s="5" t="s">
        <v>184</v>
      </c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v>1.5038956467710461E-3</v>
      </c>
      <c r="D6" s="3" t="s">
        <v>4</v>
      </c>
      <c r="E6" s="3" t="s">
        <v>228</v>
      </c>
      <c r="G6" s="5" t="s">
        <v>232</v>
      </c>
      <c r="H6" s="5">
        <f>H5*SQRT(C16)</f>
        <v>6.251992379964541E-2</v>
      </c>
      <c r="I6" s="5" t="s">
        <v>4</v>
      </c>
      <c r="J6" s="10">
        <f t="shared" si="2"/>
        <v>2.4614156519844199</v>
      </c>
      <c r="K6" s="5" t="s">
        <v>184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30</v>
      </c>
      <c r="D7" s="3" t="s">
        <v>13</v>
      </c>
      <c r="E7" s="3" t="s">
        <v>228</v>
      </c>
      <c r="G7" s="5" t="s">
        <v>233</v>
      </c>
      <c r="H7" s="5">
        <f>C10</f>
        <v>6.2526646482361503E-2</v>
      </c>
      <c r="I7" s="5" t="s">
        <v>4</v>
      </c>
      <c r="J7" s="10">
        <f t="shared" ref="J7:J8" si="3">H7*39.3701</f>
        <v>2.4616803246752208</v>
      </c>
      <c r="K7" s="5" t="s">
        <v>184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228</v>
      </c>
      <c r="G8" s="5" t="s">
        <v>234</v>
      </c>
      <c r="H8" s="5">
        <f>C12</f>
        <v>8.9278174841333602E-2</v>
      </c>
      <c r="I8" s="5" t="s">
        <v>4</v>
      </c>
      <c r="J8" s="10">
        <f t="shared" si="3"/>
        <v>3.5148906713207881</v>
      </c>
      <c r="K8" s="5" t="s">
        <v>184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0.25154091198379303</v>
      </c>
      <c r="D9" s="3" t="s">
        <v>4</v>
      </c>
      <c r="E9" s="3"/>
      <c r="G9" s="5"/>
      <c r="H9" s="5"/>
      <c r="I9" s="5"/>
      <c r="J9" s="5"/>
      <c r="K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60</v>
      </c>
      <c r="C10" s="3">
        <v>6.2526646482361503E-2</v>
      </c>
      <c r="D10" s="3" t="s">
        <v>4</v>
      </c>
      <c r="E10" s="3"/>
      <c r="G10" s="5" t="s">
        <v>181</v>
      </c>
      <c r="H10" s="5">
        <f>J10/39.3701</f>
        <v>0.50799972568014817</v>
      </c>
      <c r="I10" s="5"/>
      <c r="J10" s="5">
        <v>20</v>
      </c>
      <c r="K10" s="5" t="s">
        <v>184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182</v>
      </c>
      <c r="H11" s="5">
        <f t="shared" ref="H11:H14" si="4">J11/39.3701</f>
        <v>0.63499965710018513</v>
      </c>
      <c r="I11" s="5"/>
      <c r="J11" s="5">
        <v>25</v>
      </c>
      <c r="K11" s="5" t="s">
        <v>184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139</v>
      </c>
      <c r="B12" s="3" t="s">
        <v>141</v>
      </c>
      <c r="C12" s="3">
        <v>8.9278174841333602E-2</v>
      </c>
      <c r="D12" s="3" t="s">
        <v>4</v>
      </c>
      <c r="E12" s="3" t="s">
        <v>213</v>
      </c>
      <c r="G12" s="5" t="s">
        <v>185</v>
      </c>
      <c r="H12" s="5">
        <f t="shared" si="4"/>
        <v>0.25399986284007409</v>
      </c>
      <c r="I12" s="5"/>
      <c r="J12" s="5">
        <v>10</v>
      </c>
      <c r="K12" s="5" t="s">
        <v>184</v>
      </c>
      <c r="L12" s="5" t="s">
        <v>189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186</v>
      </c>
      <c r="H13" s="10">
        <f>4*C2/PI()/H4^2</f>
        <v>0.73936174223956719</v>
      </c>
      <c r="I13" s="5" t="s">
        <v>4</v>
      </c>
      <c r="J13" s="11">
        <f>H13*39.3701</f>
        <v>29.108745728145983</v>
      </c>
      <c r="K13" s="5" t="s">
        <v>184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 t="s">
        <v>190</v>
      </c>
      <c r="H14" s="5">
        <f t="shared" si="4"/>
        <v>0.25399986284007409</v>
      </c>
      <c r="I14" s="5"/>
      <c r="J14" s="11">
        <v>10</v>
      </c>
      <c r="K14" s="5" t="s">
        <v>184</v>
      </c>
      <c r="L14" s="5" t="s">
        <v>231</v>
      </c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2.5552238064009601E-2</v>
      </c>
      <c r="D15" s="3" t="s">
        <v>4</v>
      </c>
      <c r="E15" s="3"/>
      <c r="G15" s="5" t="s">
        <v>187</v>
      </c>
      <c r="H15" s="10">
        <f>C10*3</f>
        <v>0.18757993944708451</v>
      </c>
      <c r="I15" s="5" t="s">
        <v>4</v>
      </c>
      <c r="J15" s="11">
        <f>H15*39.3701</f>
        <v>7.385040974025662</v>
      </c>
      <c r="K15" s="5" t="s">
        <v>184</v>
      </c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44</v>
      </c>
      <c r="C16" s="3">
        <v>5.9865827504742102</v>
      </c>
      <c r="D16" s="3" t="s">
        <v>13</v>
      </c>
      <c r="E16" s="3"/>
      <c r="G16" s="5" t="s">
        <v>5</v>
      </c>
      <c r="H16" s="10">
        <f>C9</f>
        <v>0.25154091198379303</v>
      </c>
      <c r="I16" s="5" t="s">
        <v>4</v>
      </c>
      <c r="J16" s="18">
        <f>H16*39.3701</f>
        <v>9.9031908588931294</v>
      </c>
      <c r="K16" s="5" t="s">
        <v>184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235</v>
      </c>
      <c r="C17" s="2">
        <v>85600</v>
      </c>
      <c r="D17" s="2" t="s">
        <v>19</v>
      </c>
      <c r="E17" s="2"/>
      <c r="G17" s="5" t="s">
        <v>191</v>
      </c>
      <c r="H17" s="5">
        <f t="shared" ref="H17" si="5">J17/39.3701</f>
        <v>0.10159994513602963</v>
      </c>
      <c r="I17" s="5" t="s">
        <v>4</v>
      </c>
      <c r="J17" s="5">
        <v>4</v>
      </c>
      <c r="K17" s="5" t="s">
        <v>184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78</v>
      </c>
      <c r="C18" s="2">
        <v>85601</v>
      </c>
      <c r="D18" s="2" t="s">
        <v>19</v>
      </c>
      <c r="E18" s="2"/>
      <c r="G18" s="5"/>
      <c r="H18" s="5"/>
      <c r="I18" s="5"/>
      <c r="J18" s="5"/>
      <c r="K18" s="5"/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237</v>
      </c>
      <c r="C19" s="2">
        <v>301</v>
      </c>
      <c r="D19" s="2" t="s">
        <v>18</v>
      </c>
      <c r="E19" s="2"/>
      <c r="G19" s="5" t="s">
        <v>230</v>
      </c>
      <c r="H19" s="5">
        <f>H11+H12</f>
        <v>0.88899951994025916</v>
      </c>
      <c r="I19" s="5" t="s">
        <v>4</v>
      </c>
      <c r="J19" s="5">
        <f>J12+J11</f>
        <v>35</v>
      </c>
      <c r="K19" s="5" t="s">
        <v>184</v>
      </c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  <c r="G20" s="5" t="s">
        <v>198</v>
      </c>
      <c r="H20" s="10">
        <f>SUM(H13:H17)</f>
        <v>1.5340824016465484</v>
      </c>
      <c r="I20" s="5" t="s">
        <v>4</v>
      </c>
      <c r="J20" s="12">
        <f>SUM(J13:J17)</f>
        <v>60.396977561064773</v>
      </c>
      <c r="K20" s="5" t="s">
        <v>184</v>
      </c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137</v>
      </c>
      <c r="B21" s="2" t="s">
        <v>134</v>
      </c>
      <c r="C21" s="2">
        <v>0.9</v>
      </c>
      <c r="D21" s="2" t="s">
        <v>13</v>
      </c>
      <c r="E21" s="2"/>
      <c r="G21" s="5" t="s">
        <v>197</v>
      </c>
      <c r="H21" s="10">
        <f>SUM(H11:H17)</f>
        <v>2.4230819215868071</v>
      </c>
      <c r="I21" s="5" t="s">
        <v>4</v>
      </c>
      <c r="J21" s="12">
        <f>SUM(J11:J17)</f>
        <v>95.396977561064759</v>
      </c>
      <c r="K21" s="5" t="s">
        <v>184</v>
      </c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  <c r="G22" s="5" t="s">
        <v>192</v>
      </c>
      <c r="H22" s="10">
        <f>SUM(H10:H17)</f>
        <v>2.9310816472669559</v>
      </c>
      <c r="I22" s="5" t="s">
        <v>4</v>
      </c>
      <c r="J22" s="12">
        <f>SUM(J10:J17)</f>
        <v>115.39697756106476</v>
      </c>
      <c r="K22" s="5" t="s">
        <v>184</v>
      </c>
      <c r="Q22">
        <v>0.21</v>
      </c>
      <c r="R22">
        <v>4453.1945874064504</v>
      </c>
      <c r="T22">
        <f t="shared" ref="T22:T27" ca="1" si="6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/>
      <c r="H23" s="5"/>
      <c r="I23" s="5"/>
      <c r="J23" s="5"/>
      <c r="K23" s="5"/>
      <c r="Q23">
        <v>0.22</v>
      </c>
      <c r="R23">
        <v>4453.61262561081</v>
      </c>
      <c r="T23">
        <f t="shared" ca="1" si="6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6"/>
        <v>2.99</v>
      </c>
      <c r="U24">
        <f t="shared" ca="1" si="0"/>
        <v>861.40364763002196</v>
      </c>
    </row>
    <row r="25" spans="1:2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 t="s">
        <v>217</v>
      </c>
      <c r="H25" s="5">
        <f>H28-H27-H26</f>
        <v>25.295799999999996</v>
      </c>
      <c r="I25" s="5"/>
      <c r="J25" s="5"/>
      <c r="K25" s="5"/>
      <c r="Q25">
        <v>0.24</v>
      </c>
      <c r="R25">
        <v>4438.9778265661498</v>
      </c>
      <c r="T25">
        <f t="shared" ca="1" si="6"/>
        <v>3.12</v>
      </c>
      <c r="U25">
        <f t="shared" ca="1" si="0"/>
        <v>695.70738211064304</v>
      </c>
    </row>
    <row r="26" spans="1:2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 t="s">
        <v>218</v>
      </c>
      <c r="H26" s="5">
        <v>5.5042</v>
      </c>
      <c r="I26" s="5"/>
      <c r="J26" s="5"/>
      <c r="K26" s="5"/>
      <c r="Q26">
        <v>0.25</v>
      </c>
      <c r="R26">
        <v>4439.4323285586897</v>
      </c>
      <c r="T26">
        <f t="shared" ca="1" si="6"/>
        <v>3.25</v>
      </c>
      <c r="U26">
        <f t="shared" ca="1" si="0"/>
        <v>561.15328548936895</v>
      </c>
    </row>
    <row r="27" spans="1:21" x14ac:dyDescent="0.35">
      <c r="E27" s="4" t="s">
        <v>178</v>
      </c>
      <c r="G27" s="5" t="s">
        <v>229</v>
      </c>
      <c r="H27">
        <v>4</v>
      </c>
      <c r="I27" s="5"/>
      <c r="J27" s="5"/>
      <c r="K27" s="5"/>
      <c r="Q27">
        <v>0.26</v>
      </c>
      <c r="R27">
        <v>4439.2283485832804</v>
      </c>
      <c r="T27">
        <f t="shared" ca="1" si="6"/>
        <v>3.38</v>
      </c>
      <c r="U27">
        <f t="shared" ca="1" si="0"/>
        <v>457.21197558441003</v>
      </c>
    </row>
    <row r="28" spans="1:21" x14ac:dyDescent="0.35">
      <c r="B28" s="4" t="s">
        <v>46</v>
      </c>
      <c r="C28" s="4">
        <v>1</v>
      </c>
      <c r="G28" s="5" t="s">
        <v>219</v>
      </c>
      <c r="H28" s="5">
        <v>34.799999999999997</v>
      </c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7">OFFSET(Q30, (ROW()-1)*12,0)</f>
        <v>3.77</v>
      </c>
      <c r="U30">
        <f t="shared" ca="1" si="0"/>
        <v>235.61909390647301</v>
      </c>
    </row>
    <row r="31" spans="1:21" x14ac:dyDescent="0.35">
      <c r="G31" s="5">
        <f>C15/(1-0.075)</f>
        <v>2.7624041150280648E-2</v>
      </c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>
        <f>C16/(1+0.075)</f>
        <v>5.5689141864876373</v>
      </c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G34" s="5"/>
      <c r="H34" s="5"/>
      <c r="I34" s="5"/>
      <c r="J34" s="5"/>
      <c r="K34" s="5"/>
      <c r="Q34">
        <v>0.33</v>
      </c>
      <c r="R34">
        <v>4396.2656313798898</v>
      </c>
    </row>
    <row r="35" spans="7:18" x14ac:dyDescent="0.35">
      <c r="G35" s="5"/>
      <c r="H35" s="5"/>
      <c r="I35" s="5"/>
      <c r="J35" s="5"/>
      <c r="K35" s="5"/>
      <c r="Q35">
        <v>0.34</v>
      </c>
      <c r="R35">
        <v>4396.6154063047898</v>
      </c>
    </row>
    <row r="36" spans="7:18" x14ac:dyDescent="0.35">
      <c r="G36" s="5"/>
      <c r="H36" s="5"/>
      <c r="I36" s="5"/>
      <c r="J36" s="5"/>
      <c r="K36" s="5"/>
      <c r="Q36">
        <v>0.35</v>
      </c>
      <c r="R36">
        <v>4396.4916296559604</v>
      </c>
    </row>
    <row r="37" spans="7:18" x14ac:dyDescent="0.35">
      <c r="G37" s="5"/>
      <c r="H37" s="5"/>
      <c r="I37" s="5"/>
      <c r="J37" s="5"/>
      <c r="K37" s="5"/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7:I36 I10:I11 I13:I25 K20:K21 I1:I8" name="Value"/>
    <protectedRange sqref="C1" name="Value_1"/>
    <protectedRange sqref="C2:C4 C23:C25 C6:C19" name="Value_4"/>
    <protectedRange sqref="C20:C22" name="Value_4_2"/>
    <protectedRange sqref="I9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73F1-4D52-4EB7-A21E-80C29F36C93C}">
  <dimension ref="A1:U391"/>
  <sheetViews>
    <sheetView topLeftCell="B1" workbookViewId="0">
      <selection activeCell="E18" sqref="E18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 t="s">
        <v>179</v>
      </c>
      <c r="H1" s="19" t="s">
        <v>196</v>
      </c>
      <c r="I1" s="19"/>
      <c r="J1" s="19" t="s">
        <v>183</v>
      </c>
      <c r="K1" s="19"/>
      <c r="L1" s="1" t="s">
        <v>45</v>
      </c>
    </row>
    <row r="2" spans="1:21" x14ac:dyDescent="0.35">
      <c r="A2" s="3" t="s">
        <v>26</v>
      </c>
      <c r="B2" s="3" t="s">
        <v>27</v>
      </c>
      <c r="C2" s="3">
        <v>9.9533250545457506E-3</v>
      </c>
      <c r="D2" s="3" t="s">
        <v>31</v>
      </c>
      <c r="E2" s="3"/>
      <c r="G2" s="5" t="s">
        <v>180</v>
      </c>
      <c r="H2" s="5">
        <f>C12+0.05</f>
        <v>0.13887230614999901</v>
      </c>
      <c r="I2" s="5" t="s">
        <v>4</v>
      </c>
      <c r="J2" s="11">
        <f>H2*39.3701</f>
        <v>5.4674165803560761</v>
      </c>
      <c r="K2" s="5" t="s">
        <v>184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5.1098368059076602</v>
      </c>
      <c r="D3" s="3" t="s">
        <v>28</v>
      </c>
      <c r="E3" s="3" t="s">
        <v>209</v>
      </c>
      <c r="G3" s="5" t="s">
        <v>193</v>
      </c>
      <c r="H3" s="5">
        <f>J3/39.3701</f>
        <v>6.3499965710018518E-3</v>
      </c>
      <c r="I3" s="5" t="s">
        <v>4</v>
      </c>
      <c r="J3" s="5">
        <v>0.25</v>
      </c>
      <c r="K3" s="5" t="s">
        <v>184</v>
      </c>
      <c r="L3" t="s">
        <v>195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5999968.40875623</v>
      </c>
      <c r="D4" s="3" t="s">
        <v>19</v>
      </c>
      <c r="E4" s="3"/>
      <c r="G4" s="5" t="s">
        <v>194</v>
      </c>
      <c r="H4" s="5">
        <f>H2-2*H3</f>
        <v>0.12617231300799531</v>
      </c>
      <c r="I4" s="5" t="s">
        <v>4</v>
      </c>
      <c r="J4" s="11">
        <f>H4*39.3701</f>
        <v>4.9674165803560761</v>
      </c>
      <c r="K4" s="5" t="s">
        <v>184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1.49082153002548/1000</f>
        <v>1.4908215300254799E-3</v>
      </c>
      <c r="D6" s="3" t="s">
        <v>4</v>
      </c>
      <c r="E6" s="3" t="s">
        <v>222</v>
      </c>
      <c r="G6" s="5" t="s">
        <v>181</v>
      </c>
      <c r="H6" s="5">
        <f>J6/39.3701</f>
        <v>0.50799972568014817</v>
      </c>
      <c r="I6" s="5"/>
      <c r="J6" s="5">
        <v>20</v>
      </c>
      <c r="K6" s="5" t="s">
        <v>184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25</v>
      </c>
      <c r="D7" s="3" t="s">
        <v>13</v>
      </c>
      <c r="E7" s="3" t="s">
        <v>222</v>
      </c>
      <c r="G7" s="5" t="s">
        <v>182</v>
      </c>
      <c r="H7" s="5">
        <f t="shared" ref="H7:H10" si="2">J7/39.3701</f>
        <v>0.63499965710018513</v>
      </c>
      <c r="I7" s="5"/>
      <c r="J7" s="5">
        <v>25</v>
      </c>
      <c r="K7" s="5" t="s">
        <v>184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222</v>
      </c>
      <c r="G8" s="5" t="s">
        <v>185</v>
      </c>
      <c r="H8" s="5">
        <f t="shared" si="2"/>
        <v>0.25399986284007409</v>
      </c>
      <c r="I8" s="5"/>
      <c r="J8" s="5">
        <v>10</v>
      </c>
      <c r="K8" s="5" t="s">
        <v>184</v>
      </c>
      <c r="L8" s="5" t="s">
        <v>189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0.23942038178955599</v>
      </c>
      <c r="D9" s="3" t="s">
        <v>4</v>
      </c>
      <c r="E9" s="3"/>
      <c r="G9" s="5" t="s">
        <v>186</v>
      </c>
      <c r="H9" s="10">
        <f>4*C2/PI()/H4^2</f>
        <v>0.79606801838789942</v>
      </c>
      <c r="I9" s="5" t="s">
        <v>4</v>
      </c>
      <c r="J9" s="11">
        <f>H9*39.3701</f>
        <v>31.341277490733439</v>
      </c>
      <c r="K9" s="5" t="s">
        <v>184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60</v>
      </c>
      <c r="C10" s="3">
        <v>5.6352313089541403E-2</v>
      </c>
      <c r="D10" s="3" t="s">
        <v>4</v>
      </c>
      <c r="E10" s="3"/>
      <c r="G10" s="5" t="s">
        <v>190</v>
      </c>
      <c r="H10" s="5">
        <f t="shared" si="2"/>
        <v>0.25399986284007409</v>
      </c>
      <c r="I10" s="5"/>
      <c r="J10" s="11">
        <v>10</v>
      </c>
      <c r="K10" s="5" t="s">
        <v>184</v>
      </c>
      <c r="L10" s="5" t="s">
        <v>188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187</v>
      </c>
      <c r="H11" s="10">
        <f>C10*4</f>
        <v>0.22540925235816561</v>
      </c>
      <c r="I11" s="5" t="s">
        <v>4</v>
      </c>
      <c r="J11" s="11">
        <f>H11*39.3701</f>
        <v>8.8743848062662156</v>
      </c>
      <c r="K11" s="5" t="s">
        <v>184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139</v>
      </c>
      <c r="B12" s="3" t="s">
        <v>141</v>
      </c>
      <c r="C12" s="3">
        <v>8.8872306149998997E-2</v>
      </c>
      <c r="D12" s="3" t="s">
        <v>4</v>
      </c>
      <c r="E12" s="3" t="s">
        <v>213</v>
      </c>
      <c r="G12" s="5" t="s">
        <v>5</v>
      </c>
      <c r="H12" s="10">
        <f>C9</f>
        <v>0.23942038178955599</v>
      </c>
      <c r="I12" s="5" t="s">
        <v>4</v>
      </c>
      <c r="J12" s="11">
        <f>H12*39.3701</f>
        <v>9.426004373092999</v>
      </c>
      <c r="K12" s="5" t="s">
        <v>184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191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184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2.1618550943869601E-2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44</v>
      </c>
      <c r="C16" s="3">
        <v>7.03840449840059</v>
      </c>
      <c r="D16" s="3" t="s">
        <v>13</v>
      </c>
      <c r="E16" s="3"/>
      <c r="G16" s="5" t="s">
        <v>198</v>
      </c>
      <c r="H16" s="10">
        <f>SUM(H9:H13)</f>
        <v>1.6418974467957321</v>
      </c>
      <c r="I16" s="5" t="s">
        <v>4</v>
      </c>
      <c r="J16" s="12">
        <f>SUM(J9:J13)</f>
        <v>64.641666670092661</v>
      </c>
      <c r="K16" s="5" t="s">
        <v>184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235</v>
      </c>
      <c r="C17" s="2">
        <v>86652</v>
      </c>
      <c r="D17" s="2" t="s">
        <v>19</v>
      </c>
      <c r="E17" s="2"/>
      <c r="G17" s="5" t="s">
        <v>197</v>
      </c>
      <c r="H17" s="10">
        <f>SUM(H7:H13)</f>
        <v>2.5308969667359915</v>
      </c>
      <c r="I17" s="5" t="s">
        <v>4</v>
      </c>
      <c r="J17" s="12">
        <f>SUM(J7:J13)</f>
        <v>99.641666670092647</v>
      </c>
      <c r="K17" s="5" t="s">
        <v>184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78</v>
      </c>
      <c r="C18" s="2">
        <v>86653</v>
      </c>
      <c r="D18" s="2" t="s">
        <v>19</v>
      </c>
      <c r="E18" s="2"/>
      <c r="G18" s="5" t="s">
        <v>192</v>
      </c>
      <c r="H18" s="10">
        <f>SUM(H6:H13)</f>
        <v>3.0388966924161394</v>
      </c>
      <c r="I18" s="5" t="s">
        <v>4</v>
      </c>
      <c r="J18" s="12">
        <f>SUM(J6:J13)</f>
        <v>119.64166667009265</v>
      </c>
      <c r="K18" s="5" t="s">
        <v>184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237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137</v>
      </c>
      <c r="B21" s="2" t="s">
        <v>134</v>
      </c>
      <c r="C21" s="2">
        <v>0.9</v>
      </c>
      <c r="D21" s="2" t="s">
        <v>13</v>
      </c>
      <c r="E21" s="2"/>
      <c r="G21" s="5" t="s">
        <v>217</v>
      </c>
      <c r="H21" s="5">
        <v>24.919599999999999</v>
      </c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  <c r="G22" s="5" t="s">
        <v>218</v>
      </c>
      <c r="H22" s="5">
        <v>4.5930999999999997</v>
      </c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 t="s">
        <v>219</v>
      </c>
      <c r="H23" s="5">
        <f>H22+H21</f>
        <v>29.512699999999999</v>
      </c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178</v>
      </c>
      <c r="G27" s="5">
        <f>C15/(1-0.075)</f>
        <v>2.3371406425804972E-2</v>
      </c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46</v>
      </c>
      <c r="C28" s="4">
        <v>1</v>
      </c>
      <c r="G28" s="5">
        <f>C16/(1+0.075)</f>
        <v>6.5473530217679912</v>
      </c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E31" t="s">
        <v>220</v>
      </c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29BD-FA94-4758-B4A7-652F17941DA9}">
  <dimension ref="A1:U391"/>
  <sheetViews>
    <sheetView workbookViewId="0">
      <selection activeCell="C10" sqref="C10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 t="s">
        <v>179</v>
      </c>
      <c r="H1" s="19" t="s">
        <v>196</v>
      </c>
      <c r="I1" s="19"/>
      <c r="J1" s="19" t="s">
        <v>183</v>
      </c>
      <c r="K1" s="19"/>
      <c r="L1" s="1" t="s">
        <v>45</v>
      </c>
    </row>
    <row r="2" spans="1:21" x14ac:dyDescent="0.35">
      <c r="A2" s="3" t="s">
        <v>26</v>
      </c>
      <c r="B2" s="3" t="s">
        <v>27</v>
      </c>
      <c r="C2" s="3">
        <v>8.4070600197689999E-3</v>
      </c>
      <c r="D2" s="3" t="s">
        <v>31</v>
      </c>
      <c r="E2" s="3"/>
      <c r="G2" s="5" t="s">
        <v>180</v>
      </c>
      <c r="H2" s="5">
        <f>C12+0.05</f>
        <v>0.13900000000000001</v>
      </c>
      <c r="I2" s="5" t="s">
        <v>4</v>
      </c>
      <c r="J2" s="11">
        <f>H2*39.3701</f>
        <v>5.4724439000000009</v>
      </c>
      <c r="K2" s="5" t="s">
        <v>184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4.4359102111716497</v>
      </c>
      <c r="D3" s="3" t="s">
        <v>28</v>
      </c>
      <c r="E3" s="3" t="s">
        <v>209</v>
      </c>
      <c r="G3" s="5" t="s">
        <v>193</v>
      </c>
      <c r="H3" s="5">
        <f>J3/39.3701</f>
        <v>6.3499965710018518E-3</v>
      </c>
      <c r="I3" s="5" t="s">
        <v>4</v>
      </c>
      <c r="J3" s="5">
        <v>0.25</v>
      </c>
      <c r="K3" s="5" t="s">
        <v>184</v>
      </c>
      <c r="L3" t="s">
        <v>195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5359623.6455424801</v>
      </c>
      <c r="D4" s="3" t="s">
        <v>19</v>
      </c>
      <c r="E4" s="3"/>
      <c r="G4" s="5" t="s">
        <v>194</v>
      </c>
      <c r="H4" s="5">
        <f>H2-2*H3</f>
        <v>0.12630000685799631</v>
      </c>
      <c r="I4" s="5" t="s">
        <v>4</v>
      </c>
      <c r="J4" s="11">
        <f>H4*39.3701</f>
        <v>4.9724439</v>
      </c>
      <c r="K4" s="5" t="s">
        <v>184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1.52616520081975/1000</f>
        <v>1.5261652008197498E-3</v>
      </c>
      <c r="D6" s="3" t="s">
        <v>4</v>
      </c>
      <c r="E6" s="3" t="s">
        <v>221</v>
      </c>
      <c r="G6" s="5" t="s">
        <v>181</v>
      </c>
      <c r="H6" s="5">
        <f>J6/39.3701</f>
        <v>0.50799972568014817</v>
      </c>
      <c r="I6" s="5"/>
      <c r="J6" s="5">
        <v>20</v>
      </c>
      <c r="K6" s="5" t="s">
        <v>184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40</v>
      </c>
      <c r="D7" s="3" t="s">
        <v>13</v>
      </c>
      <c r="E7" s="3" t="s">
        <v>221</v>
      </c>
      <c r="G7" s="5" t="s">
        <v>182</v>
      </c>
      <c r="H7" s="5">
        <f t="shared" ref="H7:H10" si="2">J7/39.3701</f>
        <v>0.63499965710018513</v>
      </c>
      <c r="I7" s="5"/>
      <c r="J7" s="5">
        <v>25</v>
      </c>
      <c r="K7" s="5" t="s">
        <v>184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221</v>
      </c>
      <c r="G8" s="5" t="s">
        <v>185</v>
      </c>
      <c r="H8" s="5">
        <f t="shared" si="2"/>
        <v>0.25399986284007409</v>
      </c>
      <c r="I8" s="5"/>
      <c r="J8" s="5">
        <v>10</v>
      </c>
      <c r="K8" s="5" t="s">
        <v>184</v>
      </c>
      <c r="L8" s="5" t="s">
        <v>189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0.28824222759799401</v>
      </c>
      <c r="D9" s="3" t="s">
        <v>4</v>
      </c>
      <c r="E9" s="3"/>
      <c r="G9" s="5" t="s">
        <v>186</v>
      </c>
      <c r="H9" s="10">
        <f>4*C2/PI()/H4^2</f>
        <v>0.6710386241001165</v>
      </c>
      <c r="I9" s="5" t="s">
        <v>4</v>
      </c>
      <c r="J9" s="11">
        <f>H9*39.3701</f>
        <v>26.418857734683996</v>
      </c>
      <c r="K9" s="5" t="s">
        <v>184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60</v>
      </c>
      <c r="C10" s="3">
        <v>7.0905578414316994E-2</v>
      </c>
      <c r="D10" s="3" t="s">
        <v>4</v>
      </c>
      <c r="E10" s="3"/>
      <c r="G10" s="5" t="s">
        <v>190</v>
      </c>
      <c r="H10" s="5">
        <f t="shared" si="2"/>
        <v>0.25399986284007409</v>
      </c>
      <c r="I10" s="5"/>
      <c r="J10" s="11">
        <v>10</v>
      </c>
      <c r="K10" s="5" t="s">
        <v>184</v>
      </c>
      <c r="L10" s="5" t="s">
        <v>188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187</v>
      </c>
      <c r="H11" s="10">
        <f>C10*4</f>
        <v>0.28362231365726798</v>
      </c>
      <c r="I11" s="5" t="s">
        <v>4</v>
      </c>
      <c r="J11" s="11">
        <f>H11*39.3701</f>
        <v>11.166238850918006</v>
      </c>
      <c r="K11" s="5" t="s">
        <v>184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139</v>
      </c>
      <c r="B12" s="3" t="s">
        <v>141</v>
      </c>
      <c r="C12" s="3">
        <v>8.8999999999999996E-2</v>
      </c>
      <c r="D12" s="3" t="s">
        <v>4</v>
      </c>
      <c r="E12" s="3" t="s">
        <v>213</v>
      </c>
      <c r="G12" s="5" t="s">
        <v>5</v>
      </c>
      <c r="H12" s="10">
        <f>C9</f>
        <v>0.28824222759799401</v>
      </c>
      <c r="I12" s="5" t="s">
        <v>4</v>
      </c>
      <c r="J12" s="11">
        <f>H12*39.3701</f>
        <v>11.348125324755785</v>
      </c>
      <c r="K12" s="5" t="s">
        <v>184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191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184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3.3453479142441997E-2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44</v>
      </c>
      <c r="C16" s="3">
        <v>5.7373135992949704</v>
      </c>
      <c r="D16" s="3" t="s">
        <v>13</v>
      </c>
      <c r="E16" s="3"/>
      <c r="G16" s="5" t="s">
        <v>198</v>
      </c>
      <c r="H16" s="10">
        <f>SUM(H9:H13)</f>
        <v>1.6239029596154897</v>
      </c>
      <c r="I16" s="5" t="s">
        <v>4</v>
      </c>
      <c r="J16" s="12">
        <f>SUM(J9:J13)</f>
        <v>63.933221910357787</v>
      </c>
      <c r="K16" s="5" t="s">
        <v>184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235</v>
      </c>
      <c r="C17" s="2">
        <v>86652</v>
      </c>
      <c r="D17" s="2" t="s">
        <v>19</v>
      </c>
      <c r="E17" s="2"/>
      <c r="G17" s="5" t="s">
        <v>197</v>
      </c>
      <c r="H17" s="10">
        <f>SUM(H7:H13)</f>
        <v>2.5129024795557489</v>
      </c>
      <c r="I17" s="5" t="s">
        <v>4</v>
      </c>
      <c r="J17" s="12">
        <f>SUM(J7:J13)</f>
        <v>98.933221910357787</v>
      </c>
      <c r="K17" s="5" t="s">
        <v>184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78</v>
      </c>
      <c r="C18" s="2">
        <v>86653</v>
      </c>
      <c r="D18" s="2" t="s">
        <v>19</v>
      </c>
      <c r="E18" s="2"/>
      <c r="G18" s="5" t="s">
        <v>192</v>
      </c>
      <c r="H18" s="10">
        <f>SUM(H6:H13)</f>
        <v>3.0209022052358971</v>
      </c>
      <c r="I18" s="5" t="s">
        <v>4</v>
      </c>
      <c r="J18" s="12">
        <f>SUM(J6:J13)</f>
        <v>118.93322191035779</v>
      </c>
      <c r="K18" s="5" t="s">
        <v>184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237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137</v>
      </c>
      <c r="B21" s="2" t="s">
        <v>134</v>
      </c>
      <c r="C21" s="2">
        <v>0.9</v>
      </c>
      <c r="D21" s="2" t="s">
        <v>13</v>
      </c>
      <c r="E21" s="2"/>
      <c r="G21" s="5" t="s">
        <v>217</v>
      </c>
      <c r="H21" s="5">
        <v>24.919599999999999</v>
      </c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  <c r="G22" s="5" t="s">
        <v>218</v>
      </c>
      <c r="H22" s="5">
        <v>4.5930999999999997</v>
      </c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 t="s">
        <v>219</v>
      </c>
      <c r="H23" s="5">
        <f>H22+H21</f>
        <v>29.512699999999999</v>
      </c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178</v>
      </c>
      <c r="G27" s="5">
        <f>C15/(1-0.075)</f>
        <v>3.6165923397234588E-2</v>
      </c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46</v>
      </c>
      <c r="C28" s="4">
        <v>1</v>
      </c>
      <c r="G28" s="5">
        <f>C16/(1+0.075)</f>
        <v>5.337035906320903</v>
      </c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E31" t="s">
        <v>220</v>
      </c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B7A6-E8A2-4B5C-8DC5-70987B2BAA30}">
  <dimension ref="A1:U391"/>
  <sheetViews>
    <sheetView workbookViewId="0">
      <selection activeCell="C24" sqref="B2:C24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 t="s">
        <v>179</v>
      </c>
      <c r="H1" s="19" t="s">
        <v>196</v>
      </c>
      <c r="I1" s="19"/>
      <c r="J1" s="19" t="s">
        <v>183</v>
      </c>
      <c r="K1" s="19"/>
      <c r="L1" s="1" t="s">
        <v>45</v>
      </c>
    </row>
    <row r="2" spans="1:21" x14ac:dyDescent="0.35">
      <c r="A2" s="3" t="s">
        <v>26</v>
      </c>
      <c r="B2" s="3" t="s">
        <v>27</v>
      </c>
      <c r="C2" s="3">
        <v>8.7849749719768992E-3</v>
      </c>
      <c r="D2" s="3" t="s">
        <v>31</v>
      </c>
      <c r="E2" s="3"/>
      <c r="G2" s="5" t="s">
        <v>180</v>
      </c>
      <c r="H2" s="5">
        <f>C12+0.05</f>
        <v>0.1143</v>
      </c>
      <c r="I2" s="5" t="s">
        <v>4</v>
      </c>
      <c r="J2" s="11">
        <f>H2*39.3701</f>
        <v>4.5000024300000003</v>
      </c>
      <c r="K2" s="5" t="s">
        <v>184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4.5591307061812403</v>
      </c>
      <c r="D3" s="3" t="s">
        <v>28</v>
      </c>
      <c r="E3" s="3" t="s">
        <v>209</v>
      </c>
      <c r="G3" s="5" t="s">
        <v>193</v>
      </c>
      <c r="H3" s="5">
        <f>J3/39.3701</f>
        <v>6.3499965710018518E-3</v>
      </c>
      <c r="I3" s="5" t="s">
        <v>4</v>
      </c>
      <c r="J3" s="5">
        <v>0.25</v>
      </c>
      <c r="K3" s="5" t="s">
        <v>184</v>
      </c>
      <c r="L3" t="s">
        <v>195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5754943.1970282504</v>
      </c>
      <c r="D4" s="3" t="s">
        <v>19</v>
      </c>
      <c r="E4" s="3"/>
      <c r="G4" s="5" t="s">
        <v>194</v>
      </c>
      <c r="H4" s="5">
        <f>H2-2*H3</f>
        <v>0.10160000685799629</v>
      </c>
      <c r="I4" s="5" t="s">
        <v>4</v>
      </c>
      <c r="J4" s="11">
        <f>H4*39.3701</f>
        <v>4.0000024299999994</v>
      </c>
      <c r="K4" s="5" t="s">
        <v>184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1.408/1000</f>
        <v>1.408E-3</v>
      </c>
      <c r="D6" s="3" t="s">
        <v>4</v>
      </c>
      <c r="E6" s="3" t="s">
        <v>214</v>
      </c>
      <c r="G6" s="5" t="s">
        <v>181</v>
      </c>
      <c r="H6" s="5">
        <f>J6/39.3701</f>
        <v>0.50799972568014817</v>
      </c>
      <c r="I6" s="5"/>
      <c r="J6" s="5">
        <v>20</v>
      </c>
      <c r="K6" s="5" t="s">
        <v>184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40</v>
      </c>
      <c r="D7" s="3" t="s">
        <v>13</v>
      </c>
      <c r="E7" s="3" t="s">
        <v>215</v>
      </c>
      <c r="G7" s="5" t="s">
        <v>182</v>
      </c>
      <c r="H7" s="5">
        <f t="shared" ref="H7:H10" si="2">J7/39.3701</f>
        <v>0.63499965710018513</v>
      </c>
      <c r="I7" s="5"/>
      <c r="J7" s="5">
        <v>25</v>
      </c>
      <c r="K7" s="5" t="s">
        <v>184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216</v>
      </c>
      <c r="G8" s="5" t="s">
        <v>185</v>
      </c>
      <c r="H8" s="5">
        <f t="shared" si="2"/>
        <v>0.25399986284007409</v>
      </c>
      <c r="I8" s="5"/>
      <c r="J8" s="5">
        <v>10</v>
      </c>
      <c r="K8" s="5" t="s">
        <v>184</v>
      </c>
      <c r="L8" s="5" t="s">
        <v>189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0.31562499999999999</v>
      </c>
      <c r="D9" s="3" t="s">
        <v>4</v>
      </c>
      <c r="E9" s="3"/>
      <c r="G9" s="5" t="s">
        <v>186</v>
      </c>
      <c r="H9" s="10">
        <f>4*C2/PI()/H4^2</f>
        <v>1.0835854694770162</v>
      </c>
      <c r="I9" s="5" t="s">
        <v>4</v>
      </c>
      <c r="J9" s="11">
        <f>H9*39.3701</f>
        <v>42.660868291857078</v>
      </c>
      <c r="K9" s="5" t="s">
        <v>184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60</v>
      </c>
      <c r="C10" s="3">
        <v>3.2765688599083402E-2</v>
      </c>
      <c r="D10" s="3" t="s">
        <v>4</v>
      </c>
      <c r="E10" s="3"/>
      <c r="G10" s="5" t="s">
        <v>190</v>
      </c>
      <c r="H10" s="5">
        <f t="shared" si="2"/>
        <v>0.25399986284007409</v>
      </c>
      <c r="I10" s="5"/>
      <c r="J10" s="11">
        <v>10</v>
      </c>
      <c r="K10" s="5" t="s">
        <v>184</v>
      </c>
      <c r="L10" s="5" t="s">
        <v>188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187</v>
      </c>
      <c r="H11" s="10">
        <f>C10*4</f>
        <v>0.13106275439633361</v>
      </c>
      <c r="I11" s="5" t="s">
        <v>4</v>
      </c>
      <c r="J11" s="11">
        <f>H11*39.3701</f>
        <v>5.1599537468590935</v>
      </c>
      <c r="K11" s="5" t="s">
        <v>184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139</v>
      </c>
      <c r="B12" s="3" t="s">
        <v>141</v>
      </c>
      <c r="C12" s="3">
        <v>6.4299999999999996E-2</v>
      </c>
      <c r="D12" s="3" t="s">
        <v>4</v>
      </c>
      <c r="E12" s="3" t="s">
        <v>213</v>
      </c>
      <c r="G12" s="5" t="s">
        <v>5</v>
      </c>
      <c r="H12" s="10">
        <f>C9</f>
        <v>0.31562499999999999</v>
      </c>
      <c r="I12" s="5" t="s">
        <v>4</v>
      </c>
      <c r="J12" s="11">
        <f>H12*39.3701</f>
        <v>12.4261878125</v>
      </c>
      <c r="K12" s="5" t="s">
        <v>184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191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184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3.7036119040167098E-2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44</v>
      </c>
      <c r="C16" s="3">
        <v>4.9671819796115404</v>
      </c>
      <c r="D16" s="3" t="s">
        <v>13</v>
      </c>
      <c r="E16" s="3"/>
      <c r="G16" s="5" t="s">
        <v>198</v>
      </c>
      <c r="H16" s="10">
        <f>SUM(H9:H13)</f>
        <v>1.911273018133461</v>
      </c>
      <c r="I16" s="5" t="s">
        <v>4</v>
      </c>
      <c r="J16" s="12">
        <f>SUM(J9:J13)</f>
        <v>75.247009851216177</v>
      </c>
      <c r="K16" s="5" t="s">
        <v>184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235</v>
      </c>
      <c r="C17" s="2">
        <v>86652</v>
      </c>
      <c r="D17" s="2" t="s">
        <v>19</v>
      </c>
      <c r="E17" s="2"/>
      <c r="G17" s="5" t="s">
        <v>197</v>
      </c>
      <c r="H17" s="10">
        <f>SUM(H7:H13)</f>
        <v>2.8002725380737199</v>
      </c>
      <c r="I17" s="5" t="s">
        <v>4</v>
      </c>
      <c r="J17" s="12">
        <f>SUM(J7:J13)</f>
        <v>110.24700985121616</v>
      </c>
      <c r="K17" s="5" t="s">
        <v>184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78</v>
      </c>
      <c r="C18" s="2">
        <v>86653</v>
      </c>
      <c r="D18" s="2" t="s">
        <v>19</v>
      </c>
      <c r="E18" s="2"/>
      <c r="G18" s="5" t="s">
        <v>192</v>
      </c>
      <c r="H18" s="10">
        <f>SUM(H6:H13)</f>
        <v>3.3082722637538677</v>
      </c>
      <c r="I18" s="5" t="s">
        <v>4</v>
      </c>
      <c r="J18" s="12">
        <f>SUM(J6:J13)</f>
        <v>130.24700985121615</v>
      </c>
      <c r="K18" s="5" t="s">
        <v>184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237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137</v>
      </c>
      <c r="B21" s="2" t="s">
        <v>134</v>
      </c>
      <c r="C21" s="2">
        <v>0.9</v>
      </c>
      <c r="D21" s="2" t="s">
        <v>13</v>
      </c>
      <c r="E21" s="2"/>
      <c r="G21" s="5" t="s">
        <v>217</v>
      </c>
      <c r="H21" s="5">
        <v>24.919599999999999</v>
      </c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  <c r="G22" s="5" t="s">
        <v>218</v>
      </c>
      <c r="H22" s="5">
        <v>4.5930999999999997</v>
      </c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 t="s">
        <v>219</v>
      </c>
      <c r="H23" s="5">
        <f>H22+H21</f>
        <v>29.512699999999999</v>
      </c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178</v>
      </c>
      <c r="G27" s="5">
        <f>C15/(1-0.075)</f>
        <v>4.0039047610991453E-2</v>
      </c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46</v>
      </c>
      <c r="C28" s="4">
        <v>1</v>
      </c>
      <c r="G28" s="5">
        <f>C16/(1+0.075)</f>
        <v>4.6206343996386421</v>
      </c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E31" t="s">
        <v>220</v>
      </c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BBB8-739D-48A1-BA86-E8049A05DEA4}">
  <dimension ref="A1:U391"/>
  <sheetViews>
    <sheetView workbookViewId="0">
      <selection activeCell="B15" sqref="B15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 t="s">
        <v>179</v>
      </c>
      <c r="H1" s="19" t="s">
        <v>196</v>
      </c>
      <c r="I1" s="19"/>
      <c r="J1" s="19" t="s">
        <v>183</v>
      </c>
      <c r="K1" s="19"/>
      <c r="L1" s="1" t="s">
        <v>45</v>
      </c>
    </row>
    <row r="2" spans="1:21" x14ac:dyDescent="0.35">
      <c r="A2" s="3" t="s">
        <v>26</v>
      </c>
      <c r="B2" s="3" t="s">
        <v>27</v>
      </c>
      <c r="C2" s="3">
        <v>8.2802400966192607E-3</v>
      </c>
      <c r="D2" s="3" t="s">
        <v>31</v>
      </c>
      <c r="E2" s="3"/>
      <c r="G2" s="5" t="s">
        <v>180</v>
      </c>
      <c r="H2" s="5">
        <f>C12+0.05</f>
        <v>0.11005573862710091</v>
      </c>
      <c r="I2" s="5" t="s">
        <v>4</v>
      </c>
      <c r="J2" s="11">
        <f>H2*39.3701</f>
        <v>4.332905435322826</v>
      </c>
      <c r="K2" s="5" t="s">
        <v>184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4.2509038749765802</v>
      </c>
      <c r="D3" s="3" t="s">
        <v>28</v>
      </c>
      <c r="E3" s="3" t="s">
        <v>209</v>
      </c>
      <c r="G3" s="5" t="s">
        <v>193</v>
      </c>
      <c r="H3" s="5">
        <f>J3/39.3701</f>
        <v>6.3499965710018518E-3</v>
      </c>
      <c r="I3" s="5" t="s">
        <v>4</v>
      </c>
      <c r="J3" s="5">
        <v>0.25</v>
      </c>
      <c r="K3" s="5" t="s">
        <v>184</v>
      </c>
      <c r="L3" t="s">
        <v>195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5999993.2262108698</v>
      </c>
      <c r="D4" s="3" t="s">
        <v>19</v>
      </c>
      <c r="E4" s="3"/>
      <c r="G4" s="5" t="s">
        <v>194</v>
      </c>
      <c r="H4" s="5">
        <f>H2-2*H3</f>
        <v>9.7355745485097206E-2</v>
      </c>
      <c r="I4" s="5" t="s">
        <v>4</v>
      </c>
      <c r="J4" s="11">
        <f>H4*39.3701</f>
        <v>3.8329054353228256</v>
      </c>
      <c r="K4" s="5" t="s">
        <v>184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1.7840688137561/1000</f>
        <v>1.7840688137561E-3</v>
      </c>
      <c r="D6" s="3" t="s">
        <v>4</v>
      </c>
      <c r="E6" s="3" t="s">
        <v>210</v>
      </c>
      <c r="G6" s="5" t="s">
        <v>181</v>
      </c>
      <c r="H6" s="5">
        <f>J6/39.3701</f>
        <v>0.50799972568014817</v>
      </c>
      <c r="I6" s="5"/>
      <c r="J6" s="5">
        <v>20</v>
      </c>
      <c r="K6" s="5" t="s">
        <v>184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40</v>
      </c>
      <c r="D7" s="3" t="s">
        <v>13</v>
      </c>
      <c r="E7" s="3" t="s">
        <v>211</v>
      </c>
      <c r="G7" s="5" t="s">
        <v>182</v>
      </c>
      <c r="H7" s="5">
        <f t="shared" ref="H7:H10" si="2">J7/39.3701</f>
        <v>0.63499965710018513</v>
      </c>
      <c r="I7" s="5"/>
      <c r="J7" s="5">
        <v>25</v>
      </c>
      <c r="K7" s="5" t="s">
        <v>184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212</v>
      </c>
      <c r="G8" s="5" t="s">
        <v>185</v>
      </c>
      <c r="H8" s="5">
        <f t="shared" si="2"/>
        <v>0.25399986284007409</v>
      </c>
      <c r="I8" s="5"/>
      <c r="J8" s="5">
        <v>10</v>
      </c>
      <c r="K8" s="5" t="s">
        <v>184</v>
      </c>
      <c r="L8" s="5" t="s">
        <v>189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0.31733274846388199</v>
      </c>
      <c r="D9" s="3" t="s">
        <v>4</v>
      </c>
      <c r="E9" s="3"/>
      <c r="G9" s="5" t="s">
        <v>186</v>
      </c>
      <c r="H9" s="10">
        <f>4*C2/PI()/H4^2</f>
        <v>1.1123203307333775</v>
      </c>
      <c r="I9" s="5" t="s">
        <v>4</v>
      </c>
      <c r="J9" s="11">
        <f>H9*39.3701</f>
        <v>43.792162653006152</v>
      </c>
      <c r="K9" s="5" t="s">
        <v>184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60</v>
      </c>
      <c r="C10" s="3">
        <v>2.6642966083152E-2</v>
      </c>
      <c r="D10" s="3" t="s">
        <v>4</v>
      </c>
      <c r="E10" s="3"/>
      <c r="G10" s="5" t="s">
        <v>190</v>
      </c>
      <c r="H10" s="5">
        <f t="shared" si="2"/>
        <v>0.25399986284007409</v>
      </c>
      <c r="I10" s="5"/>
      <c r="J10" s="11">
        <v>10</v>
      </c>
      <c r="K10" s="5" t="s">
        <v>184</v>
      </c>
      <c r="L10" s="5" t="s">
        <v>188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187</v>
      </c>
      <c r="H11" s="10">
        <f>C10*4</f>
        <v>0.106571864332608</v>
      </c>
      <c r="I11" s="5" t="s">
        <v>4</v>
      </c>
      <c r="J11" s="11">
        <f>H11*39.3701</f>
        <v>4.1957449559612101</v>
      </c>
      <c r="K11" s="5" t="s">
        <v>184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139</v>
      </c>
      <c r="B12" s="3" t="s">
        <v>141</v>
      </c>
      <c r="C12" s="3">
        <v>6.0055738627100903E-2</v>
      </c>
      <c r="D12" s="3" t="s">
        <v>4</v>
      </c>
      <c r="E12" s="3" t="s">
        <v>213</v>
      </c>
      <c r="G12" s="5" t="s">
        <v>5</v>
      </c>
      <c r="H12" s="10">
        <f>C9</f>
        <v>0.31733274846388199</v>
      </c>
      <c r="I12" s="5" t="s">
        <v>4</v>
      </c>
      <c r="J12" s="11">
        <f>H12*39.3701</f>
        <v>12.493422040297881</v>
      </c>
      <c r="K12" s="5" t="s">
        <v>184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191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184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2.5514751520534E-2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44</v>
      </c>
      <c r="C16" s="3">
        <v>8.2717344990564605</v>
      </c>
      <c r="D16" s="3" t="s">
        <v>13</v>
      </c>
      <c r="E16" s="3"/>
      <c r="G16" s="5" t="s">
        <v>198</v>
      </c>
      <c r="H16" s="10">
        <f>SUM(H9:H13)</f>
        <v>1.9172247377899785</v>
      </c>
      <c r="I16" s="5" t="s">
        <v>4</v>
      </c>
      <c r="J16" s="12">
        <f>SUM(J9:J13)</f>
        <v>75.481329649265248</v>
      </c>
      <c r="K16" s="5" t="s">
        <v>184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235</v>
      </c>
      <c r="C17" s="2">
        <v>86652</v>
      </c>
      <c r="D17" s="2" t="s">
        <v>19</v>
      </c>
      <c r="E17" s="2"/>
      <c r="G17" s="5" t="s">
        <v>197</v>
      </c>
      <c r="H17" s="10">
        <f>SUM(H7:H13)</f>
        <v>2.8062242577302379</v>
      </c>
      <c r="I17" s="5" t="s">
        <v>4</v>
      </c>
      <c r="J17" s="12">
        <f>SUM(J7:J13)</f>
        <v>110.48132964926525</v>
      </c>
      <c r="K17" s="5" t="s">
        <v>184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78</v>
      </c>
      <c r="C18" s="2">
        <v>86653</v>
      </c>
      <c r="D18" s="2" t="s">
        <v>19</v>
      </c>
      <c r="E18" s="2"/>
      <c r="G18" s="5" t="s">
        <v>192</v>
      </c>
      <c r="H18" s="10">
        <f>SUM(H6:H13)</f>
        <v>3.3142239834103857</v>
      </c>
      <c r="I18" s="5" t="s">
        <v>4</v>
      </c>
      <c r="J18" s="12">
        <f>SUM(J6:J13)</f>
        <v>130.48132964926526</v>
      </c>
      <c r="K18" s="5" t="s">
        <v>184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237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137</v>
      </c>
      <c r="B21" s="2" t="s">
        <v>134</v>
      </c>
      <c r="C21" s="2">
        <v>0.9</v>
      </c>
      <c r="D21" s="2" t="s">
        <v>13</v>
      </c>
      <c r="E21" s="2"/>
      <c r="G21" s="5"/>
      <c r="H21" s="5"/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  <c r="G22" s="5"/>
      <c r="H22" s="5"/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/>
      <c r="H23" s="5"/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178</v>
      </c>
      <c r="G27" s="5"/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46</v>
      </c>
      <c r="C28" s="4">
        <v>1</v>
      </c>
      <c r="G28" s="5"/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39A5-CE65-446E-A913-5DE8EC0C0413}">
  <dimension ref="A1:K29"/>
  <sheetViews>
    <sheetView topLeftCell="A7" workbookViewId="0">
      <selection activeCell="C22" sqref="C22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/>
      <c r="H1" s="7"/>
      <c r="I1" s="7"/>
      <c r="J1" s="7"/>
      <c r="K1" s="7"/>
    </row>
    <row r="2" spans="1:11" x14ac:dyDescent="0.35">
      <c r="A2" s="3" t="s">
        <v>26</v>
      </c>
      <c r="B2" s="3" t="s">
        <v>27</v>
      </c>
      <c r="C2" s="3">
        <v>1.2E-2</v>
      </c>
      <c r="D2" s="3" t="s">
        <v>31</v>
      </c>
      <c r="E2" s="3" t="s">
        <v>153</v>
      </c>
      <c r="G2" s="5"/>
      <c r="H2" s="5"/>
      <c r="I2" s="5"/>
      <c r="J2" s="5"/>
      <c r="K2" s="5"/>
    </row>
    <row r="3" spans="1:11" x14ac:dyDescent="0.35">
      <c r="A3" s="3" t="s">
        <v>35</v>
      </c>
      <c r="B3" s="3" t="s">
        <v>33</v>
      </c>
      <c r="C3" s="3">
        <v>8.1999999999999993</v>
      </c>
      <c r="D3" s="3" t="s">
        <v>28</v>
      </c>
      <c r="E3" s="3" t="s">
        <v>154</v>
      </c>
      <c r="G3" s="5"/>
      <c r="H3" s="5"/>
      <c r="I3" s="5"/>
      <c r="J3" s="5"/>
      <c r="K3" s="5"/>
    </row>
    <row r="4" spans="1:11" x14ac:dyDescent="0.35">
      <c r="A4" s="3" t="s">
        <v>34</v>
      </c>
      <c r="B4" s="3" t="s">
        <v>32</v>
      </c>
      <c r="C4" s="9">
        <v>3920207.65629109</v>
      </c>
      <c r="D4" s="3" t="s">
        <v>19</v>
      </c>
      <c r="E4" s="3" t="s">
        <v>170</v>
      </c>
      <c r="G4" s="5"/>
      <c r="H4" s="5"/>
      <c r="I4" s="5"/>
      <c r="J4" s="5"/>
      <c r="K4" s="5"/>
    </row>
    <row r="5" spans="1:1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 t="s">
        <v>173</v>
      </c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1.5E-3</v>
      </c>
      <c r="D6" s="3" t="s">
        <v>4</v>
      </c>
      <c r="E6" s="3"/>
      <c r="G6" s="5"/>
      <c r="H6" s="5"/>
      <c r="I6" s="5"/>
      <c r="J6" s="5"/>
      <c r="K6" s="5"/>
    </row>
    <row r="7" spans="1:11" x14ac:dyDescent="0.35">
      <c r="A7" s="3" t="s">
        <v>36</v>
      </c>
      <c r="B7" s="3" t="s">
        <v>40</v>
      </c>
      <c r="C7" s="3">
        <v>37</v>
      </c>
      <c r="D7" s="3" t="s">
        <v>13</v>
      </c>
      <c r="E7" s="3"/>
      <c r="G7" s="5"/>
      <c r="H7" s="5"/>
      <c r="I7" s="5"/>
      <c r="J7" s="5"/>
      <c r="K7" s="5"/>
    </row>
    <row r="8" spans="1:11" x14ac:dyDescent="0.35">
      <c r="A8" s="3" t="s">
        <v>25</v>
      </c>
      <c r="B8" s="3" t="s">
        <v>41</v>
      </c>
      <c r="C8" s="3">
        <v>0.23499999999999999</v>
      </c>
      <c r="D8" s="3" t="s">
        <v>13</v>
      </c>
      <c r="E8" s="3" t="s">
        <v>174</v>
      </c>
      <c r="G8" s="5"/>
      <c r="H8" s="5"/>
      <c r="I8" s="5"/>
      <c r="J8" s="5"/>
      <c r="K8" s="5"/>
    </row>
    <row r="9" spans="1:11" x14ac:dyDescent="0.35">
      <c r="A9" s="3" t="s">
        <v>5</v>
      </c>
      <c r="B9" s="3" t="s">
        <v>6</v>
      </c>
      <c r="C9" s="3">
        <v>0.50800000000000001</v>
      </c>
      <c r="D9" s="3" t="s">
        <v>4</v>
      </c>
      <c r="E9" s="3"/>
      <c r="G9" s="5"/>
      <c r="H9" s="5"/>
      <c r="I9" s="5"/>
      <c r="J9" s="5"/>
      <c r="K9" s="5"/>
    </row>
    <row r="10" spans="1:11" x14ac:dyDescent="0.35">
      <c r="A10" s="3" t="s">
        <v>39</v>
      </c>
      <c r="B10" s="3" t="s">
        <v>60</v>
      </c>
      <c r="C10" s="3">
        <v>8.7400000000000005E-2</v>
      </c>
      <c r="D10" s="3" t="s">
        <v>4</v>
      </c>
      <c r="E10" s="3" t="s">
        <v>155</v>
      </c>
      <c r="G10" s="5"/>
      <c r="H10" s="5"/>
      <c r="I10" s="5"/>
      <c r="J10" s="5"/>
      <c r="K10" s="5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/>
      <c r="H11" s="5"/>
      <c r="I11" s="5"/>
      <c r="J11" s="5"/>
      <c r="K11" s="5"/>
    </row>
    <row r="12" spans="1:11" x14ac:dyDescent="0.35">
      <c r="A12" s="3" t="s">
        <v>139</v>
      </c>
      <c r="B12" s="3" t="s">
        <v>141</v>
      </c>
      <c r="C12" s="3">
        <v>0.10795</v>
      </c>
      <c r="D12" s="3" t="s">
        <v>4</v>
      </c>
      <c r="E12" s="3"/>
      <c r="G12" s="5"/>
      <c r="H12" s="5"/>
      <c r="I12" s="5"/>
      <c r="J12" s="5"/>
      <c r="K12" s="5"/>
    </row>
    <row r="13" spans="1:1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 t="s">
        <v>172</v>
      </c>
      <c r="G13" s="5"/>
      <c r="H13" s="5"/>
      <c r="I13" s="5"/>
      <c r="J13" s="5"/>
      <c r="K13" s="5"/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</row>
    <row r="15" spans="1:11" x14ac:dyDescent="0.35">
      <c r="A15" s="3" t="s">
        <v>37</v>
      </c>
      <c r="B15" s="3" t="s">
        <v>38</v>
      </c>
      <c r="C15" s="3">
        <v>3.6830000000000002E-2</v>
      </c>
      <c r="D15" s="3" t="s">
        <v>4</v>
      </c>
      <c r="E15" s="3"/>
      <c r="G15" s="5"/>
      <c r="H15" s="5"/>
      <c r="I15" s="5"/>
      <c r="J15" s="5"/>
      <c r="K15" s="5"/>
    </row>
    <row r="16" spans="1:11" x14ac:dyDescent="0.35">
      <c r="A16" s="3" t="s">
        <v>42</v>
      </c>
      <c r="B16" s="3" t="s">
        <v>44</v>
      </c>
      <c r="C16" s="3">
        <v>4.96</v>
      </c>
      <c r="D16" s="3" t="s">
        <v>13</v>
      </c>
      <c r="E16" s="3"/>
      <c r="G16" s="5"/>
      <c r="H16" s="5"/>
      <c r="I16" s="5"/>
      <c r="J16" s="5"/>
      <c r="K16" s="5"/>
    </row>
    <row r="17" spans="1:11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/>
      <c r="G17" s="5"/>
      <c r="H17" s="5"/>
      <c r="I17" s="5"/>
      <c r="J17" s="5"/>
      <c r="K17" s="5"/>
    </row>
    <row r="18" spans="1:11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/>
      <c r="G18" s="5"/>
      <c r="H18" s="5"/>
      <c r="I18" s="5"/>
      <c r="J18" s="5"/>
      <c r="K18" s="5"/>
    </row>
    <row r="19" spans="1:11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/>
      <c r="G19" s="5"/>
      <c r="H19" s="5"/>
      <c r="I19" s="5"/>
      <c r="J19" s="5"/>
      <c r="K19" s="5"/>
    </row>
    <row r="20" spans="1:11" x14ac:dyDescent="0.35">
      <c r="A20" s="2" t="s">
        <v>136</v>
      </c>
      <c r="B20" s="2" t="s">
        <v>133</v>
      </c>
      <c r="C20" s="2">
        <v>1.07</v>
      </c>
      <c r="D20" s="2" t="s">
        <v>13</v>
      </c>
      <c r="E20" s="2" t="s">
        <v>175</v>
      </c>
      <c r="G20" s="5"/>
      <c r="H20" s="5"/>
      <c r="I20" s="5"/>
      <c r="J20" s="5"/>
      <c r="K20" s="5"/>
    </row>
    <row r="21" spans="1:11" x14ac:dyDescent="0.35">
      <c r="A21" s="2" t="s">
        <v>137</v>
      </c>
      <c r="B21" s="2" t="s">
        <v>134</v>
      </c>
      <c r="C21" s="2">
        <v>0.95</v>
      </c>
      <c r="D21" s="2" t="s">
        <v>13</v>
      </c>
      <c r="E21" s="2" t="s">
        <v>177</v>
      </c>
      <c r="G21" s="5"/>
      <c r="H21" s="5"/>
      <c r="I21" s="5"/>
      <c r="J21" s="5"/>
      <c r="K21" s="5"/>
    </row>
    <row r="22" spans="1:1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 t="s">
        <v>176</v>
      </c>
      <c r="G22" s="5"/>
      <c r="H22" s="5"/>
      <c r="I22" s="5"/>
      <c r="J22" s="5"/>
      <c r="K22" s="5"/>
    </row>
    <row r="23" spans="1:1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/>
      <c r="H23" s="5"/>
      <c r="I23" s="5"/>
      <c r="J23" s="5"/>
      <c r="K23" s="5"/>
    </row>
    <row r="24" spans="1:11" x14ac:dyDescent="0.35">
      <c r="A24" s="4" t="s">
        <v>30</v>
      </c>
      <c r="B24" s="4" t="s">
        <v>29</v>
      </c>
      <c r="C24" s="4">
        <v>10</v>
      </c>
      <c r="D24" s="4" t="s">
        <v>17</v>
      </c>
      <c r="E24" s="4"/>
      <c r="G24" s="5"/>
      <c r="H24" s="5"/>
      <c r="I24" s="5"/>
      <c r="J24" s="5"/>
      <c r="K24" s="5"/>
    </row>
    <row r="25" spans="1:1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</row>
    <row r="26" spans="1:1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</row>
    <row r="27" spans="1:11" x14ac:dyDescent="0.35">
      <c r="E27" s="4" t="s">
        <v>152</v>
      </c>
      <c r="G27" s="5"/>
      <c r="H27" s="5"/>
      <c r="I27" s="5"/>
      <c r="J27" s="5"/>
      <c r="K27" s="5"/>
    </row>
    <row r="28" spans="1:11" x14ac:dyDescent="0.35">
      <c r="B28" s="4" t="s">
        <v>46</v>
      </c>
      <c r="C28" s="4">
        <v>0.9</v>
      </c>
      <c r="G28" s="5"/>
      <c r="H28" s="5"/>
      <c r="I28" s="5"/>
      <c r="J28" s="5"/>
      <c r="K28" s="5"/>
    </row>
    <row r="29" spans="1:11" x14ac:dyDescent="0.35">
      <c r="B29" s="4" t="s">
        <v>171</v>
      </c>
      <c r="C29" s="4">
        <v>0.1</v>
      </c>
    </row>
  </sheetData>
  <protectedRanges>
    <protectedRange sqref="I18:I27 I1:I4 I6:I16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5652-30AF-47B9-A142-ABE357F37411}">
  <dimension ref="A1:K31"/>
  <sheetViews>
    <sheetView topLeftCell="A7" workbookViewId="0">
      <selection activeCell="C16" sqref="B2:C16"/>
    </sheetView>
  </sheetViews>
  <sheetFormatPr defaultRowHeight="14.5" x14ac:dyDescent="0.35"/>
  <cols>
    <col min="1" max="1" width="39.7265625" customWidth="1"/>
    <col min="2" max="2" width="17.54296875" customWidth="1"/>
    <col min="3" max="3" width="10.81640625" bestFit="1" customWidth="1"/>
    <col min="5" max="5" width="66.90625" customWidth="1"/>
    <col min="7" max="11" width="8.7265625" style="5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G1" s="7"/>
      <c r="H1" s="7"/>
      <c r="I1" s="7"/>
      <c r="J1" s="7"/>
      <c r="K1" s="7"/>
    </row>
    <row r="2" spans="1:11" x14ac:dyDescent="0.35">
      <c r="A2" s="3" t="s">
        <v>26</v>
      </c>
      <c r="B2" s="3" t="s">
        <v>27</v>
      </c>
      <c r="C2" s="3">
        <v>2.5866488909999999E-2</v>
      </c>
      <c r="D2" s="3" t="s">
        <v>31</v>
      </c>
      <c r="E2" s="3" t="s">
        <v>199</v>
      </c>
    </row>
    <row r="3" spans="1:11" x14ac:dyDescent="0.35">
      <c r="A3" s="3" t="s">
        <v>35</v>
      </c>
      <c r="B3" s="3" t="s">
        <v>33</v>
      </c>
      <c r="C3" s="3">
        <v>15.4</v>
      </c>
      <c r="D3" s="3" t="s">
        <v>28</v>
      </c>
      <c r="E3" s="3" t="s">
        <v>201</v>
      </c>
    </row>
    <row r="4" spans="1:11" x14ac:dyDescent="0.35">
      <c r="A4" s="3" t="s">
        <v>34</v>
      </c>
      <c r="B4" s="3" t="s">
        <v>32</v>
      </c>
      <c r="C4" s="3">
        <v>4933902</v>
      </c>
      <c r="D4" s="3" t="s">
        <v>19</v>
      </c>
      <c r="E4" s="3" t="s">
        <v>51</v>
      </c>
    </row>
    <row r="5" spans="1:1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 t="s">
        <v>200</v>
      </c>
    </row>
    <row r="6" spans="1:11" x14ac:dyDescent="0.35">
      <c r="A6" s="3" t="s">
        <v>23</v>
      </c>
      <c r="B6" s="3" t="s">
        <v>24</v>
      </c>
      <c r="C6" s="3">
        <v>3.0479999999999999E-3</v>
      </c>
      <c r="D6" s="3" t="s">
        <v>4</v>
      </c>
      <c r="E6" s="3" t="s">
        <v>50</v>
      </c>
    </row>
    <row r="7" spans="1:11" x14ac:dyDescent="0.35">
      <c r="A7" s="3" t="s">
        <v>36</v>
      </c>
      <c r="B7" s="3" t="s">
        <v>40</v>
      </c>
      <c r="C7" s="3">
        <v>12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0.3</v>
      </c>
      <c r="D8" s="3" t="s">
        <v>13</v>
      </c>
      <c r="E8" s="3" t="s">
        <v>57</v>
      </c>
    </row>
    <row r="9" spans="1:11" x14ac:dyDescent="0.35">
      <c r="A9" s="3" t="s">
        <v>5</v>
      </c>
      <c r="B9" s="3" t="s">
        <v>6</v>
      </c>
      <c r="C9" s="3">
        <v>0.41909999999999997</v>
      </c>
      <c r="D9" s="3" t="s">
        <v>4</v>
      </c>
      <c r="E9" s="3" t="s">
        <v>53</v>
      </c>
    </row>
    <row r="10" spans="1:11" x14ac:dyDescent="0.35">
      <c r="A10" s="3" t="s">
        <v>39</v>
      </c>
      <c r="B10" s="3" t="s">
        <v>60</v>
      </c>
      <c r="C10" s="3">
        <v>5.5E-2</v>
      </c>
      <c r="D10" s="3" t="s">
        <v>4</v>
      </c>
      <c r="E10" s="3" t="s">
        <v>59</v>
      </c>
    </row>
    <row r="11" spans="1:11" x14ac:dyDescent="0.35">
      <c r="A11" s="3" t="s">
        <v>9</v>
      </c>
      <c r="B11" s="3" t="s">
        <v>7</v>
      </c>
      <c r="C11" s="3">
        <v>962</v>
      </c>
      <c r="D11" s="3" t="s">
        <v>8</v>
      </c>
      <c r="E11" s="3" t="s">
        <v>83</v>
      </c>
    </row>
    <row r="12" spans="1:11" x14ac:dyDescent="0.35">
      <c r="A12" s="3" t="s">
        <v>139</v>
      </c>
      <c r="B12" s="3" t="s">
        <v>141</v>
      </c>
      <c r="C12" s="3">
        <v>0.17100000000000001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3">
        <f>0.155/1000</f>
        <v>1.55E-4</v>
      </c>
      <c r="D13" s="3" t="s">
        <v>12</v>
      </c>
      <c r="E13" s="3"/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4.0716200000000001E-2</v>
      </c>
      <c r="D15" s="3" t="s">
        <v>4</v>
      </c>
      <c r="E15" s="3" t="s">
        <v>52</v>
      </c>
    </row>
    <row r="16" spans="1:11" x14ac:dyDescent="0.35">
      <c r="A16" s="3" t="s">
        <v>42</v>
      </c>
      <c r="B16" s="3" t="s">
        <v>44</v>
      </c>
      <c r="C16" s="3">
        <v>5</v>
      </c>
      <c r="D16" s="3" t="s">
        <v>13</v>
      </c>
      <c r="E16" s="3"/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 t="s">
        <v>55</v>
      </c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 t="s">
        <v>236</v>
      </c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 t="s">
        <v>54</v>
      </c>
    </row>
    <row r="20" spans="1:5" x14ac:dyDescent="0.35">
      <c r="A20" s="2" t="s">
        <v>136</v>
      </c>
      <c r="B20" s="2" t="s">
        <v>133</v>
      </c>
      <c r="C20" s="2">
        <v>1</v>
      </c>
      <c r="D20" s="2" t="s">
        <v>13</v>
      </c>
      <c r="E20" s="2" t="s">
        <v>58</v>
      </c>
    </row>
    <row r="21" spans="1:5" x14ac:dyDescent="0.35">
      <c r="A21" s="2" t="s">
        <v>137</v>
      </c>
      <c r="B21" s="2" t="s">
        <v>134</v>
      </c>
      <c r="C21" s="2">
        <v>1</v>
      </c>
      <c r="D21" s="2" t="s">
        <v>13</v>
      </c>
      <c r="E21" s="2" t="s">
        <v>58</v>
      </c>
    </row>
    <row r="22" spans="1:5" x14ac:dyDescent="0.35">
      <c r="A22" s="2" t="s">
        <v>138</v>
      </c>
      <c r="B22" s="2" t="s">
        <v>135</v>
      </c>
      <c r="C22" s="2">
        <v>1</v>
      </c>
      <c r="D22" s="2" t="s">
        <v>13</v>
      </c>
      <c r="E22" s="2" t="s">
        <v>58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 t="s">
        <v>58</v>
      </c>
    </row>
    <row r="24" spans="1:5" x14ac:dyDescent="0.35">
      <c r="A24" s="4" t="s">
        <v>30</v>
      </c>
      <c r="B24" s="4" t="s">
        <v>29</v>
      </c>
      <c r="C24" s="4">
        <v>20</v>
      </c>
      <c r="D24" s="4" t="s">
        <v>17</v>
      </c>
      <c r="E24" s="4" t="s">
        <v>56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107</v>
      </c>
    </row>
    <row r="28" spans="1:5" x14ac:dyDescent="0.35">
      <c r="B28" s="4" t="s">
        <v>46</v>
      </c>
      <c r="C28" s="4">
        <v>89</v>
      </c>
    </row>
    <row r="29" spans="1:5" x14ac:dyDescent="0.35">
      <c r="B29" s="4" t="s">
        <v>47</v>
      </c>
      <c r="C29" s="4">
        <v>4</v>
      </c>
    </row>
    <row r="30" spans="1:5" x14ac:dyDescent="0.35">
      <c r="B30" s="4" t="s">
        <v>48</v>
      </c>
      <c r="C30" s="4">
        <v>2</v>
      </c>
    </row>
    <row r="31" spans="1:5" x14ac:dyDescent="0.35">
      <c r="B31" s="4" t="s">
        <v>49</v>
      </c>
      <c r="C31" s="4">
        <v>5</v>
      </c>
    </row>
  </sheetData>
  <protectedRanges>
    <protectedRange sqref="C39:C1048576 I1:I16 I18:I24" name="Value"/>
    <protectedRange sqref="C1" name="Value_1"/>
    <protectedRange sqref="C2:C19 C23:C25" name="Value_4"/>
    <protectedRange sqref="C20:C22" name="Value_4_2"/>
  </protectedRange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740F-CA21-4A45-984F-4AC80995B692}">
  <dimension ref="A1:K29"/>
  <sheetViews>
    <sheetView topLeftCell="A7" workbookViewId="0">
      <selection activeCell="B2" sqref="B2:C16"/>
    </sheetView>
  </sheetViews>
  <sheetFormatPr defaultRowHeight="14.5" x14ac:dyDescent="0.35"/>
  <cols>
    <col min="1" max="1" width="37.81640625" customWidth="1"/>
    <col min="2" max="2" width="18.6328125" customWidth="1"/>
    <col min="5" max="5" width="69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</row>
    <row r="2" spans="1:11" x14ac:dyDescent="0.35">
      <c r="A2" s="3" t="s">
        <v>26</v>
      </c>
      <c r="B2" s="3" t="s">
        <v>27</v>
      </c>
      <c r="C2" s="3">
        <v>4.2999999999999997E-2</v>
      </c>
      <c r="D2" s="3" t="s">
        <v>31</v>
      </c>
      <c r="E2" s="3"/>
    </row>
    <row r="3" spans="1:11" x14ac:dyDescent="0.35">
      <c r="A3" s="3" t="s">
        <v>35</v>
      </c>
      <c r="B3" s="3" t="s">
        <v>33</v>
      </c>
      <c r="C3" s="3">
        <v>20.8</v>
      </c>
      <c r="D3" s="3" t="s">
        <v>28</v>
      </c>
      <c r="E3" s="3" t="s">
        <v>111</v>
      </c>
    </row>
    <row r="4" spans="1:11" x14ac:dyDescent="0.35">
      <c r="A4" s="3" t="s">
        <v>34</v>
      </c>
      <c r="B4" s="3" t="s">
        <v>32</v>
      </c>
      <c r="C4" s="8">
        <v>6500000</v>
      </c>
      <c r="D4" s="3" t="s">
        <v>19</v>
      </c>
      <c r="E4" s="3" t="s">
        <v>94</v>
      </c>
    </row>
    <row r="5" spans="1:1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2E-3</v>
      </c>
      <c r="D6" s="3" t="s">
        <v>4</v>
      </c>
      <c r="E6" s="3" t="s">
        <v>97</v>
      </c>
    </row>
    <row r="7" spans="1:11" x14ac:dyDescent="0.35">
      <c r="A7" s="3" t="s">
        <v>36</v>
      </c>
      <c r="B7" s="3" t="s">
        <v>40</v>
      </c>
      <c r="C7" s="3">
        <v>17</v>
      </c>
      <c r="D7" s="3" t="s">
        <v>13</v>
      </c>
      <c r="E7" s="3" t="s">
        <v>97</v>
      </c>
    </row>
    <row r="8" spans="1:11" x14ac:dyDescent="0.35">
      <c r="A8" s="3" t="s">
        <v>25</v>
      </c>
      <c r="B8" s="3" t="s">
        <v>41</v>
      </c>
      <c r="C8" s="3">
        <v>0.6</v>
      </c>
      <c r="D8" s="3" t="s">
        <v>13</v>
      </c>
      <c r="E8" s="3" t="s">
        <v>110</v>
      </c>
    </row>
    <row r="9" spans="1:11" x14ac:dyDescent="0.35">
      <c r="A9" s="3" t="s">
        <v>5</v>
      </c>
      <c r="B9" s="3" t="s">
        <v>6</v>
      </c>
      <c r="C9" s="3">
        <v>0.4</v>
      </c>
      <c r="D9" s="3" t="s">
        <v>4</v>
      </c>
      <c r="E9" s="3"/>
    </row>
    <row r="10" spans="1:11" x14ac:dyDescent="0.35">
      <c r="A10" s="3" t="s">
        <v>39</v>
      </c>
      <c r="B10" s="3" t="s">
        <v>60</v>
      </c>
      <c r="C10" s="3">
        <v>0.05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 t="s">
        <v>203</v>
      </c>
    </row>
    <row r="12" spans="1:11" x14ac:dyDescent="0.35">
      <c r="A12" s="3" t="s">
        <v>139</v>
      </c>
      <c r="B12" s="3" t="s">
        <v>141</v>
      </c>
      <c r="C12" s="3">
        <v>0.156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3">
        <f>0.155/1000</f>
        <v>1.55E-4</v>
      </c>
      <c r="D13" s="3" t="s">
        <v>12</v>
      </c>
      <c r="E13" s="3" t="s">
        <v>109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 t="s">
        <v>109</v>
      </c>
    </row>
    <row r="15" spans="1:11" x14ac:dyDescent="0.35">
      <c r="A15" s="3" t="s">
        <v>37</v>
      </c>
      <c r="B15" s="3" t="s">
        <v>38</v>
      </c>
      <c r="C15" s="3">
        <v>2.98E-2</v>
      </c>
      <c r="D15" s="3" t="s">
        <v>4</v>
      </c>
      <c r="E15" s="3"/>
    </row>
    <row r="16" spans="1:11" x14ac:dyDescent="0.35">
      <c r="A16" s="3" t="s">
        <v>42</v>
      </c>
      <c r="B16" s="3" t="s">
        <v>44</v>
      </c>
      <c r="C16" s="3">
        <v>5.99</v>
      </c>
      <c r="D16" s="3" t="s">
        <v>13</v>
      </c>
      <c r="E16" s="3"/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/>
    </row>
    <row r="20" spans="1:5" x14ac:dyDescent="0.35">
      <c r="A20" s="2" t="s">
        <v>136</v>
      </c>
      <c r="B20" s="2" t="s">
        <v>133</v>
      </c>
      <c r="C20" s="2">
        <v>1</v>
      </c>
      <c r="D20" s="2" t="s">
        <v>13</v>
      </c>
      <c r="E20" s="2"/>
    </row>
    <row r="21" spans="1:5" x14ac:dyDescent="0.35">
      <c r="A21" s="2" t="s">
        <v>137</v>
      </c>
      <c r="B21" s="2" t="s">
        <v>134</v>
      </c>
      <c r="C21" s="2">
        <v>1</v>
      </c>
      <c r="D21" s="2" t="s">
        <v>13</v>
      </c>
      <c r="E21" s="2"/>
    </row>
    <row r="22" spans="1:5" x14ac:dyDescent="0.35">
      <c r="A22" s="2" t="s">
        <v>138</v>
      </c>
      <c r="B22" s="2" t="s">
        <v>135</v>
      </c>
      <c r="C22" s="2">
        <v>1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20</v>
      </c>
      <c r="D24" s="4" t="s">
        <v>17</v>
      </c>
      <c r="E24" s="4" t="s">
        <v>96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108</v>
      </c>
    </row>
    <row r="28" spans="1:5" x14ac:dyDescent="0.35">
      <c r="B28" s="4" t="s">
        <v>91</v>
      </c>
      <c r="C28" s="4">
        <v>0.97</v>
      </c>
    </row>
    <row r="29" spans="1:5" x14ac:dyDescent="0.35">
      <c r="B29" s="4" t="s">
        <v>92</v>
      </c>
      <c r="C29" s="4">
        <v>0.03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INPUT</vt:lpstr>
      <vt:lpstr>Ramses-1 (final report)</vt:lpstr>
      <vt:lpstr>Ramses-1 (ga presentation)</vt:lpstr>
      <vt:lpstr>Ramses-1 (pattern massflux)</vt:lpstr>
      <vt:lpstr>Ramses-1 (ga)</vt:lpstr>
      <vt:lpstr>Ramses-1 (patternsearch)</vt:lpstr>
      <vt:lpstr>Deliverance II (UofT)</vt:lpstr>
      <vt:lpstr>Boundless (UofW)</vt:lpstr>
      <vt:lpstr>Phoenix 1A (UofKZN)</vt:lpstr>
      <vt:lpstr>Phase 2 (Stanford)</vt:lpstr>
      <vt:lpstr>3" Diameter (Stanford)</vt:lpstr>
      <vt:lpstr>Mars Ascent (Stanford)</vt:lpstr>
      <vt:lpstr>Prometheus (Poly Montreal)</vt:lpstr>
      <vt:lpstr>RATTWORKS M-900</vt:lpstr>
      <vt:lpstr>Mule-1</vt:lpstr>
      <vt:lpstr>Density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Klammer</dc:creator>
  <cp:lastModifiedBy>Benjamin Klammer</cp:lastModifiedBy>
  <dcterms:created xsi:type="dcterms:W3CDTF">2018-10-26T16:35:25Z</dcterms:created>
  <dcterms:modified xsi:type="dcterms:W3CDTF">2019-04-25T00:53:58Z</dcterms:modified>
</cp:coreProperties>
</file>