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6915536d1f9c00f/Proyectos con Claude/Hoja FEM/"/>
    </mc:Choice>
  </mc:AlternateContent>
  <xr:revisionPtr revIDLastSave="339" documentId="13_ncr:1_{0E6F8577-E8D5-45C6-B7DC-F493BC3A312C}" xr6:coauthVersionLast="47" xr6:coauthVersionMax="47" xr10:uidLastSave="{4D1AA648-C42D-4FCB-BB94-CF4A4B43775A}"/>
  <bookViews>
    <workbookView xWindow="25695" yWindow="0" windowWidth="26010" windowHeight="20985" activeTab="3" xr2:uid="{11C11597-1808-49F8-94DA-64CD6C8866C2}"/>
  </bookViews>
  <sheets>
    <sheet name="Historia de Revisión" sheetId="14" r:id="rId1"/>
    <sheet name="Reacciones" sheetId="2" r:id="rId2"/>
    <sheet name="Vértices" sheetId="11" r:id="rId3"/>
    <sheet name="Cálculo" sheetId="5" r:id="rId4"/>
    <sheet name="AutoCAD" sheetId="13" r:id="rId5"/>
    <sheet name="Integrador" sheetId="12" r:id="rId6"/>
    <sheet name="React - Staad" sheetId="8" state="hidden" r:id="rId7"/>
    <sheet name="Flags" sheetId="6" state="hidden" r:id="rId8"/>
    <sheet name="STD" sheetId="10" state="hidden" r:id="rId9"/>
    <sheet name="Codigo" sheetId="9" state="hidden" r:id="rId10"/>
  </sheets>
  <definedNames>
    <definedName name="_xleta.MAX" hidden="1" xlm="1">#NAME?</definedName>
    <definedName name="_xleta.N" hidden="1" xlm="1">#NAME?</definedName>
    <definedName name="_xleta.T" hidden="1" xlm="1">#NAME?</definedName>
    <definedName name="_xlnm.Print_Area" localSheetId="3">Cálculo!$A$2:$P$318</definedName>
    <definedName name="_xlnm.Print_Area" localSheetId="0">'Historia de Revisión'!$B$2:$I$45</definedName>
    <definedName name="B.Imagen">INDEX(Flags,MATCH(Cálculo!$N$7,País,0))</definedName>
    <definedName name="Bimagen">INDEX(Flags!$B$2:$B$8,MATCH(Cálculo!$N$7,Flags!$A$2:$A$8,0))</definedName>
    <definedName name="Flags">Flags!$B$2:$B$8</definedName>
    <definedName name="In">Cálculo!$T$231:$T$240</definedName>
    <definedName name="LOCAL_MYSQL_DATE_FORMAT" localSheetId="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mm">Cálculo!$T$219:$T$230</definedName>
    <definedName name="País">Flags!$A$2:$A$8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9" i="5" l="1"/>
  <c r="O96" i="5"/>
  <c r="N96" i="5"/>
  <c r="M96" i="5"/>
  <c r="L96" i="5"/>
  <c r="K96" i="5"/>
  <c r="J96" i="5"/>
  <c r="O95" i="5"/>
  <c r="N95" i="5"/>
  <c r="M95" i="5"/>
  <c r="L95" i="5"/>
  <c r="K95" i="5"/>
  <c r="J95" i="5"/>
  <c r="H95" i="5"/>
  <c r="N109" i="5"/>
  <c r="M109" i="5"/>
  <c r="L109" i="5"/>
  <c r="K109" i="5"/>
  <c r="J109" i="5"/>
  <c r="I109" i="5"/>
  <c r="H109" i="5"/>
  <c r="G109" i="5"/>
  <c r="F109" i="5"/>
  <c r="E109" i="5"/>
  <c r="D109" i="5"/>
  <c r="N108" i="5"/>
  <c r="M108" i="5"/>
  <c r="L108" i="5"/>
  <c r="K108" i="5"/>
  <c r="J108" i="5"/>
  <c r="I108" i="5"/>
  <c r="H108" i="5"/>
  <c r="G108" i="5"/>
  <c r="F108" i="5"/>
  <c r="E108" i="5"/>
  <c r="D108" i="5"/>
  <c r="N107" i="5"/>
  <c r="M107" i="5"/>
  <c r="L107" i="5"/>
  <c r="K107" i="5"/>
  <c r="J107" i="5"/>
  <c r="I107" i="5"/>
  <c r="H107" i="5"/>
  <c r="G107" i="5"/>
  <c r="F107" i="5"/>
  <c r="E107" i="5"/>
  <c r="D107" i="5"/>
  <c r="O103" i="5"/>
  <c r="N103" i="5"/>
  <c r="M103" i="5"/>
  <c r="L103" i="5"/>
  <c r="K103" i="5"/>
  <c r="J103" i="5"/>
  <c r="I103" i="5"/>
  <c r="H103" i="5"/>
  <c r="G103" i="5"/>
  <c r="F103" i="5"/>
  <c r="E103" i="5"/>
  <c r="D103" i="5"/>
  <c r="O102" i="5"/>
  <c r="N102" i="5"/>
  <c r="M102" i="5"/>
  <c r="L102" i="5"/>
  <c r="K102" i="5"/>
  <c r="J102" i="5"/>
  <c r="I102" i="5"/>
  <c r="H102" i="5"/>
  <c r="G102" i="5"/>
  <c r="F102" i="5"/>
  <c r="E102" i="5"/>
  <c r="D102" i="5"/>
  <c r="O101" i="5"/>
  <c r="N101" i="5"/>
  <c r="M101" i="5"/>
  <c r="L101" i="5"/>
  <c r="K101" i="5"/>
  <c r="J101" i="5"/>
  <c r="I101" i="5"/>
  <c r="H101" i="5"/>
  <c r="G101" i="5"/>
  <c r="F101" i="5"/>
  <c r="E101" i="5"/>
  <c r="D101" i="5"/>
  <c r="O97" i="5"/>
  <c r="N97" i="5"/>
  <c r="M97" i="5"/>
  <c r="L97" i="5"/>
  <c r="K97" i="5"/>
  <c r="J97" i="5"/>
  <c r="I97" i="5"/>
  <c r="I96" i="5"/>
  <c r="I95" i="5"/>
  <c r="H97" i="5"/>
  <c r="H96" i="5"/>
  <c r="G97" i="5"/>
  <c r="G96" i="5"/>
  <c r="G95" i="5"/>
  <c r="F97" i="5"/>
  <c r="F96" i="5"/>
  <c r="F95" i="5"/>
  <c r="I76" i="5"/>
  <c r="G70" i="5"/>
  <c r="G69" i="5"/>
  <c r="G16" i="5"/>
  <c r="G17" i="5"/>
  <c r="G18" i="5"/>
  <c r="J16" i="5"/>
  <c r="J17" i="5"/>
  <c r="J18" i="5"/>
  <c r="M16" i="5"/>
  <c r="M17" i="5"/>
  <c r="M18" i="5"/>
  <c r="G24" i="5"/>
  <c r="G25" i="5"/>
  <c r="G26" i="5"/>
  <c r="J24" i="5"/>
  <c r="J25" i="5"/>
  <c r="J26" i="5"/>
  <c r="M24" i="5"/>
  <c r="M25" i="5"/>
  <c r="M26" i="5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26" i="9"/>
  <c r="O27" i="9"/>
  <c r="O21" i="9"/>
  <c r="O22" i="9"/>
  <c r="O23" i="9"/>
  <c r="O24" i="9"/>
  <c r="O25" i="9"/>
  <c r="O20" i="9"/>
  <c r="N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Q5" i="5"/>
  <c r="N25" i="11"/>
  <c r="N24" i="11"/>
  <c r="L15" i="2"/>
  <c r="M16" i="2"/>
  <c r="N16" i="2" s="1"/>
  <c r="M17" i="2"/>
  <c r="N17" i="2" s="1"/>
  <c r="L18" i="2"/>
  <c r="M18" i="2" s="1"/>
  <c r="N18" i="2" s="1"/>
  <c r="M19" i="2"/>
  <c r="N19" i="2" s="1"/>
  <c r="O19" i="2" s="1"/>
  <c r="M20" i="2"/>
  <c r="N20" i="2" s="1"/>
  <c r="L21" i="2"/>
  <c r="M21" i="2" s="1"/>
  <c r="M22" i="2"/>
  <c r="N22" i="2" s="1"/>
  <c r="O22" i="2" s="1"/>
  <c r="M23" i="2"/>
  <c r="L24" i="2"/>
  <c r="M25" i="2"/>
  <c r="N25" i="2" s="1"/>
  <c r="M26" i="2"/>
  <c r="N26" i="2" s="1"/>
  <c r="L27" i="2"/>
  <c r="M27" i="2" s="1"/>
  <c r="M28" i="2"/>
  <c r="N28" i="2" s="1"/>
  <c r="O28" i="2" s="1"/>
  <c r="M29" i="2"/>
  <c r="N29" i="2" s="1"/>
  <c r="L30" i="2"/>
  <c r="M30" i="2" s="1"/>
  <c r="M31" i="2"/>
  <c r="N31" i="2" s="1"/>
  <c r="M32" i="2"/>
  <c r="N32" i="2" s="1"/>
  <c r="O32" i="2" s="1"/>
  <c r="D69" i="5" l="1"/>
  <c r="N27" i="2"/>
  <c r="O27" i="2" s="1"/>
  <c r="P27" i="2" s="1"/>
  <c r="P22" i="2"/>
  <c r="O16" i="2"/>
  <c r="P16" i="2" s="1"/>
  <c r="Q16" i="2" s="1"/>
  <c r="N21" i="2"/>
  <c r="O21" i="2" s="1"/>
  <c r="P21" i="2" s="1"/>
  <c r="N23" i="2"/>
  <c r="O23" i="2" s="1"/>
  <c r="P23" i="2" s="1"/>
  <c r="Q23" i="2" s="1"/>
  <c r="U14" i="2" s="1"/>
  <c r="K18" i="5" s="1"/>
  <c r="O20" i="2"/>
  <c r="P20" i="2" s="1"/>
  <c r="Q20" i="2" s="1"/>
  <c r="U11" i="2" s="1"/>
  <c r="K17" i="5" s="1"/>
  <c r="O31" i="2"/>
  <c r="P31" i="2" s="1"/>
  <c r="Q31" i="2" s="1"/>
  <c r="N30" i="2"/>
  <c r="O30" i="2" s="1"/>
  <c r="P30" i="2" s="1"/>
  <c r="O26" i="2"/>
  <c r="P26" i="2" s="1"/>
  <c r="P32" i="2"/>
  <c r="Q32" i="2" s="1"/>
  <c r="P28" i="2"/>
  <c r="Q28" i="2" s="1"/>
  <c r="M15" i="2"/>
  <c r="N15" i="2" s="1"/>
  <c r="O17" i="2"/>
  <c r="P17" i="2" s="1"/>
  <c r="P19" i="2"/>
  <c r="Q19" i="2" s="1"/>
  <c r="U10" i="2" s="1"/>
  <c r="E17" i="5" s="1"/>
  <c r="O29" i="2"/>
  <c r="P29" i="2" s="1"/>
  <c r="O18" i="2"/>
  <c r="P18" i="2" s="1"/>
  <c r="O25" i="2"/>
  <c r="M24" i="2"/>
  <c r="U225" i="5"/>
  <c r="M14" i="2"/>
  <c r="M13" i="2"/>
  <c r="M11" i="2"/>
  <c r="N11" i="2" s="1"/>
  <c r="M10" i="2"/>
  <c r="M8" i="2"/>
  <c r="M7" i="2"/>
  <c r="L12" i="2"/>
  <c r="M12" i="2" s="1"/>
  <c r="L9" i="2"/>
  <c r="M9" i="2" s="1"/>
  <c r="L6" i="2"/>
  <c r="M6" i="2" s="1"/>
  <c r="N6" i="2" s="1"/>
  <c r="Y23" i="5"/>
  <c r="H152" i="5"/>
  <c r="C274" i="5"/>
  <c r="R31" i="2" l="1"/>
  <c r="U22" i="2"/>
  <c r="E26" i="5" s="1"/>
  <c r="R28" i="2"/>
  <c r="U19" i="2"/>
  <c r="E25" i="5" s="1"/>
  <c r="R32" i="2"/>
  <c r="U23" i="2"/>
  <c r="K26" i="5" s="1"/>
  <c r="R16" i="2"/>
  <c r="V7" i="2" s="1"/>
  <c r="U7" i="2"/>
  <c r="Q22" i="2"/>
  <c r="Q29" i="2"/>
  <c r="Q27" i="2"/>
  <c r="R20" i="2"/>
  <c r="Q21" i="2"/>
  <c r="O15" i="2"/>
  <c r="R19" i="2"/>
  <c r="V10" i="2" s="1"/>
  <c r="F17" i="5" s="1"/>
  <c r="N24" i="2"/>
  <c r="O24" i="2" s="1"/>
  <c r="P24" i="2" s="1"/>
  <c r="Q26" i="2"/>
  <c r="Q17" i="2"/>
  <c r="R23" i="2"/>
  <c r="V14" i="2" s="1"/>
  <c r="L18" i="5" s="1"/>
  <c r="Q18" i="2"/>
  <c r="Q30" i="2"/>
  <c r="P25" i="2"/>
  <c r="Q25" i="2" s="1"/>
  <c r="U16" i="2" s="1"/>
  <c r="N7" i="2"/>
  <c r="O7" i="2" s="1"/>
  <c r="P7" i="2" s="1"/>
  <c r="N13" i="2"/>
  <c r="N14" i="2"/>
  <c r="O11" i="2"/>
  <c r="N10" i="2"/>
  <c r="N8" i="2"/>
  <c r="O6" i="2"/>
  <c r="P6" i="2" s="1"/>
  <c r="N12" i="2"/>
  <c r="N9" i="2"/>
  <c r="E43" i="12"/>
  <c r="J1" i="12"/>
  <c r="I1" i="12"/>
  <c r="K5" i="12"/>
  <c r="K4" i="12"/>
  <c r="C298" i="5"/>
  <c r="G293" i="5"/>
  <c r="K293" i="5" s="1"/>
  <c r="G292" i="5"/>
  <c r="K292" i="5" s="1"/>
  <c r="R30" i="2" l="1"/>
  <c r="U21" i="2"/>
  <c r="H26" i="5" s="1"/>
  <c r="U9" i="2"/>
  <c r="U8" i="2"/>
  <c r="K16" i="5" s="1"/>
  <c r="S32" i="2"/>
  <c r="W23" i="2" s="1"/>
  <c r="V23" i="2"/>
  <c r="L26" i="5" s="1"/>
  <c r="A66" i="10" s="1"/>
  <c r="S20" i="2"/>
  <c r="W11" i="2" s="1"/>
  <c r="V11" i="2"/>
  <c r="L17" i="5" s="1"/>
  <c r="S16" i="2"/>
  <c r="W7" i="2" s="1"/>
  <c r="R21" i="2"/>
  <c r="U12" i="2"/>
  <c r="R26" i="2"/>
  <c r="U17" i="2"/>
  <c r="K24" i="5" s="1"/>
  <c r="R27" i="2"/>
  <c r="U18" i="2"/>
  <c r="H25" i="5" s="1"/>
  <c r="S28" i="2"/>
  <c r="W19" i="2" s="1"/>
  <c r="V19" i="2"/>
  <c r="F25" i="5" s="1"/>
  <c r="A57" i="10" s="1"/>
  <c r="R29" i="2"/>
  <c r="U20" i="2"/>
  <c r="K25" i="5" s="1"/>
  <c r="R22" i="2"/>
  <c r="U13" i="2"/>
  <c r="E18" i="5" s="1"/>
  <c r="S31" i="2"/>
  <c r="W22" i="2" s="1"/>
  <c r="V22" i="2"/>
  <c r="F26" i="5" s="1"/>
  <c r="A64" i="10" s="1"/>
  <c r="R17" i="2"/>
  <c r="V8" i="2" s="1"/>
  <c r="L16" i="5" s="1"/>
  <c r="P15" i="2"/>
  <c r="Q15" i="2" s="1"/>
  <c r="U6" i="2" s="1"/>
  <c r="S19" i="2"/>
  <c r="R25" i="2"/>
  <c r="Q24" i="2"/>
  <c r="S23" i="2"/>
  <c r="R18" i="2"/>
  <c r="V9" i="2" s="1"/>
  <c r="C299" i="5"/>
  <c r="C306" i="5" s="1"/>
  <c r="J294" i="5"/>
  <c r="Q7" i="2"/>
  <c r="X7" i="2" s="1"/>
  <c r="O14" i="2"/>
  <c r="O13" i="2"/>
  <c r="P11" i="2"/>
  <c r="O10" i="2"/>
  <c r="O8" i="2"/>
  <c r="Q6" i="2"/>
  <c r="X6" i="2" s="1"/>
  <c r="O12" i="2"/>
  <c r="P12" i="2" s="1"/>
  <c r="O9" i="2"/>
  <c r="P9" i="2" s="1"/>
  <c r="Q9" i="2" s="1"/>
  <c r="X9" i="2" s="1"/>
  <c r="C283" i="5"/>
  <c r="J279" i="5"/>
  <c r="C243" i="5"/>
  <c r="C218" i="5"/>
  <c r="E218" i="5" s="1"/>
  <c r="C199" i="5"/>
  <c r="S17" i="2" l="1"/>
  <c r="W8" i="2" s="1"/>
  <c r="S25" i="2"/>
  <c r="W16" i="2" s="1"/>
  <c r="V16" i="2"/>
  <c r="S29" i="2"/>
  <c r="W20" i="2" s="1"/>
  <c r="V20" i="2"/>
  <c r="L25" i="5" s="1"/>
  <c r="A59" i="10" s="1"/>
  <c r="S22" i="2"/>
  <c r="V13" i="2"/>
  <c r="F18" i="5" s="1"/>
  <c r="S21" i="2"/>
  <c r="W12" i="2" s="1"/>
  <c r="V12" i="2"/>
  <c r="W14" i="2"/>
  <c r="S27" i="2"/>
  <c r="W18" i="2" s="1"/>
  <c r="V18" i="2"/>
  <c r="I25" i="5" s="1"/>
  <c r="A58" i="10" s="1"/>
  <c r="R24" i="2"/>
  <c r="U15" i="2"/>
  <c r="S26" i="2"/>
  <c r="W17" i="2" s="1"/>
  <c r="V17" i="2"/>
  <c r="L24" i="5" s="1"/>
  <c r="A52" i="10" s="1"/>
  <c r="W10" i="2"/>
  <c r="S30" i="2"/>
  <c r="W21" i="2" s="1"/>
  <c r="V21" i="2"/>
  <c r="I26" i="5" s="1"/>
  <c r="A65" i="10" s="1"/>
  <c r="R9" i="2"/>
  <c r="Y9" i="2" s="1"/>
  <c r="A79" i="10" s="1"/>
  <c r="H17" i="5"/>
  <c r="R15" i="2"/>
  <c r="V6" i="2" s="1"/>
  <c r="S18" i="2"/>
  <c r="C300" i="5"/>
  <c r="R7" i="2"/>
  <c r="Y7" i="2" s="1"/>
  <c r="A71" i="10" s="1"/>
  <c r="E16" i="5"/>
  <c r="R6" i="2"/>
  <c r="Y6" i="2" s="1"/>
  <c r="A72" i="10" s="1"/>
  <c r="H16" i="5"/>
  <c r="Q12" i="2"/>
  <c r="X12" i="2" s="1"/>
  <c r="P14" i="2"/>
  <c r="P13" i="2"/>
  <c r="P10" i="2"/>
  <c r="Q10" i="2" s="1"/>
  <c r="X10" i="2" s="1"/>
  <c r="Q11" i="2"/>
  <c r="P8" i="2"/>
  <c r="C275" i="5"/>
  <c r="C201" i="5"/>
  <c r="C219" i="5"/>
  <c r="S24" i="2" l="1"/>
  <c r="W15" i="2" s="1"/>
  <c r="V15" i="2"/>
  <c r="W13" i="2"/>
  <c r="R11" i="2"/>
  <c r="X11" i="2"/>
  <c r="W9" i="2"/>
  <c r="S9" i="2"/>
  <c r="I17" i="5"/>
  <c r="S15" i="2"/>
  <c r="W6" i="2" s="1"/>
  <c r="S7" i="2"/>
  <c r="F16" i="5"/>
  <c r="H24" i="5"/>
  <c r="R12" i="2"/>
  <c r="Y12" i="2" s="1"/>
  <c r="A86" i="10" s="1"/>
  <c r="H18" i="5"/>
  <c r="S6" i="2"/>
  <c r="Z6" i="2" s="1"/>
  <c r="I16" i="5"/>
  <c r="Q13" i="2"/>
  <c r="Q14" i="2"/>
  <c r="R10" i="2"/>
  <c r="Q8" i="2"/>
  <c r="F138" i="5"/>
  <c r="F137" i="5"/>
  <c r="F136" i="5"/>
  <c r="E243" i="5"/>
  <c r="C246" i="5" s="1"/>
  <c r="S11" i="2" l="1"/>
  <c r="Z11" i="2" s="1"/>
  <c r="Y11" i="2"/>
  <c r="A80" i="10" s="1"/>
  <c r="R14" i="2"/>
  <c r="X14" i="2"/>
  <c r="R8" i="2"/>
  <c r="X8" i="2"/>
  <c r="Z7" i="2"/>
  <c r="S10" i="2"/>
  <c r="Z10" i="2" s="1"/>
  <c r="Y10" i="2"/>
  <c r="A78" i="10" s="1"/>
  <c r="R13" i="2"/>
  <c r="X13" i="2"/>
  <c r="Z9" i="2"/>
  <c r="E24" i="5"/>
  <c r="I24" i="5"/>
  <c r="A51" i="10" s="1"/>
  <c r="S12" i="2"/>
  <c r="Z12" i="2" s="1"/>
  <c r="I18" i="5"/>
  <c r="H228" i="5"/>
  <c r="U230" i="5"/>
  <c r="U229" i="5"/>
  <c r="U228" i="5"/>
  <c r="U227" i="5"/>
  <c r="U226" i="5"/>
  <c r="U224" i="5"/>
  <c r="U223" i="5"/>
  <c r="U222" i="5"/>
  <c r="U221" i="5"/>
  <c r="U220" i="5"/>
  <c r="U219" i="5"/>
  <c r="C250" i="5"/>
  <c r="S8" i="2" l="1"/>
  <c r="Z8" i="2" s="1"/>
  <c r="Y8" i="2"/>
  <c r="A73" i="10" s="1"/>
  <c r="S13" i="2"/>
  <c r="Z13" i="2" s="1"/>
  <c r="Y13" i="2"/>
  <c r="A85" i="10" s="1"/>
  <c r="S14" i="2"/>
  <c r="Z14" i="2" s="1"/>
  <c r="Y14" i="2"/>
  <c r="A87" i="10" s="1"/>
  <c r="H236" i="5"/>
  <c r="K236" i="5" s="1"/>
  <c r="K237" i="5" s="1"/>
  <c r="M237" i="5" s="1"/>
  <c r="H255" i="5"/>
  <c r="H263" i="5"/>
  <c r="K263" i="5" s="1"/>
  <c r="K264" i="5" s="1"/>
  <c r="M264" i="5" s="1"/>
  <c r="F24" i="5"/>
  <c r="A50" i="10" s="1"/>
  <c r="D202" i="5"/>
  <c r="C189" i="5" l="1"/>
  <c r="C224" i="5" s="1"/>
  <c r="C251" i="5" s="1"/>
  <c r="B4" i="13" l="1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" i="13"/>
  <c r="B1" i="13" l="1"/>
  <c r="T35" i="9" l="1"/>
  <c r="E35" i="13" s="1"/>
  <c r="S35" i="9"/>
  <c r="D35" i="13" s="1"/>
  <c r="R35" i="9"/>
  <c r="C35" i="13" s="1"/>
  <c r="Q35" i="9"/>
  <c r="T36" i="5" s="1"/>
  <c r="W34" i="9"/>
  <c r="T34" i="9"/>
  <c r="E34" i="13" s="1"/>
  <c r="S34" i="9"/>
  <c r="D34" i="13" s="1"/>
  <c r="R34" i="9"/>
  <c r="C34" i="13" s="1"/>
  <c r="Q34" i="9"/>
  <c r="T35" i="5" s="1"/>
  <c r="Z33" i="9"/>
  <c r="Y33" i="9"/>
  <c r="X33" i="9"/>
  <c r="W33" i="9"/>
  <c r="T33" i="9"/>
  <c r="E33" i="13" s="1"/>
  <c r="S33" i="9"/>
  <c r="D33" i="13" s="1"/>
  <c r="R33" i="9"/>
  <c r="C33" i="13" s="1"/>
  <c r="Q33" i="9"/>
  <c r="T34" i="5" s="1"/>
  <c r="Z32" i="9"/>
  <c r="Y32" i="9"/>
  <c r="X32" i="9"/>
  <c r="W32" i="9"/>
  <c r="T32" i="9"/>
  <c r="E32" i="13" s="1"/>
  <c r="S32" i="9"/>
  <c r="D32" i="13" s="1"/>
  <c r="R32" i="9"/>
  <c r="C32" i="13" s="1"/>
  <c r="Q32" i="9"/>
  <c r="Z31" i="9"/>
  <c r="Y31" i="9"/>
  <c r="X31" i="9"/>
  <c r="W31" i="9"/>
  <c r="T31" i="9"/>
  <c r="E31" i="13" s="1"/>
  <c r="S31" i="9"/>
  <c r="D31" i="13" s="1"/>
  <c r="R31" i="9"/>
  <c r="C31" i="13" s="1"/>
  <c r="Q31" i="9"/>
  <c r="T32" i="5" s="1"/>
  <c r="Z30" i="9"/>
  <c r="Y30" i="9"/>
  <c r="X30" i="9"/>
  <c r="W30" i="9"/>
  <c r="T30" i="9"/>
  <c r="E30" i="13" s="1"/>
  <c r="S30" i="9"/>
  <c r="D30" i="13" s="1"/>
  <c r="R30" i="9"/>
  <c r="C30" i="13" s="1"/>
  <c r="Q30" i="9"/>
  <c r="Z29" i="9"/>
  <c r="Y29" i="9"/>
  <c r="X29" i="9"/>
  <c r="W29" i="9"/>
  <c r="T29" i="9"/>
  <c r="E29" i="13" s="1"/>
  <c r="S29" i="9"/>
  <c r="D29" i="13" s="1"/>
  <c r="R29" i="9"/>
  <c r="C29" i="13" s="1"/>
  <c r="Q29" i="9"/>
  <c r="T30" i="5" s="1"/>
  <c r="Z28" i="9"/>
  <c r="Y28" i="9"/>
  <c r="X28" i="9"/>
  <c r="W28" i="9"/>
  <c r="T28" i="9"/>
  <c r="E28" i="13" s="1"/>
  <c r="S28" i="9"/>
  <c r="D28" i="13" s="1"/>
  <c r="R28" i="9"/>
  <c r="C28" i="13" s="1"/>
  <c r="Q28" i="9"/>
  <c r="Z27" i="9"/>
  <c r="Y27" i="9"/>
  <c r="X27" i="9"/>
  <c r="W27" i="9"/>
  <c r="T27" i="9"/>
  <c r="E27" i="13" s="1"/>
  <c r="S27" i="9"/>
  <c r="D27" i="13" s="1"/>
  <c r="R27" i="9"/>
  <c r="C27" i="13" s="1"/>
  <c r="Q27" i="9"/>
  <c r="T28" i="5" s="1"/>
  <c r="Z26" i="9"/>
  <c r="Y26" i="9"/>
  <c r="X26" i="9"/>
  <c r="W26" i="9"/>
  <c r="T26" i="9"/>
  <c r="E26" i="13" s="1"/>
  <c r="S26" i="9"/>
  <c r="D26" i="13" s="1"/>
  <c r="R26" i="9"/>
  <c r="C26" i="13" s="1"/>
  <c r="Q26" i="9"/>
  <c r="T27" i="5" s="1"/>
  <c r="Z25" i="9"/>
  <c r="Y25" i="9"/>
  <c r="X25" i="9"/>
  <c r="W25" i="9"/>
  <c r="T25" i="9"/>
  <c r="E25" i="13" s="1"/>
  <c r="S25" i="9"/>
  <c r="D25" i="13" s="1"/>
  <c r="R25" i="9"/>
  <c r="C25" i="13" s="1"/>
  <c r="Q25" i="9"/>
  <c r="T26" i="5" s="1"/>
  <c r="Z24" i="9"/>
  <c r="Y24" i="9"/>
  <c r="X24" i="9"/>
  <c r="W24" i="9"/>
  <c r="T24" i="9"/>
  <c r="E24" i="13" s="1"/>
  <c r="S24" i="9"/>
  <c r="D24" i="13" s="1"/>
  <c r="R24" i="9"/>
  <c r="C24" i="13" s="1"/>
  <c r="Q24" i="9"/>
  <c r="T25" i="5" s="1"/>
  <c r="Z23" i="9"/>
  <c r="Y23" i="9"/>
  <c r="X23" i="9"/>
  <c r="W23" i="9"/>
  <c r="T23" i="9"/>
  <c r="E23" i="13" s="1"/>
  <c r="S23" i="9"/>
  <c r="D23" i="13" s="1"/>
  <c r="R23" i="9"/>
  <c r="C23" i="13" s="1"/>
  <c r="Q23" i="9"/>
  <c r="T24" i="5" s="1"/>
  <c r="Z22" i="9"/>
  <c r="Y22" i="9"/>
  <c r="X22" i="9"/>
  <c r="W22" i="9"/>
  <c r="T22" i="9"/>
  <c r="E22" i="13" s="1"/>
  <c r="S22" i="9"/>
  <c r="D22" i="13" s="1"/>
  <c r="R22" i="9"/>
  <c r="C22" i="13" s="1"/>
  <c r="Q22" i="9"/>
  <c r="T23" i="5" s="1"/>
  <c r="V23" i="5" s="1"/>
  <c r="Z21" i="9"/>
  <c r="Y21" i="9"/>
  <c r="X21" i="9"/>
  <c r="W21" i="9"/>
  <c r="T21" i="9"/>
  <c r="E21" i="13" s="1"/>
  <c r="S21" i="9"/>
  <c r="D21" i="13" s="1"/>
  <c r="R21" i="9"/>
  <c r="C21" i="13" s="1"/>
  <c r="Q21" i="9"/>
  <c r="T22" i="5" s="1"/>
  <c r="Z20" i="9"/>
  <c r="Y20" i="9"/>
  <c r="X20" i="9"/>
  <c r="W20" i="9"/>
  <c r="T20" i="9"/>
  <c r="E20" i="13" s="1"/>
  <c r="S20" i="9"/>
  <c r="D20" i="13" s="1"/>
  <c r="R20" i="9"/>
  <c r="C20" i="13" s="1"/>
  <c r="Q20" i="9"/>
  <c r="T21" i="5" s="1"/>
  <c r="Z19" i="9"/>
  <c r="Y19" i="9"/>
  <c r="X19" i="9"/>
  <c r="W19" i="9"/>
  <c r="T19" i="9"/>
  <c r="E19" i="13" s="1"/>
  <c r="S19" i="9"/>
  <c r="D19" i="13" s="1"/>
  <c r="R19" i="9"/>
  <c r="C19" i="13" s="1"/>
  <c r="Q19" i="9"/>
  <c r="T20" i="5" s="1"/>
  <c r="V20" i="5" s="1"/>
  <c r="Z18" i="9"/>
  <c r="Y18" i="9"/>
  <c r="X18" i="9"/>
  <c r="W18" i="9"/>
  <c r="T18" i="9"/>
  <c r="E18" i="13" s="1"/>
  <c r="S18" i="9"/>
  <c r="D18" i="13" s="1"/>
  <c r="R18" i="9"/>
  <c r="C18" i="13" s="1"/>
  <c r="Q18" i="9"/>
  <c r="T19" i="5" s="1"/>
  <c r="U19" i="5" s="1"/>
  <c r="Z17" i="9"/>
  <c r="Y17" i="9"/>
  <c r="X17" i="9"/>
  <c r="W17" i="9"/>
  <c r="T17" i="9"/>
  <c r="E17" i="13" s="1"/>
  <c r="S17" i="9"/>
  <c r="D17" i="13" s="1"/>
  <c r="R17" i="9"/>
  <c r="C17" i="13" s="1"/>
  <c r="Q17" i="9"/>
  <c r="T18" i="5" s="1"/>
  <c r="Z16" i="9"/>
  <c r="Y16" i="9"/>
  <c r="X16" i="9"/>
  <c r="W16" i="9"/>
  <c r="T16" i="9"/>
  <c r="E16" i="13" s="1"/>
  <c r="S16" i="9"/>
  <c r="D16" i="13" s="1"/>
  <c r="R16" i="9"/>
  <c r="C16" i="13" s="1"/>
  <c r="Q16" i="9"/>
  <c r="T17" i="5" s="1"/>
  <c r="V17" i="5" s="1"/>
  <c r="Z15" i="9"/>
  <c r="Y15" i="9"/>
  <c r="X15" i="9"/>
  <c r="W15" i="9"/>
  <c r="T15" i="9"/>
  <c r="E15" i="13" s="1"/>
  <c r="S15" i="9"/>
  <c r="D15" i="13" s="1"/>
  <c r="R15" i="9"/>
  <c r="C15" i="13" s="1"/>
  <c r="Q15" i="9"/>
  <c r="T16" i="5" s="1"/>
  <c r="Z14" i="9"/>
  <c r="Y14" i="9"/>
  <c r="X14" i="9"/>
  <c r="W14" i="9"/>
  <c r="T14" i="9"/>
  <c r="E14" i="13" s="1"/>
  <c r="S14" i="9"/>
  <c r="D14" i="13" s="1"/>
  <c r="R14" i="9"/>
  <c r="C14" i="13" s="1"/>
  <c r="Q14" i="9"/>
  <c r="T15" i="5" s="1"/>
  <c r="Z13" i="9"/>
  <c r="Y13" i="9"/>
  <c r="X13" i="9"/>
  <c r="W13" i="9"/>
  <c r="T13" i="9"/>
  <c r="E13" i="13" s="1"/>
  <c r="S13" i="9"/>
  <c r="D13" i="13" s="1"/>
  <c r="R13" i="9"/>
  <c r="C13" i="13" s="1"/>
  <c r="Q13" i="9"/>
  <c r="T14" i="5" s="1"/>
  <c r="Z12" i="9"/>
  <c r="Y12" i="9"/>
  <c r="X12" i="9"/>
  <c r="W12" i="9"/>
  <c r="T12" i="9"/>
  <c r="E12" i="13" s="1"/>
  <c r="S12" i="9"/>
  <c r="D12" i="13" s="1"/>
  <c r="R12" i="9"/>
  <c r="C12" i="13" s="1"/>
  <c r="Q12" i="9"/>
  <c r="T13" i="5" s="1"/>
  <c r="Z11" i="9"/>
  <c r="Y11" i="9"/>
  <c r="X11" i="9"/>
  <c r="W11" i="9"/>
  <c r="T11" i="9"/>
  <c r="E11" i="13" s="1"/>
  <c r="S11" i="9"/>
  <c r="D11" i="13" s="1"/>
  <c r="R11" i="9"/>
  <c r="C11" i="13" s="1"/>
  <c r="Q11" i="9"/>
  <c r="T12" i="5" s="1"/>
  <c r="Z10" i="9"/>
  <c r="Y10" i="9"/>
  <c r="X10" i="9"/>
  <c r="W10" i="9"/>
  <c r="T10" i="9"/>
  <c r="E10" i="13" s="1"/>
  <c r="S10" i="9"/>
  <c r="D10" i="13" s="1"/>
  <c r="R10" i="9"/>
  <c r="C10" i="13" s="1"/>
  <c r="Q10" i="9"/>
  <c r="T11" i="5" s="1"/>
  <c r="Z9" i="9"/>
  <c r="Y9" i="9"/>
  <c r="X9" i="9"/>
  <c r="W9" i="9"/>
  <c r="T9" i="9"/>
  <c r="E9" i="13" s="1"/>
  <c r="S9" i="9"/>
  <c r="D9" i="13" s="1"/>
  <c r="R9" i="9"/>
  <c r="C9" i="13" s="1"/>
  <c r="Q9" i="9"/>
  <c r="T10" i="5" s="1"/>
  <c r="U10" i="5" s="1"/>
  <c r="Z8" i="9"/>
  <c r="Y8" i="9"/>
  <c r="X8" i="9"/>
  <c r="W8" i="9"/>
  <c r="T8" i="9"/>
  <c r="E8" i="13" s="1"/>
  <c r="S8" i="9"/>
  <c r="D8" i="13" s="1"/>
  <c r="R8" i="9"/>
  <c r="C8" i="13" s="1"/>
  <c r="Q8" i="9"/>
  <c r="T9" i="5" s="1"/>
  <c r="V9" i="5" s="1"/>
  <c r="Z7" i="9"/>
  <c r="Y7" i="9"/>
  <c r="X7" i="9"/>
  <c r="W7" i="9"/>
  <c r="T7" i="9"/>
  <c r="E7" i="13" s="1"/>
  <c r="S7" i="9"/>
  <c r="D7" i="13" s="1"/>
  <c r="R7" i="9"/>
  <c r="C7" i="13" s="1"/>
  <c r="Q7" i="9"/>
  <c r="T8" i="5" s="1"/>
  <c r="U8" i="5" s="1"/>
  <c r="Z6" i="9"/>
  <c r="Y6" i="9"/>
  <c r="X6" i="9"/>
  <c r="W6" i="9"/>
  <c r="T6" i="9"/>
  <c r="E6" i="13" s="1"/>
  <c r="S6" i="9"/>
  <c r="D6" i="13" s="1"/>
  <c r="R6" i="9"/>
  <c r="C6" i="13" s="1"/>
  <c r="Q6" i="9"/>
  <c r="T7" i="5" s="1"/>
  <c r="V7" i="5" s="1"/>
  <c r="A6" i="9"/>
  <c r="Z5" i="9"/>
  <c r="Y5" i="9"/>
  <c r="X5" i="9"/>
  <c r="W5" i="9"/>
  <c r="T5" i="9"/>
  <c r="E5" i="13" s="1"/>
  <c r="S5" i="9"/>
  <c r="D5" i="13" s="1"/>
  <c r="R5" i="9"/>
  <c r="C5" i="13" s="1"/>
  <c r="Q5" i="9"/>
  <c r="T6" i="5" s="1"/>
  <c r="V6" i="5" s="1"/>
  <c r="A5" i="9"/>
  <c r="Z4" i="9"/>
  <c r="Y4" i="9"/>
  <c r="X4" i="9"/>
  <c r="W4" i="9"/>
  <c r="T4" i="9"/>
  <c r="E4" i="13" s="1"/>
  <c r="S4" i="9"/>
  <c r="D4" i="13" s="1"/>
  <c r="R4" i="9"/>
  <c r="C4" i="13" s="1"/>
  <c r="Q4" i="9"/>
  <c r="T5" i="5" s="1"/>
  <c r="U5" i="5" s="1"/>
  <c r="A4" i="9"/>
  <c r="Z3" i="9"/>
  <c r="Y3" i="9"/>
  <c r="X3" i="9"/>
  <c r="W3" i="9"/>
  <c r="T3" i="9"/>
  <c r="E3" i="13" s="1"/>
  <c r="S3" i="9"/>
  <c r="D3" i="13" s="1"/>
  <c r="R3" i="9"/>
  <c r="C3" i="13" s="1"/>
  <c r="Q3" i="9"/>
  <c r="A1" i="9"/>
  <c r="A24" i="10"/>
  <c r="A19" i="10"/>
  <c r="A11" i="10"/>
  <c r="N79" i="8"/>
  <c r="H79" i="8"/>
  <c r="B79" i="8"/>
  <c r="K68" i="8"/>
  <c r="I68" i="8"/>
  <c r="G68" i="8"/>
  <c r="K67" i="8"/>
  <c r="I67" i="8"/>
  <c r="G67" i="8"/>
  <c r="K66" i="8"/>
  <c r="I66" i="8"/>
  <c r="G66" i="8"/>
  <c r="K65" i="8"/>
  <c r="I65" i="8"/>
  <c r="G65" i="8"/>
  <c r="K64" i="8"/>
  <c r="I64" i="8"/>
  <c r="G64" i="8"/>
  <c r="K63" i="8"/>
  <c r="I63" i="8"/>
  <c r="G63" i="8"/>
  <c r="K62" i="8"/>
  <c r="I62" i="8"/>
  <c r="G62" i="8"/>
  <c r="K61" i="8"/>
  <c r="I61" i="8"/>
  <c r="G61" i="8"/>
  <c r="K60" i="8"/>
  <c r="I60" i="8"/>
  <c r="G60" i="8"/>
  <c r="K48" i="8"/>
  <c r="I48" i="8"/>
  <c r="G48" i="8"/>
  <c r="K47" i="8"/>
  <c r="I47" i="8"/>
  <c r="G47" i="8"/>
  <c r="K46" i="8"/>
  <c r="I46" i="8"/>
  <c r="G46" i="8"/>
  <c r="K45" i="8"/>
  <c r="I45" i="8"/>
  <c r="G45" i="8"/>
  <c r="K44" i="8"/>
  <c r="I44" i="8"/>
  <c r="G44" i="8"/>
  <c r="K43" i="8"/>
  <c r="I43" i="8"/>
  <c r="G43" i="8"/>
  <c r="K42" i="8"/>
  <c r="I42" i="8"/>
  <c r="G42" i="8"/>
  <c r="K41" i="8"/>
  <c r="I41" i="8"/>
  <c r="G41" i="8"/>
  <c r="K40" i="8"/>
  <c r="I40" i="8"/>
  <c r="G40" i="8"/>
  <c r="K28" i="8"/>
  <c r="I28" i="8"/>
  <c r="G28" i="8"/>
  <c r="K27" i="8"/>
  <c r="I27" i="8"/>
  <c r="G27" i="8"/>
  <c r="K26" i="8"/>
  <c r="I26" i="8"/>
  <c r="G26" i="8"/>
  <c r="K25" i="8"/>
  <c r="I25" i="8"/>
  <c r="G25" i="8"/>
  <c r="K24" i="8"/>
  <c r="I24" i="8"/>
  <c r="G24" i="8"/>
  <c r="K23" i="8"/>
  <c r="I23" i="8"/>
  <c r="G23" i="8"/>
  <c r="K22" i="8"/>
  <c r="I22" i="8"/>
  <c r="G22" i="8"/>
  <c r="K21" i="8"/>
  <c r="I21" i="8"/>
  <c r="G21" i="8"/>
  <c r="K20" i="8"/>
  <c r="I20" i="8"/>
  <c r="G20" i="8"/>
  <c r="L16" i="8"/>
  <c r="L15" i="8"/>
  <c r="L14" i="8"/>
  <c r="L13" i="8"/>
  <c r="L12" i="8"/>
  <c r="L11" i="8"/>
  <c r="L10" i="8"/>
  <c r="L9" i="8"/>
  <c r="L8" i="8"/>
  <c r="D43" i="12"/>
  <c r="B22" i="12"/>
  <c r="B21" i="12" s="1"/>
  <c r="B44" i="12" s="1"/>
  <c r="H6" i="12"/>
  <c r="F156" i="5"/>
  <c r="J149" i="5"/>
  <c r="A35" i="10" s="1"/>
  <c r="E48" i="5"/>
  <c r="E47" i="5"/>
  <c r="Y21" i="5" s="1"/>
  <c r="AH25" i="5"/>
  <c r="AI24" i="5"/>
  <c r="AI25" i="5" s="1"/>
  <c r="AH24" i="5"/>
  <c r="AH23" i="5"/>
  <c r="Y22" i="5"/>
  <c r="C151" i="5" s="1"/>
  <c r="AI9" i="5"/>
  <c r="AI10" i="5" s="1"/>
  <c r="AI13" i="5" s="1"/>
  <c r="AI14" i="5" s="1"/>
  <c r="AI5" i="5"/>
  <c r="AI17" i="5" s="1"/>
  <c r="AH5" i="5"/>
  <c r="P3" i="5"/>
  <c r="N40" i="11"/>
  <c r="AF5" i="5" s="1"/>
  <c r="Z4" i="5" s="1"/>
  <c r="N39" i="11"/>
  <c r="AF4" i="5" s="1"/>
  <c r="N31" i="11"/>
  <c r="AF9" i="5" s="1"/>
  <c r="N30" i="11"/>
  <c r="AF8" i="5" s="1"/>
  <c r="N29" i="11"/>
  <c r="E43" i="5" s="1"/>
  <c r="C149" i="5" s="1"/>
  <c r="E38" i="5"/>
  <c r="Q1" i="9" l="1"/>
  <c r="O1" i="9" s="1"/>
  <c r="Y4" i="5"/>
  <c r="X11" i="5" s="1"/>
  <c r="Y5" i="5"/>
  <c r="Z11" i="5" s="1"/>
  <c r="AM11" i="5" s="1"/>
  <c r="C301" i="5"/>
  <c r="C307" i="5"/>
  <c r="Y6" i="5"/>
  <c r="AB11" i="5" s="1"/>
  <c r="Z6" i="5"/>
  <c r="AC11" i="5" s="1"/>
  <c r="Y11" i="5"/>
  <c r="E71" i="5"/>
  <c r="W1" i="9"/>
  <c r="T33" i="5"/>
  <c r="V33" i="5" s="1"/>
  <c r="T31" i="5"/>
  <c r="V31" i="5" s="1"/>
  <c r="T29" i="5"/>
  <c r="U29" i="5" s="1"/>
  <c r="H70" i="5"/>
  <c r="AH16" i="5"/>
  <c r="AH8" i="5"/>
  <c r="F158" i="5"/>
  <c r="H158" i="5" s="1"/>
  <c r="A22" i="10" s="1"/>
  <c r="H69" i="5"/>
  <c r="D71" i="5"/>
  <c r="E70" i="5"/>
  <c r="D70" i="5"/>
  <c r="H71" i="5"/>
  <c r="AH17" i="5"/>
  <c r="AI6" i="5"/>
  <c r="AI7" i="5" s="1"/>
  <c r="AI8" i="5" s="1"/>
  <c r="AI11" i="5" s="1"/>
  <c r="AI12" i="5" s="1"/>
  <c r="AI15" i="5" s="1"/>
  <c r="AI16" i="5" s="1"/>
  <c r="H156" i="5"/>
  <c r="A17" i="10" s="1"/>
  <c r="B23" i="12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I6" i="12"/>
  <c r="V35" i="5"/>
  <c r="U35" i="5"/>
  <c r="V22" i="5"/>
  <c r="U22" i="5"/>
  <c r="V14" i="5"/>
  <c r="U14" i="5"/>
  <c r="U25" i="5"/>
  <c r="V25" i="5"/>
  <c r="V28" i="5"/>
  <c r="U28" i="5"/>
  <c r="U30" i="5"/>
  <c r="V30" i="5"/>
  <c r="V32" i="5"/>
  <c r="U32" i="5"/>
  <c r="U17" i="5"/>
  <c r="U20" i="5"/>
  <c r="V36" i="5"/>
  <c r="U36" i="5"/>
  <c r="V34" i="5"/>
  <c r="U34" i="5"/>
  <c r="U27" i="5"/>
  <c r="V27" i="5"/>
  <c r="V26" i="5"/>
  <c r="U26" i="5"/>
  <c r="U24" i="5"/>
  <c r="V24" i="5"/>
  <c r="U23" i="5"/>
  <c r="V21" i="5"/>
  <c r="U21" i="5"/>
  <c r="V19" i="5"/>
  <c r="V18" i="5"/>
  <c r="U18" i="5"/>
  <c r="U16" i="5"/>
  <c r="V16" i="5"/>
  <c r="V15" i="5"/>
  <c r="U15" i="5"/>
  <c r="U13" i="5"/>
  <c r="V13" i="5"/>
  <c r="U12" i="5"/>
  <c r="V12" i="5"/>
  <c r="U11" i="5"/>
  <c r="V11" i="5"/>
  <c r="V10" i="5"/>
  <c r="U9" i="5"/>
  <c r="V8" i="5"/>
  <c r="U7" i="5"/>
  <c r="U6" i="5"/>
  <c r="V5" i="5"/>
  <c r="T4" i="5"/>
  <c r="Y20" i="5"/>
  <c r="C150" i="5" s="1"/>
  <c r="Y19" i="5"/>
  <c r="AH6" i="5"/>
  <c r="A9" i="9"/>
  <c r="Z5" i="5"/>
  <c r="AA11" i="5" s="1"/>
  <c r="Z7" i="5"/>
  <c r="X15" i="5" l="1"/>
  <c r="AK13" i="5"/>
  <c r="AK11" i="5"/>
  <c r="X12" i="5"/>
  <c r="X14" i="5"/>
  <c r="AK12" i="5"/>
  <c r="AK14" i="5"/>
  <c r="AP15" i="5"/>
  <c r="AP11" i="5"/>
  <c r="AP14" i="5"/>
  <c r="AP13" i="5"/>
  <c r="AP16" i="5"/>
  <c r="AP18" i="5"/>
  <c r="AP17" i="5"/>
  <c r="AP12" i="5"/>
  <c r="AO14" i="5"/>
  <c r="AO12" i="5"/>
  <c r="AO13" i="5"/>
  <c r="AO11" i="5"/>
  <c r="AN18" i="5"/>
  <c r="AN14" i="5"/>
  <c r="AN17" i="5"/>
  <c r="AN13" i="5"/>
  <c r="AN12" i="5"/>
  <c r="AN11" i="5"/>
  <c r="AN30" i="5" s="1"/>
  <c r="L23" i="9" s="1"/>
  <c r="AN16" i="5"/>
  <c r="AN15" i="5"/>
  <c r="AL13" i="5"/>
  <c r="AL15" i="5"/>
  <c r="AL11" i="5"/>
  <c r="AL14" i="5"/>
  <c r="AL16" i="5"/>
  <c r="AL17" i="5"/>
  <c r="AL18" i="5"/>
  <c r="AL12" i="5"/>
  <c r="AM14" i="5"/>
  <c r="AM13" i="5"/>
  <c r="AM12" i="5"/>
  <c r="Z15" i="5"/>
  <c r="AA28" i="5"/>
  <c r="L22" i="9" s="1"/>
  <c r="Z28" i="5"/>
  <c r="Y28" i="5"/>
  <c r="X28" i="5"/>
  <c r="J2" i="9" s="1"/>
  <c r="AB28" i="5"/>
  <c r="AC28" i="5"/>
  <c r="F76" i="5"/>
  <c r="L76" i="5" s="1"/>
  <c r="F75" i="5"/>
  <c r="L75" i="5" s="1"/>
  <c r="Y18" i="5"/>
  <c r="F74" i="5"/>
  <c r="L74" i="5" s="1"/>
  <c r="F308" i="5"/>
  <c r="B308" i="5"/>
  <c r="F302" i="5"/>
  <c r="B302" i="5"/>
  <c r="AA12" i="5"/>
  <c r="U31" i="5"/>
  <c r="U33" i="5"/>
  <c r="C25" i="12"/>
  <c r="V29" i="5"/>
  <c r="F157" i="5"/>
  <c r="A18" i="10" s="1"/>
  <c r="C32" i="12"/>
  <c r="C40" i="12"/>
  <c r="C29" i="12"/>
  <c r="C41" i="12"/>
  <c r="C36" i="12"/>
  <c r="C27" i="12"/>
  <c r="C28" i="12"/>
  <c r="C39" i="12"/>
  <c r="C23" i="12"/>
  <c r="C42" i="12"/>
  <c r="C30" i="12"/>
  <c r="C34" i="12"/>
  <c r="C43" i="12"/>
  <c r="C33" i="12"/>
  <c r="C26" i="12"/>
  <c r="C38" i="12"/>
  <c r="C35" i="12"/>
  <c r="C24" i="12"/>
  <c r="C37" i="12"/>
  <c r="C31" i="12"/>
  <c r="C22" i="12"/>
  <c r="V4" i="5"/>
  <c r="U4" i="5"/>
  <c r="C152" i="5"/>
  <c r="A45" i="10" s="1"/>
  <c r="Z14" i="5"/>
  <c r="I70" i="5"/>
  <c r="K70" i="5" s="1"/>
  <c r="N70" i="5" s="1"/>
  <c r="E96" i="5" s="1"/>
  <c r="Z12" i="5"/>
  <c r="AH7" i="5"/>
  <c r="AH9" i="5" s="1"/>
  <c r="AH21" i="5"/>
  <c r="F69" i="5"/>
  <c r="J69" i="5" s="1"/>
  <c r="L69" i="5" s="1"/>
  <c r="M69" i="5" s="1"/>
  <c r="D95" i="5" s="1"/>
  <c r="AB12" i="5"/>
  <c r="AB15" i="5"/>
  <c r="AB14" i="5"/>
  <c r="I69" i="5"/>
  <c r="K69" i="5" s="1"/>
  <c r="N69" i="5" s="1"/>
  <c r="G71" i="5"/>
  <c r="I71" i="5" s="1"/>
  <c r="K71" i="5" s="1"/>
  <c r="N71" i="5" s="1"/>
  <c r="Y7" i="5"/>
  <c r="AC12" i="5"/>
  <c r="AC15" i="5"/>
  <c r="AA15" i="5"/>
  <c r="Y15" i="5"/>
  <c r="Y12" i="5"/>
  <c r="F70" i="5"/>
  <c r="J70" i="5" s="1"/>
  <c r="L70" i="5" s="1"/>
  <c r="M70" i="5" s="1"/>
  <c r="D96" i="5" s="1"/>
  <c r="F71" i="5"/>
  <c r="J71" i="5" s="1"/>
  <c r="L71" i="5" s="1"/>
  <c r="M71" i="5" s="1"/>
  <c r="D76" i="5" s="1"/>
  <c r="AN31" i="5" l="1"/>
  <c r="L24" i="9" s="1"/>
  <c r="AN32" i="5"/>
  <c r="L25" i="9" s="1"/>
  <c r="AN33" i="5"/>
  <c r="L26" i="9" s="1"/>
  <c r="AP30" i="5"/>
  <c r="L43" i="9" s="1"/>
  <c r="AO30" i="5"/>
  <c r="J43" i="9" s="1"/>
  <c r="AK30" i="5"/>
  <c r="J3" i="9" s="1"/>
  <c r="AP32" i="5"/>
  <c r="L45" i="9" s="1"/>
  <c r="AO32" i="5"/>
  <c r="J45" i="9" s="1"/>
  <c r="AP31" i="5"/>
  <c r="L44" i="9" s="1"/>
  <c r="AO31" i="5"/>
  <c r="J44" i="9" s="1"/>
  <c r="AP33" i="5"/>
  <c r="L46" i="9" s="1"/>
  <c r="AO33" i="5"/>
  <c r="J46" i="9" s="1"/>
  <c r="AM30" i="5"/>
  <c r="J23" i="9" s="1"/>
  <c r="M23" i="9" s="1"/>
  <c r="AC32" i="5"/>
  <c r="L42" i="9"/>
  <c r="AB32" i="5"/>
  <c r="J42" i="9"/>
  <c r="AM17" i="5"/>
  <c r="AN36" i="5" s="1"/>
  <c r="L30" i="9" s="1"/>
  <c r="AM18" i="5"/>
  <c r="AN37" i="5" s="1"/>
  <c r="L31" i="9" s="1"/>
  <c r="AM16" i="5"/>
  <c r="AN35" i="5" s="1"/>
  <c r="L29" i="9" s="1"/>
  <c r="AM15" i="5"/>
  <c r="AN34" i="5" s="1"/>
  <c r="L28" i="9" s="1"/>
  <c r="AO26" i="5"/>
  <c r="AO24" i="5"/>
  <c r="AO23" i="5"/>
  <c r="AO25" i="5"/>
  <c r="AM26" i="5"/>
  <c r="AM25" i="5"/>
  <c r="AM23" i="5"/>
  <c r="AM24" i="5"/>
  <c r="AK33" i="5"/>
  <c r="J6" i="9" s="1"/>
  <c r="AL33" i="5"/>
  <c r="L6" i="9" s="1"/>
  <c r="AM31" i="5"/>
  <c r="J24" i="9" s="1"/>
  <c r="AK31" i="5"/>
  <c r="J4" i="9" s="1"/>
  <c r="AL31" i="5"/>
  <c r="L4" i="9" s="1"/>
  <c r="AL30" i="5"/>
  <c r="L3" i="9" s="1"/>
  <c r="AO16" i="5"/>
  <c r="AO18" i="5"/>
  <c r="AO15" i="5"/>
  <c r="AO17" i="5"/>
  <c r="AM32" i="5"/>
  <c r="J25" i="9" s="1"/>
  <c r="AK23" i="5"/>
  <c r="AK26" i="5"/>
  <c r="AK25" i="5"/>
  <c r="AK24" i="5"/>
  <c r="AM33" i="5"/>
  <c r="J26" i="9" s="1"/>
  <c r="AK17" i="5"/>
  <c r="AK16" i="5"/>
  <c r="AK18" i="5"/>
  <c r="X13" i="5"/>
  <c r="AK15" i="5"/>
  <c r="AK32" i="5"/>
  <c r="J5" i="9" s="1"/>
  <c r="AL32" i="5"/>
  <c r="L5" i="9" s="1"/>
  <c r="X32" i="5"/>
  <c r="Y32" i="5"/>
  <c r="L2" i="9"/>
  <c r="Z29" i="5"/>
  <c r="J27" i="9" s="1"/>
  <c r="AA29" i="5"/>
  <c r="L27" i="9" s="1"/>
  <c r="Y29" i="5"/>
  <c r="L7" i="9" s="1"/>
  <c r="X29" i="5"/>
  <c r="J7" i="9" s="1"/>
  <c r="J22" i="9"/>
  <c r="Z32" i="5"/>
  <c r="AC29" i="5"/>
  <c r="L47" i="9" s="1"/>
  <c r="AB29" i="5"/>
  <c r="J47" i="9" s="1"/>
  <c r="M47" i="9" s="1"/>
  <c r="AA32" i="5"/>
  <c r="D24" i="12"/>
  <c r="D42" i="12"/>
  <c r="D40" i="12"/>
  <c r="D35" i="12"/>
  <c r="D23" i="12"/>
  <c r="D32" i="12"/>
  <c r="D38" i="12"/>
  <c r="D39" i="12"/>
  <c r="D26" i="12"/>
  <c r="D28" i="12"/>
  <c r="D33" i="12"/>
  <c r="D27" i="12"/>
  <c r="D25" i="12"/>
  <c r="D22" i="12"/>
  <c r="D36" i="12"/>
  <c r="D31" i="12"/>
  <c r="D34" i="12"/>
  <c r="D41" i="12"/>
  <c r="D37" i="12"/>
  <c r="D30" i="12"/>
  <c r="D29" i="12"/>
  <c r="AS5" i="5"/>
  <c r="AH10" i="5"/>
  <c r="AH11" i="5" s="1"/>
  <c r="E137" i="5"/>
  <c r="BO5" i="5"/>
  <c r="AT5" i="5"/>
  <c r="BM5" i="5"/>
  <c r="BL5" i="5"/>
  <c r="AZ5" i="5"/>
  <c r="BJ5" i="5"/>
  <c r="BE5" i="5"/>
  <c r="AY5" i="5"/>
  <c r="AR5" i="5"/>
  <c r="BI5" i="5"/>
  <c r="AX5" i="5"/>
  <c r="AU5" i="5"/>
  <c r="BA5" i="5"/>
  <c r="BP5" i="5"/>
  <c r="BD5" i="5"/>
  <c r="AQ5" i="5"/>
  <c r="BB5" i="5"/>
  <c r="AV5" i="5"/>
  <c r="BF5" i="5"/>
  <c r="BK5" i="5"/>
  <c r="BG5" i="5"/>
  <c r="AW5" i="5"/>
  <c r="BH5" i="5"/>
  <c r="BC5" i="5"/>
  <c r="BN5" i="5"/>
  <c r="E138" i="5"/>
  <c r="E136" i="5"/>
  <c r="D75" i="5"/>
  <c r="H75" i="5" s="1"/>
  <c r="E38" i="13" s="1"/>
  <c r="E75" i="5"/>
  <c r="D97" i="5"/>
  <c r="D74" i="5"/>
  <c r="AL5" i="5"/>
  <c r="AP5" i="5"/>
  <c r="Z13" i="5"/>
  <c r="E74" i="5"/>
  <c r="E95" i="5"/>
  <c r="AB13" i="5"/>
  <c r="E76" i="5"/>
  <c r="G76" i="5" s="1"/>
  <c r="C39" i="13" s="1"/>
  <c r="E97" i="5"/>
  <c r="AC13" i="5"/>
  <c r="AA13" i="5"/>
  <c r="AO5" i="5"/>
  <c r="Y13" i="5"/>
  <c r="H76" i="5"/>
  <c r="E39" i="13" s="1"/>
  <c r="AK5" i="5"/>
  <c r="AN5" i="5"/>
  <c r="AM5" i="5"/>
  <c r="AM4" i="5" l="1"/>
  <c r="AK4" i="5"/>
  <c r="N2" i="9"/>
  <c r="M44" i="9"/>
  <c r="N44" i="9"/>
  <c r="O12" i="9"/>
  <c r="N42" i="9"/>
  <c r="M42" i="9"/>
  <c r="M45" i="9"/>
  <c r="N45" i="9"/>
  <c r="AP36" i="5"/>
  <c r="L50" i="9" s="1"/>
  <c r="AO36" i="5"/>
  <c r="J50" i="9" s="1"/>
  <c r="AP34" i="5"/>
  <c r="L48" i="9" s="1"/>
  <c r="AO34" i="5"/>
  <c r="J48" i="9" s="1"/>
  <c r="AP37" i="5"/>
  <c r="L51" i="9" s="1"/>
  <c r="AO37" i="5"/>
  <c r="J51" i="9" s="1"/>
  <c r="M43" i="9"/>
  <c r="N43" i="9"/>
  <c r="AP35" i="5"/>
  <c r="L49" i="9" s="1"/>
  <c r="AO35" i="5"/>
  <c r="J49" i="9" s="1"/>
  <c r="N46" i="9"/>
  <c r="M46" i="9"/>
  <c r="N6" i="9"/>
  <c r="N5" i="9"/>
  <c r="N3" i="9"/>
  <c r="M3" i="9"/>
  <c r="N4" i="9"/>
  <c r="O2" i="9"/>
  <c r="M27" i="9"/>
  <c r="M25" i="9"/>
  <c r="N25" i="9"/>
  <c r="M24" i="9"/>
  <c r="N24" i="9"/>
  <c r="N23" i="9"/>
  <c r="M22" i="9"/>
  <c r="O7" i="9"/>
  <c r="N22" i="9"/>
  <c r="M26" i="9"/>
  <c r="N26" i="9"/>
  <c r="M6" i="9"/>
  <c r="M7" i="9"/>
  <c r="M5" i="9"/>
  <c r="M4" i="9"/>
  <c r="AM34" i="5"/>
  <c r="J28" i="9" s="1"/>
  <c r="AO22" i="5"/>
  <c r="AO21" i="5"/>
  <c r="AO20" i="5"/>
  <c r="AO19" i="5"/>
  <c r="AK34" i="5"/>
  <c r="J8" i="9" s="1"/>
  <c r="AL34" i="5"/>
  <c r="L8" i="9" s="1"/>
  <c r="AM35" i="5"/>
  <c r="J29" i="9" s="1"/>
  <c r="AL35" i="5"/>
  <c r="L9" i="9" s="1"/>
  <c r="AK35" i="5"/>
  <c r="J9" i="9" s="1"/>
  <c r="AL20" i="5"/>
  <c r="AL21" i="5"/>
  <c r="AL22" i="5"/>
  <c r="AL19" i="5"/>
  <c r="AN22" i="5"/>
  <c r="AN21" i="5"/>
  <c r="AN20" i="5"/>
  <c r="AN19" i="5"/>
  <c r="AP19" i="5"/>
  <c r="AP20" i="5"/>
  <c r="AP21" i="5"/>
  <c r="AP22" i="5"/>
  <c r="AM19" i="5"/>
  <c r="AM22" i="5"/>
  <c r="AN41" i="5" s="1"/>
  <c r="L36" i="9" s="1"/>
  <c r="AM21" i="5"/>
  <c r="AM20" i="5"/>
  <c r="AK20" i="5"/>
  <c r="AK21" i="5"/>
  <c r="AK19" i="5"/>
  <c r="AK22" i="5"/>
  <c r="AM37" i="5"/>
  <c r="J31" i="9" s="1"/>
  <c r="AK36" i="5"/>
  <c r="J10" i="9" s="1"/>
  <c r="AL36" i="5"/>
  <c r="L10" i="9" s="1"/>
  <c r="AL37" i="5"/>
  <c r="L11" i="9" s="1"/>
  <c r="AK37" i="5"/>
  <c r="J11" i="9" s="1"/>
  <c r="AM36" i="5"/>
  <c r="J30" i="9" s="1"/>
  <c r="Z30" i="5"/>
  <c r="J32" i="9" s="1"/>
  <c r="AA30" i="5"/>
  <c r="L32" i="9" s="1"/>
  <c r="AC30" i="5"/>
  <c r="L52" i="9" s="1"/>
  <c r="AB30" i="5"/>
  <c r="J52" i="9" s="1"/>
  <c r="Y30" i="5"/>
  <c r="L12" i="9" s="1"/>
  <c r="X30" i="5"/>
  <c r="J12" i="9" s="1"/>
  <c r="M2" i="9"/>
  <c r="E36" i="12"/>
  <c r="E26" i="12"/>
  <c r="M16" i="12"/>
  <c r="E40" i="12"/>
  <c r="E22" i="12"/>
  <c r="M30" i="12" s="1"/>
  <c r="E23" i="12"/>
  <c r="E25" i="12"/>
  <c r="E41" i="12"/>
  <c r="E29" i="12"/>
  <c r="E30" i="12"/>
  <c r="E34" i="12"/>
  <c r="E31" i="12"/>
  <c r="E24" i="12"/>
  <c r="M15" i="12"/>
  <c r="E35" i="12"/>
  <c r="E27" i="12"/>
  <c r="E37" i="12"/>
  <c r="E38" i="12"/>
  <c r="E42" i="12"/>
  <c r="E39" i="12"/>
  <c r="E32" i="12"/>
  <c r="E33" i="12"/>
  <c r="E28" i="12"/>
  <c r="G74" i="5"/>
  <c r="C37" i="13" s="1"/>
  <c r="BH4" i="5"/>
  <c r="BD4" i="5"/>
  <c r="BK4" i="5"/>
  <c r="BE4" i="5"/>
  <c r="AT4" i="5"/>
  <c r="AY4" i="5"/>
  <c r="AR6" i="5"/>
  <c r="AS4" i="5"/>
  <c r="AS6" i="5"/>
  <c r="AH12" i="5"/>
  <c r="AH13" i="5" s="1"/>
  <c r="I75" i="5"/>
  <c r="J75" i="5"/>
  <c r="D82" i="5" s="1"/>
  <c r="E82" i="5" s="1"/>
  <c r="AO4" i="5"/>
  <c r="J74" i="5"/>
  <c r="D81" i="5" s="1"/>
  <c r="G81" i="5" s="1"/>
  <c r="I74" i="5"/>
  <c r="AR4" i="5"/>
  <c r="BF4" i="5"/>
  <c r="BF6" i="5"/>
  <c r="BM6" i="5"/>
  <c r="AT6" i="5"/>
  <c r="BA4" i="5"/>
  <c r="AZ4" i="5"/>
  <c r="BH6" i="5"/>
  <c r="AY6" i="5"/>
  <c r="AO6" i="5"/>
  <c r="AW4" i="5"/>
  <c r="AX4" i="5"/>
  <c r="G75" i="5"/>
  <c r="C38" i="13" s="1"/>
  <c r="J76" i="5"/>
  <c r="D83" i="5" s="1"/>
  <c r="G83" i="5" s="1"/>
  <c r="BC4" i="5"/>
  <c r="AV4" i="5"/>
  <c r="BN6" i="5"/>
  <c r="AN6" i="5"/>
  <c r="BG4" i="5"/>
  <c r="BM4" i="5"/>
  <c r="AW6" i="5"/>
  <c r="BP6" i="5"/>
  <c r="BI6" i="5"/>
  <c r="BD6" i="5"/>
  <c r="AZ6" i="5"/>
  <c r="BI4" i="5"/>
  <c r="BO4" i="5"/>
  <c r="BL4" i="5"/>
  <c r="BO6" i="5"/>
  <c r="AU6" i="5"/>
  <c r="BL6" i="5"/>
  <c r="BB6" i="5"/>
  <c r="BG6" i="5"/>
  <c r="BJ6" i="5"/>
  <c r="H74" i="5"/>
  <c r="E37" i="13" s="1"/>
  <c r="AU4" i="5"/>
  <c r="BP4" i="5"/>
  <c r="BJ4" i="5"/>
  <c r="AQ6" i="5"/>
  <c r="BK6" i="5"/>
  <c r="BE6" i="5"/>
  <c r="AV6" i="5"/>
  <c r="BA6" i="5"/>
  <c r="AX6" i="5"/>
  <c r="BN4" i="5"/>
  <c r="AQ4" i="5"/>
  <c r="BB4" i="5"/>
  <c r="BC6" i="5"/>
  <c r="AP4" i="5"/>
  <c r="AL4" i="5"/>
  <c r="AK6" i="5"/>
  <c r="AM6" i="5"/>
  <c r="AN4" i="5"/>
  <c r="AL6" i="5"/>
  <c r="AP6" i="5"/>
  <c r="AA14" i="5"/>
  <c r="AC14" i="5"/>
  <c r="Y14" i="5"/>
  <c r="G137" i="5"/>
  <c r="I137" i="5" s="1"/>
  <c r="O8" i="9" l="1"/>
  <c r="O13" i="9"/>
  <c r="AN38" i="5"/>
  <c r="L33" i="9" s="1"/>
  <c r="AN40" i="5"/>
  <c r="L35" i="9" s="1"/>
  <c r="M51" i="9"/>
  <c r="N51" i="9"/>
  <c r="M52" i="9"/>
  <c r="N50" i="9"/>
  <c r="M50" i="9"/>
  <c r="N7" i="9"/>
  <c r="AP38" i="5"/>
  <c r="L53" i="9" s="1"/>
  <c r="AO38" i="5"/>
  <c r="J53" i="9" s="1"/>
  <c r="N49" i="9"/>
  <c r="M49" i="9"/>
  <c r="AP39" i="5"/>
  <c r="L54" i="9" s="1"/>
  <c r="AO39" i="5"/>
  <c r="J54" i="9" s="1"/>
  <c r="N48" i="9"/>
  <c r="M48" i="9"/>
  <c r="AP40" i="5"/>
  <c r="L55" i="9" s="1"/>
  <c r="AO40" i="5"/>
  <c r="J55" i="9" s="1"/>
  <c r="AN39" i="5"/>
  <c r="L34" i="9" s="1"/>
  <c r="AP41" i="5"/>
  <c r="L56" i="9" s="1"/>
  <c r="AO41" i="5"/>
  <c r="J56" i="9" s="1"/>
  <c r="N47" i="9"/>
  <c r="N10" i="9"/>
  <c r="M10" i="9"/>
  <c r="N11" i="9"/>
  <c r="M11" i="9"/>
  <c r="M9" i="9"/>
  <c r="N9" i="9"/>
  <c r="M8" i="9"/>
  <c r="N8" i="9"/>
  <c r="O3" i="9"/>
  <c r="M31" i="9"/>
  <c r="N31" i="9"/>
  <c r="M32" i="9"/>
  <c r="N30" i="9"/>
  <c r="M30" i="9"/>
  <c r="M28" i="9"/>
  <c r="N28" i="9"/>
  <c r="N27" i="9"/>
  <c r="M29" i="9"/>
  <c r="N29" i="9"/>
  <c r="M12" i="9"/>
  <c r="AM41" i="5"/>
  <c r="J36" i="9" s="1"/>
  <c r="AK41" i="5"/>
  <c r="J16" i="9" s="1"/>
  <c r="AL41" i="5"/>
  <c r="L16" i="9" s="1"/>
  <c r="AK38" i="5"/>
  <c r="J13" i="9" s="1"/>
  <c r="AL38" i="5"/>
  <c r="L13" i="9" s="1"/>
  <c r="AP23" i="5"/>
  <c r="AP26" i="5"/>
  <c r="AP25" i="5"/>
  <c r="AP24" i="5"/>
  <c r="AM40" i="5"/>
  <c r="J35" i="9" s="1"/>
  <c r="AN23" i="5"/>
  <c r="AN42" i="5" s="1"/>
  <c r="L38" i="9" s="1"/>
  <c r="AN25" i="5"/>
  <c r="AN44" i="5" s="1"/>
  <c r="L40" i="9" s="1"/>
  <c r="AN24" i="5"/>
  <c r="AN43" i="5" s="1"/>
  <c r="L39" i="9" s="1"/>
  <c r="AN26" i="5"/>
  <c r="AN45" i="5" s="1"/>
  <c r="L41" i="9" s="1"/>
  <c r="AM38" i="5"/>
  <c r="J33" i="9" s="1"/>
  <c r="AL40" i="5"/>
  <c r="L15" i="9" s="1"/>
  <c r="AK40" i="5"/>
  <c r="J15" i="9" s="1"/>
  <c r="AL24" i="5"/>
  <c r="AL25" i="5"/>
  <c r="AL26" i="5"/>
  <c r="AL23" i="5"/>
  <c r="AK39" i="5"/>
  <c r="J14" i="9" s="1"/>
  <c r="AL39" i="5"/>
  <c r="L14" i="9" s="1"/>
  <c r="AM39" i="5"/>
  <c r="J34" i="9" s="1"/>
  <c r="X31" i="5"/>
  <c r="J17" i="9" s="1"/>
  <c r="Y31" i="5"/>
  <c r="L17" i="9" s="1"/>
  <c r="AC31" i="5"/>
  <c r="L57" i="9" s="1"/>
  <c r="AB31" i="5"/>
  <c r="J57" i="9" s="1"/>
  <c r="AA31" i="5"/>
  <c r="L37" i="9" s="1"/>
  <c r="Z31" i="5"/>
  <c r="J37" i="9" s="1"/>
  <c r="G82" i="5"/>
  <c r="G136" i="5"/>
  <c r="I136" i="5" s="1"/>
  <c r="AH14" i="5"/>
  <c r="AH15" i="5" s="1"/>
  <c r="E83" i="5"/>
  <c r="E81" i="5"/>
  <c r="G138" i="5"/>
  <c r="I138" i="5" s="1"/>
  <c r="O9" i="9" l="1"/>
  <c r="O14" i="9"/>
  <c r="O4" i="9"/>
  <c r="M54" i="9"/>
  <c r="O15" i="9"/>
  <c r="N54" i="9"/>
  <c r="N56" i="9"/>
  <c r="M56" i="9"/>
  <c r="AO43" i="5"/>
  <c r="J59" i="9" s="1"/>
  <c r="AP43" i="5"/>
  <c r="L59" i="9" s="1"/>
  <c r="M57" i="9"/>
  <c r="AP44" i="5"/>
  <c r="L60" i="9" s="1"/>
  <c r="AO44" i="5"/>
  <c r="J60" i="9" s="1"/>
  <c r="M55" i="9"/>
  <c r="N55" i="9"/>
  <c r="N53" i="9"/>
  <c r="AP45" i="5"/>
  <c r="L61" i="9" s="1"/>
  <c r="AO45" i="5"/>
  <c r="J61" i="9" s="1"/>
  <c r="M53" i="9"/>
  <c r="AO42" i="5"/>
  <c r="J58" i="9" s="1"/>
  <c r="AP42" i="5"/>
  <c r="L58" i="9" s="1"/>
  <c r="N52" i="9"/>
  <c r="M16" i="9"/>
  <c r="N16" i="9"/>
  <c r="M14" i="9"/>
  <c r="N14" i="9"/>
  <c r="O5" i="9"/>
  <c r="N12" i="9"/>
  <c r="M15" i="9"/>
  <c r="N15" i="9"/>
  <c r="N13" i="9"/>
  <c r="M13" i="9"/>
  <c r="M36" i="9"/>
  <c r="N36" i="9"/>
  <c r="N35" i="9"/>
  <c r="M35" i="9"/>
  <c r="N34" i="9"/>
  <c r="O10" i="9"/>
  <c r="M34" i="9"/>
  <c r="M33" i="9"/>
  <c r="N33" i="9"/>
  <c r="N32" i="9"/>
  <c r="M17" i="9"/>
  <c r="M37" i="9"/>
  <c r="AK42" i="5"/>
  <c r="J18" i="9" s="1"/>
  <c r="AL42" i="5"/>
  <c r="L18" i="9" s="1"/>
  <c r="AK45" i="5"/>
  <c r="J21" i="9" s="1"/>
  <c r="AL45" i="5"/>
  <c r="L21" i="9" s="1"/>
  <c r="AL44" i="5"/>
  <c r="L20" i="9" s="1"/>
  <c r="AK44" i="5"/>
  <c r="J20" i="9" s="1"/>
  <c r="AM45" i="5"/>
  <c r="J41" i="9" s="1"/>
  <c r="AL43" i="5"/>
  <c r="L19" i="9" s="1"/>
  <c r="AK43" i="5"/>
  <c r="J19" i="9" s="1"/>
  <c r="AM43" i="5"/>
  <c r="J39" i="9" s="1"/>
  <c r="AM44" i="5"/>
  <c r="J40" i="9" s="1"/>
  <c r="AM42" i="5"/>
  <c r="J38" i="9" s="1"/>
  <c r="C220" i="5"/>
  <c r="C221" i="5" s="1"/>
  <c r="C222" i="5" s="1"/>
  <c r="C225" i="5" s="1"/>
  <c r="C247" i="5"/>
  <c r="C248" i="5" s="1"/>
  <c r="C249" i="5" s="1"/>
  <c r="C252" i="5" s="1"/>
  <c r="C200" i="5"/>
  <c r="C203" i="5" s="1"/>
  <c r="C280" i="5"/>
  <c r="N235" i="5"/>
  <c r="N262" i="5"/>
  <c r="C245" i="5"/>
  <c r="N61" i="9" l="1"/>
  <c r="M61" i="9"/>
  <c r="M59" i="9"/>
  <c r="N59" i="9"/>
  <c r="N60" i="9"/>
  <c r="M60" i="9"/>
  <c r="M58" i="9"/>
  <c r="O16" i="9"/>
  <c r="N58" i="9"/>
  <c r="N57" i="9"/>
  <c r="N20" i="9"/>
  <c r="M20" i="9"/>
  <c r="M18" i="9"/>
  <c r="N18" i="9"/>
  <c r="O6" i="9"/>
  <c r="M19" i="9"/>
  <c r="N19" i="9"/>
  <c r="N17" i="9"/>
  <c r="N21" i="9"/>
  <c r="M21" i="9"/>
  <c r="M40" i="9"/>
  <c r="N40" i="9"/>
  <c r="N41" i="9"/>
  <c r="M41" i="9"/>
  <c r="M39" i="9"/>
  <c r="N39" i="9"/>
  <c r="N38" i="9"/>
  <c r="O11" i="9"/>
  <c r="M38" i="9"/>
  <c r="N37" i="9"/>
  <c r="C281" i="5"/>
  <c r="E256" i="5"/>
  <c r="N263" i="5"/>
  <c r="D266" i="5" s="1"/>
  <c r="E229" i="5"/>
  <c r="N236" i="5"/>
  <c r="D239" i="5" s="1"/>
  <c r="C279" i="5"/>
  <c r="J280" i="5" l="1"/>
  <c r="I281" i="5" s="1"/>
  <c r="K228" i="5"/>
  <c r="H229" i="5"/>
  <c r="D231" i="5" s="1"/>
  <c r="K255" i="5"/>
  <c r="H256" i="5"/>
  <c r="D258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Espinosa</author>
  </authors>
  <commentList>
    <comment ref="K73" authorId="0" shapeId="0" xr:uid="{8682C730-BFC6-4748-9EA2-E3179C7D36F2}">
      <text>
        <r>
          <rPr>
            <b/>
            <sz val="9"/>
            <color indexed="81"/>
            <rFont val="Tahoma"/>
            <family val="2"/>
          </rPr>
          <t>Juan Espinosa:</t>
        </r>
        <r>
          <rPr>
            <sz val="9"/>
            <color indexed="81"/>
            <rFont val="Tahoma"/>
            <family val="2"/>
          </rPr>
          <t xml:space="preserve">
En esta versión el brazo se debe obtener de CAD</t>
        </r>
      </text>
    </comment>
    <comment ref="D135" authorId="0" shapeId="0" xr:uid="{9A2E92A3-72D1-41FE-92F2-212353EA599E}">
      <text>
        <r>
          <rPr>
            <b/>
            <sz val="9"/>
            <color indexed="81"/>
            <rFont val="Tahoma"/>
            <family val="2"/>
          </rPr>
          <t>Juan Espinosa:</t>
        </r>
        <r>
          <rPr>
            <sz val="9"/>
            <color indexed="81"/>
            <rFont val="Tahoma"/>
            <family val="2"/>
          </rPr>
          <t xml:space="preserve">
En esta versión el área se debe obtener de CAD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 Cervantes</author>
  </authors>
  <commentList>
    <comment ref="K7" authorId="0" shapeId="0" xr:uid="{C7BFCA70-AAD3-404E-B039-E6BA86B67FB0}">
      <text>
        <r>
          <rPr>
            <b/>
            <sz val="9"/>
            <color indexed="81"/>
            <rFont val="Tahoma"/>
            <family val="2"/>
          </rPr>
          <t>Jose Cervantes:</t>
        </r>
        <r>
          <rPr>
            <sz val="9"/>
            <color indexed="81"/>
            <rFont val="Tahoma"/>
            <family val="2"/>
          </rPr>
          <t xml:space="preserve">
NODOS EN LOS QUE SE DIVIDE LA SECCIÓN DE PEDESTAL.</t>
        </r>
      </text>
    </comment>
  </commentList>
</comments>
</file>

<file path=xl/sharedStrings.xml><?xml version="1.0" encoding="utf-8"?>
<sst xmlns="http://schemas.openxmlformats.org/spreadsheetml/2006/main" count="1319" uniqueCount="810">
  <si>
    <t>ZAPATA GENERAL DE 3 DADOS</t>
  </si>
  <si>
    <t>Rev.:</t>
  </si>
  <si>
    <t>HOJA DE REVISIONES</t>
  </si>
  <si>
    <t>Historia de revisiones</t>
  </si>
  <si>
    <t>Versión</t>
  </si>
  <si>
    <t>Descripción del Cambio</t>
  </si>
  <si>
    <t>Autor</t>
  </si>
  <si>
    <t>FECHA</t>
  </si>
  <si>
    <t>V1.0</t>
  </si>
  <si>
    <t>Publicación Inicial</t>
  </si>
  <si>
    <t>Juan Espinosa</t>
  </si>
  <si>
    <t>V1.1</t>
  </si>
  <si>
    <t>Se agregan excentricidades en "X" &amp; "y" con relación al centro geométrico de la figura</t>
  </si>
  <si>
    <t>V1.2</t>
  </si>
  <si>
    <t>Se agrega pestaña "AutoCAD" para poder generar las áreas efectivas en CAD.</t>
  </si>
  <si>
    <t>V1.3</t>
  </si>
  <si>
    <t>Se integra botón para abrir archivo AUTOCAD desde la pestáña "Vértices"</t>
  </si>
  <si>
    <t>Se agrega pestaña "Integrador" para obtener el diagrama de esfuerzos y poder analizar como viga simplemente apoyada</t>
  </si>
  <si>
    <t>Se agrega la regla de considerar pesos adicionales y se añade nueva función para considerar reacciones.</t>
  </si>
  <si>
    <t>Se incorpora la adición de reacciones unitarias y se programa procedimiento de Automallado.</t>
  </si>
  <si>
    <t>Ruta Expliación</t>
  </si>
  <si>
    <t>Revisiones FEM [En persona]-20250530_120848-Grabación de la reunión.mp4</t>
  </si>
  <si>
    <t>Automallado</t>
  </si>
  <si>
    <t>Versión 1.6 FEM-20251215.mp4</t>
  </si>
  <si>
    <t>Selección</t>
  </si>
  <si>
    <t>EST Y GEO</t>
  </si>
  <si>
    <t>DEFORMACIONES</t>
  </si>
  <si>
    <t>Casos de Carga</t>
  </si>
  <si>
    <t>Radius</t>
  </si>
  <si>
    <t>Elevación</t>
  </si>
  <si>
    <t>Azimuth</t>
  </si>
  <si>
    <t>Nodo</t>
  </si>
  <si>
    <t>Fx</t>
  </si>
  <si>
    <t>Fy</t>
  </si>
  <si>
    <t>Fz</t>
  </si>
  <si>
    <t>1.0D + 1.0W Service 90 deg</t>
  </si>
  <si>
    <t>1b</t>
  </si>
  <si>
    <t>1a</t>
  </si>
  <si>
    <t>1.0D + 1.0W Service 60 deg</t>
  </si>
  <si>
    <t>1.0D + 1.0W Service Normal</t>
  </si>
  <si>
    <t>0.9D + 1.0W 90 deg</t>
  </si>
  <si>
    <t>0.9D + 1.0W 60 deg</t>
  </si>
  <si>
    <t>0.9D + 1.0W Normal</t>
  </si>
  <si>
    <t>1.2D + 1.0W 90 deg</t>
  </si>
  <si>
    <t>1.2D + 1.0W 60 deg</t>
  </si>
  <si>
    <t>1.2D + 1.0W Normal</t>
  </si>
  <si>
    <t>Coordenada "X"</t>
  </si>
  <si>
    <t>Coordenada "Y"</t>
  </si>
  <si>
    <t>Coordenada "Z"</t>
  </si>
  <si>
    <t>Hueco</t>
  </si>
  <si>
    <t>PROPIEDADES DEL SHAPE</t>
  </si>
  <si>
    <t>Overall</t>
  </si>
  <si>
    <t>Depth</t>
  </si>
  <si>
    <t>Width</t>
  </si>
  <si>
    <t>Perimeter</t>
  </si>
  <si>
    <t>Weight</t>
  </si>
  <si>
    <t>Geometric Properties</t>
  </si>
  <si>
    <t>Area</t>
  </si>
  <si>
    <t>Ix</t>
  </si>
  <si>
    <t>Iy</t>
  </si>
  <si>
    <t>Ixy</t>
  </si>
  <si>
    <t>rx</t>
  </si>
  <si>
    <t>ry</t>
  </si>
  <si>
    <t>Sx+</t>
  </si>
  <si>
    <t>Sx-</t>
  </si>
  <si>
    <t>Sy+</t>
  </si>
  <si>
    <t>Sy-</t>
  </si>
  <si>
    <t>Xc</t>
  </si>
  <si>
    <t>0 cm</t>
  </si>
  <si>
    <t>Yc</t>
  </si>
  <si>
    <t>Principal Properties</t>
  </si>
  <si>
    <t>I1</t>
  </si>
  <si>
    <t>I2</t>
  </si>
  <si>
    <t>α</t>
  </si>
  <si>
    <t>r1</t>
  </si>
  <si>
    <t>r2</t>
  </si>
  <si>
    <t>S1+</t>
  </si>
  <si>
    <t>S1-</t>
  </si>
  <si>
    <t>S2+</t>
  </si>
  <si>
    <t>S2-</t>
  </si>
  <si>
    <t>Polar Properties</t>
  </si>
  <si>
    <t>Ip</t>
  </si>
  <si>
    <t>rp</t>
  </si>
  <si>
    <t>Plastic Properties</t>
  </si>
  <si>
    <t>Zx</t>
  </si>
  <si>
    <t>Zy</t>
  </si>
  <si>
    <t>Xpna</t>
  </si>
  <si>
    <t>Ypna</t>
  </si>
  <si>
    <r>
      <t>Tn/m</t>
    </r>
    <r>
      <rPr>
        <vertAlign val="superscript"/>
        <sz val="11"/>
        <color theme="1"/>
        <rFont val="Aptos Narrow"/>
        <family val="2"/>
        <scheme val="minor"/>
      </rPr>
      <t>2</t>
    </r>
  </si>
  <si>
    <t>Cálculo Zapata de Cualquier Sección</t>
  </si>
  <si>
    <t>Asset Num:</t>
  </si>
  <si>
    <t>Nodos</t>
  </si>
  <si>
    <t>X</t>
  </si>
  <si>
    <t>Y</t>
  </si>
  <si>
    <t>Apoyos</t>
  </si>
  <si>
    <t>Centro Geométrico</t>
  </si>
  <si>
    <t>ZAPATA</t>
  </si>
  <si>
    <t>Enfuerzo N1</t>
  </si>
  <si>
    <t>Enfuerzo N2</t>
  </si>
  <si>
    <t>Esfuerzo N3</t>
  </si>
  <si>
    <t>Enfuerzo N4</t>
  </si>
  <si>
    <t>Enfuerzo N5</t>
  </si>
  <si>
    <t>Enfuerzo N6</t>
  </si>
  <si>
    <t>Enfuerzo N7</t>
  </si>
  <si>
    <t>Enfuerzo N8</t>
  </si>
  <si>
    <t>Enfuerzo N9</t>
  </si>
  <si>
    <t>Enfuerzo N10</t>
  </si>
  <si>
    <t>Enfuerzo N11</t>
  </si>
  <si>
    <t>Enfuerzo N12</t>
  </si>
  <si>
    <t>Enfuerzo N13</t>
  </si>
  <si>
    <t>Enfuerzo N14</t>
  </si>
  <si>
    <t>Enfuerzo N15</t>
  </si>
  <si>
    <t>Enfuerzo N16</t>
  </si>
  <si>
    <t>Enfuerzo N17</t>
  </si>
  <si>
    <t>Enfuerzo N18</t>
  </si>
  <si>
    <t>Enfuerzo N19</t>
  </si>
  <si>
    <t>Enfuerzo N20</t>
  </si>
  <si>
    <t>Enfuerzo N21</t>
  </si>
  <si>
    <t>Enfuerzo N22</t>
  </si>
  <si>
    <t>Enfuerzo N23</t>
  </si>
  <si>
    <t>Enfuerzo N24</t>
  </si>
  <si>
    <t>Enfuerzo N25</t>
  </si>
  <si>
    <t>Enfuerzo N26</t>
  </si>
  <si>
    <t>Enfuerzo N27</t>
  </si>
  <si>
    <t>Enfuerzo N28</t>
  </si>
  <si>
    <t>Enfuerzo N29</t>
  </si>
  <si>
    <t>Enfuerzo N30</t>
  </si>
  <si>
    <t>Enfuerzo N31</t>
  </si>
  <si>
    <t>Enfuerzo N32</t>
  </si>
  <si>
    <t>Asset Name:</t>
  </si>
  <si>
    <r>
      <t>X</t>
    </r>
    <r>
      <rPr>
        <vertAlign val="subscript"/>
        <sz val="11"/>
        <color theme="1"/>
        <rFont val="Aptos Narrow"/>
        <family val="2"/>
        <scheme val="minor"/>
      </rPr>
      <t>G</t>
    </r>
  </si>
  <si>
    <t>Engineer:</t>
  </si>
  <si>
    <t>JUAN ESPINOSA</t>
  </si>
  <si>
    <r>
      <t>Y</t>
    </r>
    <r>
      <rPr>
        <vertAlign val="subscript"/>
        <sz val="11"/>
        <color theme="1"/>
        <rFont val="Aptos Narrow"/>
        <family val="2"/>
        <scheme val="minor"/>
      </rPr>
      <t>G</t>
    </r>
  </si>
  <si>
    <t>Date:</t>
  </si>
  <si>
    <t>Country:</t>
  </si>
  <si>
    <t>COLOMBIA</t>
  </si>
  <si>
    <t>Inercias</t>
  </si>
  <si>
    <t>Request:</t>
  </si>
  <si>
    <t>12826797</t>
  </si>
  <si>
    <r>
      <t>I</t>
    </r>
    <r>
      <rPr>
        <vertAlign val="subscript"/>
        <sz val="11"/>
        <color theme="1"/>
        <rFont val="Aptos Narrow"/>
        <family val="2"/>
        <scheme val="minor"/>
      </rPr>
      <t>XX</t>
    </r>
  </si>
  <si>
    <t>Dado 1</t>
  </si>
  <si>
    <t>Dado 2</t>
  </si>
  <si>
    <t>Dado 3</t>
  </si>
  <si>
    <r>
      <t>I</t>
    </r>
    <r>
      <rPr>
        <vertAlign val="subscript"/>
        <sz val="11"/>
        <color theme="1"/>
        <rFont val="Aptos Narrow"/>
        <family val="2"/>
        <scheme val="minor"/>
      </rPr>
      <t>YY</t>
    </r>
  </si>
  <si>
    <t>1.- ELEMENTOS MECÁNICOS</t>
  </si>
  <si>
    <t>Combinaciones para revisión geotécnica</t>
  </si>
  <si>
    <t>Combinaciones</t>
  </si>
  <si>
    <t>Rx</t>
  </si>
  <si>
    <t>Ry</t>
  </si>
  <si>
    <t>Rz</t>
  </si>
  <si>
    <t>0.9D + 1.0W 90 °</t>
  </si>
  <si>
    <t>0.9D + 1.0W 60 °</t>
  </si>
  <si>
    <t>Pesos</t>
  </si>
  <si>
    <r>
      <t>W</t>
    </r>
    <r>
      <rPr>
        <vertAlign val="subscript"/>
        <sz val="11"/>
        <color theme="1"/>
        <rFont val="Aptos Narrow"/>
        <family val="2"/>
        <scheme val="minor"/>
      </rPr>
      <t>reacciones</t>
    </r>
  </si>
  <si>
    <r>
      <t>W</t>
    </r>
    <r>
      <rPr>
        <vertAlign val="subscript"/>
        <sz val="11"/>
        <color theme="1"/>
        <rFont val="Aptos Narrow"/>
        <family val="2"/>
        <scheme val="minor"/>
      </rPr>
      <t>Zapata</t>
    </r>
  </si>
  <si>
    <t>Terreno Natural</t>
  </si>
  <si>
    <t>Combinaciones para revisión estructural</t>
  </si>
  <si>
    <r>
      <t>W</t>
    </r>
    <r>
      <rPr>
        <vertAlign val="subscript"/>
        <sz val="11"/>
        <color theme="1"/>
        <rFont val="Aptos Narrow"/>
        <family val="2"/>
        <scheme val="minor"/>
      </rPr>
      <t>relleno</t>
    </r>
  </si>
  <si>
    <r>
      <t>W</t>
    </r>
    <r>
      <rPr>
        <vertAlign val="subscript"/>
        <sz val="11"/>
        <color theme="1"/>
        <rFont val="Aptos Narrow"/>
        <family val="2"/>
        <scheme val="minor"/>
      </rPr>
      <t>Dados</t>
    </r>
  </si>
  <si>
    <r>
      <t>W</t>
    </r>
    <r>
      <rPr>
        <vertAlign val="subscript"/>
        <sz val="11"/>
        <color theme="1"/>
        <rFont val="Aptos Narrow"/>
        <family val="2"/>
        <scheme val="minor"/>
      </rPr>
      <t>Ciclopeo</t>
    </r>
  </si>
  <si>
    <r>
      <t>W</t>
    </r>
    <r>
      <rPr>
        <vertAlign val="subscript"/>
        <sz val="11"/>
        <color theme="1"/>
        <rFont val="Aptos Narrow"/>
        <family val="2"/>
        <scheme val="minor"/>
      </rPr>
      <t>Adicional</t>
    </r>
  </si>
  <si>
    <t>1.2D + 1.0W 90 °</t>
  </si>
  <si>
    <t>1.2D + 1.0W 60 °</t>
  </si>
  <si>
    <t>2.- CARACTERÍSTICAS DE LOS MATERIALES</t>
  </si>
  <si>
    <r>
      <t>Resistencia del Concreto (f '</t>
    </r>
    <r>
      <rPr>
        <vertAlign val="subscript"/>
        <sz val="12"/>
        <color rgb="FF000000"/>
        <rFont val="Aptos Narrow"/>
        <family val="2"/>
        <scheme val="minor"/>
      </rPr>
      <t>c</t>
    </r>
    <r>
      <rPr>
        <sz val="12"/>
        <color indexed="8"/>
        <rFont val="Aptos Narrow"/>
        <family val="2"/>
        <scheme val="minor"/>
      </rPr>
      <t>):</t>
    </r>
  </si>
  <si>
    <r>
      <t>kg/cm</t>
    </r>
    <r>
      <rPr>
        <vertAlign val="superscript"/>
        <sz val="12"/>
        <color indexed="8"/>
        <rFont val="Aptos Narrow"/>
        <family val="2"/>
        <scheme val="minor"/>
      </rPr>
      <t>2</t>
    </r>
  </si>
  <si>
    <t>Existe Concreto Ciclópeo:</t>
  </si>
  <si>
    <t>No</t>
  </si>
  <si>
    <r>
      <t>Peso Volumétrico del Concreto (g</t>
    </r>
    <r>
      <rPr>
        <vertAlign val="subscript"/>
        <sz val="12"/>
        <color indexed="8"/>
        <rFont val="Aptos Narrow"/>
        <family val="2"/>
        <scheme val="minor"/>
      </rPr>
      <t>c</t>
    </r>
    <r>
      <rPr>
        <sz val="12"/>
        <color indexed="8"/>
        <rFont val="Aptos Narrow"/>
        <family val="2"/>
        <scheme val="minor"/>
      </rPr>
      <t>):</t>
    </r>
  </si>
  <si>
    <r>
      <t>kg/m</t>
    </r>
    <r>
      <rPr>
        <vertAlign val="superscript"/>
        <sz val="12"/>
        <color indexed="8"/>
        <rFont val="Aptos Narrow"/>
        <family val="2"/>
        <scheme val="minor"/>
      </rPr>
      <t>3</t>
    </r>
  </si>
  <si>
    <t>Espesor de Concreto Ciclópeo:</t>
  </si>
  <si>
    <t>m</t>
  </si>
  <si>
    <r>
      <t>Peso Volumétrico del Relleno (g</t>
    </r>
    <r>
      <rPr>
        <vertAlign val="subscript"/>
        <sz val="12"/>
        <color rgb="FF000000"/>
        <rFont val="Aptos Narrow"/>
        <family val="2"/>
        <scheme val="minor"/>
      </rPr>
      <t>r</t>
    </r>
    <r>
      <rPr>
        <sz val="12"/>
        <color indexed="8"/>
        <rFont val="Aptos Narrow"/>
        <family val="2"/>
        <scheme val="minor"/>
      </rPr>
      <t>):</t>
    </r>
  </si>
  <si>
    <r>
      <t>Peso Volumétrico Concreto Ciclópeo (g</t>
    </r>
    <r>
      <rPr>
        <vertAlign val="subscript"/>
        <sz val="12"/>
        <color rgb="FF000000"/>
        <rFont val="Aptos Narrow"/>
        <family val="2"/>
        <scheme val="minor"/>
      </rPr>
      <t>cc</t>
    </r>
    <r>
      <rPr>
        <sz val="12"/>
        <color indexed="8"/>
        <rFont val="Aptos Narrow"/>
        <family val="2"/>
        <scheme val="minor"/>
      </rPr>
      <t>):</t>
    </r>
  </si>
  <si>
    <r>
      <t>Esfuerzo de Fluencia del Acero (F</t>
    </r>
    <r>
      <rPr>
        <vertAlign val="subscript"/>
        <sz val="12"/>
        <color indexed="8"/>
        <rFont val="Aptos Narrow"/>
        <family val="2"/>
        <scheme val="minor"/>
      </rPr>
      <t>y</t>
    </r>
    <r>
      <rPr>
        <sz val="12"/>
        <color indexed="8"/>
        <rFont val="Aptos Narrow"/>
        <family val="2"/>
        <scheme val="minor"/>
      </rPr>
      <t>):</t>
    </r>
  </si>
  <si>
    <t>Peso adicional:</t>
  </si>
  <si>
    <t>kg</t>
  </si>
  <si>
    <t>3.- DATOS GEOMÉTRICOS DE LA CIMENTACIÓN</t>
  </si>
  <si>
    <t xml:space="preserve">Ancho de la zapata (B): </t>
  </si>
  <si>
    <r>
      <t>Peralte de la zapata (P</t>
    </r>
    <r>
      <rPr>
        <vertAlign val="subscript"/>
        <sz val="12"/>
        <color theme="1"/>
        <rFont val="Aptos Narrow"/>
        <family val="2"/>
        <scheme val="minor"/>
      </rPr>
      <t>Z</t>
    </r>
    <r>
      <rPr>
        <sz val="12"/>
        <color theme="1"/>
        <rFont val="Aptos Narrow"/>
        <family val="2"/>
        <scheme val="minor"/>
      </rPr>
      <t xml:space="preserve">): </t>
    </r>
  </si>
  <si>
    <r>
      <t>Distancia entre piernas(L</t>
    </r>
    <r>
      <rPr>
        <vertAlign val="subscript"/>
        <sz val="12"/>
        <color theme="1"/>
        <rFont val="Aptos Narrow"/>
        <family val="2"/>
        <scheme val="minor"/>
      </rPr>
      <t>o</t>
    </r>
    <r>
      <rPr>
        <sz val="12"/>
        <color theme="1"/>
        <rFont val="Aptos Narrow"/>
        <family val="2"/>
        <scheme val="minor"/>
      </rPr>
      <t xml:space="preserve">): </t>
    </r>
  </si>
  <si>
    <r>
      <t>Profundidad de desplante (P</t>
    </r>
    <r>
      <rPr>
        <vertAlign val="subscript"/>
        <sz val="12"/>
        <color theme="1"/>
        <rFont val="Aptos Narrow"/>
        <family val="2"/>
        <scheme val="minor"/>
      </rPr>
      <t>d</t>
    </r>
    <r>
      <rPr>
        <sz val="12"/>
        <color theme="1"/>
        <rFont val="Aptos Narrow"/>
        <family val="2"/>
        <scheme val="minor"/>
      </rPr>
      <t>) :</t>
    </r>
  </si>
  <si>
    <r>
      <t>Ancho de dados (A</t>
    </r>
    <r>
      <rPr>
        <vertAlign val="subscript"/>
        <sz val="12"/>
        <color theme="1"/>
        <rFont val="Aptos Narrow"/>
        <family val="2"/>
        <scheme val="minor"/>
      </rPr>
      <t>D</t>
    </r>
    <r>
      <rPr>
        <sz val="12"/>
        <color theme="1"/>
        <rFont val="Aptos Narrow"/>
        <family val="2"/>
        <scheme val="minor"/>
      </rPr>
      <t xml:space="preserve">): </t>
    </r>
  </si>
  <si>
    <t xml:space="preserve">Área (A): </t>
  </si>
  <si>
    <r>
      <t>Afloramiento del dado (H</t>
    </r>
    <r>
      <rPr>
        <vertAlign val="subscript"/>
        <sz val="12"/>
        <color theme="1"/>
        <rFont val="Aptos Narrow"/>
        <family val="2"/>
        <scheme val="minor"/>
      </rPr>
      <t>D</t>
    </r>
    <r>
      <rPr>
        <sz val="12"/>
        <color theme="1"/>
        <rFont val="Aptos Narrow"/>
        <family val="2"/>
        <scheme val="minor"/>
      </rPr>
      <t xml:space="preserve">): </t>
    </r>
  </si>
  <si>
    <r>
      <t>Distancia entre centroides vertical (C</t>
    </r>
    <r>
      <rPr>
        <vertAlign val="subscript"/>
        <sz val="12"/>
        <color theme="1"/>
        <rFont val="Aptos Narrow"/>
        <family val="2"/>
        <scheme val="minor"/>
      </rPr>
      <t>Y</t>
    </r>
    <r>
      <rPr>
        <sz val="12"/>
        <color theme="1"/>
        <rFont val="Aptos Narrow"/>
        <family val="2"/>
        <scheme val="minor"/>
      </rPr>
      <t>):</t>
    </r>
  </si>
  <si>
    <r>
      <t>Distancia entre centroides horizontal (C</t>
    </r>
    <r>
      <rPr>
        <vertAlign val="subscript"/>
        <sz val="12"/>
        <color theme="1"/>
        <rFont val="Aptos Narrow"/>
        <family val="2"/>
        <scheme val="minor"/>
      </rPr>
      <t>X</t>
    </r>
    <r>
      <rPr>
        <sz val="12"/>
        <color theme="1"/>
        <rFont val="Aptos Narrow"/>
        <family val="2"/>
        <scheme val="minor"/>
      </rPr>
      <t>):</t>
    </r>
  </si>
  <si>
    <r>
      <t>Longitud del dado (L</t>
    </r>
    <r>
      <rPr>
        <vertAlign val="subscript"/>
        <sz val="12"/>
        <color theme="1"/>
        <rFont val="Aptos Narrow"/>
        <family val="2"/>
        <scheme val="minor"/>
      </rPr>
      <t>D</t>
    </r>
    <r>
      <rPr>
        <sz val="12"/>
        <color theme="1"/>
        <rFont val="Aptos Narrow"/>
        <family val="2"/>
        <scheme val="minor"/>
      </rPr>
      <t xml:space="preserve">): </t>
    </r>
  </si>
  <si>
    <r>
      <t>Altura del relleno (H</t>
    </r>
    <r>
      <rPr>
        <vertAlign val="subscript"/>
        <sz val="12"/>
        <color theme="1"/>
        <rFont val="Aptos Narrow"/>
        <family val="2"/>
        <scheme val="minor"/>
      </rPr>
      <t>r</t>
    </r>
    <r>
      <rPr>
        <sz val="12"/>
        <color theme="1"/>
        <rFont val="Aptos Narrow"/>
        <family val="2"/>
        <scheme val="minor"/>
      </rPr>
      <t xml:space="preserve">): </t>
    </r>
  </si>
  <si>
    <r>
      <t>Q</t>
    </r>
    <r>
      <rPr>
        <vertAlign val="subscript"/>
        <sz val="12"/>
        <color theme="1"/>
        <rFont val="Aptos Narrow"/>
        <family val="2"/>
        <scheme val="minor"/>
      </rPr>
      <t>ADM</t>
    </r>
    <r>
      <rPr>
        <sz val="12"/>
        <color theme="1"/>
        <rFont val="Aptos Narrow"/>
        <family val="2"/>
        <scheme val="minor"/>
      </rPr>
      <t xml:space="preserve"> =</t>
    </r>
  </si>
  <si>
    <t>Tn/m2</t>
  </si>
  <si>
    <t>FS =</t>
  </si>
  <si>
    <t>4.- DISEÑO GEOTÉCNICO</t>
  </si>
  <si>
    <t>4.1.- CRITERIOS DE RESISTENCIA</t>
  </si>
  <si>
    <t>Factor de reducción por capacidad de carga</t>
  </si>
  <si>
    <t>Ф:</t>
  </si>
  <si>
    <t>Arriostradas</t>
  </si>
  <si>
    <t>Monopolo y Autosoportadas</t>
  </si>
  <si>
    <t>Factor de reducción por deslizamiento</t>
  </si>
  <si>
    <t>4.2.- Revisión por volteo</t>
  </si>
  <si>
    <t>4.2.1.- Cálculo de Momento</t>
  </si>
  <si>
    <r>
      <t>M</t>
    </r>
    <r>
      <rPr>
        <vertAlign val="subscript"/>
        <sz val="11"/>
        <color theme="1"/>
        <rFont val="Aptos Narrow"/>
        <family val="2"/>
        <scheme val="minor"/>
      </rPr>
      <t>RX</t>
    </r>
  </si>
  <si>
    <r>
      <t>M</t>
    </r>
    <r>
      <rPr>
        <vertAlign val="subscript"/>
        <sz val="11"/>
        <color theme="1"/>
        <rFont val="Aptos Narrow"/>
        <family val="2"/>
        <scheme val="minor"/>
      </rPr>
      <t>RZ</t>
    </r>
  </si>
  <si>
    <r>
      <t>M</t>
    </r>
    <r>
      <rPr>
        <vertAlign val="subscript"/>
        <sz val="11"/>
        <color theme="1"/>
        <rFont val="Aptos Narrow"/>
        <family val="2"/>
        <scheme val="minor"/>
      </rPr>
      <t>X</t>
    </r>
    <r>
      <rPr>
        <sz val="11"/>
        <color theme="1"/>
        <rFont val="Aptos Narrow"/>
        <family val="2"/>
        <scheme val="minor"/>
      </rPr>
      <t>*F</t>
    </r>
    <r>
      <rPr>
        <vertAlign val="subscript"/>
        <sz val="11"/>
        <color theme="1"/>
        <rFont val="Aptos Narrow"/>
        <family val="2"/>
        <scheme val="minor"/>
      </rPr>
      <t>Y</t>
    </r>
  </si>
  <si>
    <r>
      <t>M</t>
    </r>
    <r>
      <rPr>
        <vertAlign val="subscript"/>
        <sz val="11"/>
        <color theme="1"/>
        <rFont val="Aptos Narrow"/>
        <family val="2"/>
        <scheme val="minor"/>
      </rPr>
      <t>Z</t>
    </r>
    <r>
      <rPr>
        <sz val="11"/>
        <color theme="1"/>
        <rFont val="Aptos Narrow"/>
        <family val="2"/>
        <scheme val="minor"/>
      </rPr>
      <t>*F</t>
    </r>
    <r>
      <rPr>
        <vertAlign val="subscript"/>
        <sz val="11"/>
        <color theme="1"/>
        <rFont val="Aptos Narrow"/>
        <family val="2"/>
        <scheme val="minor"/>
      </rPr>
      <t>Y</t>
    </r>
  </si>
  <si>
    <r>
      <t>R</t>
    </r>
    <r>
      <rPr>
        <vertAlign val="subscript"/>
        <sz val="11"/>
        <color theme="1"/>
        <rFont val="Aptos Narrow"/>
        <family val="2"/>
        <scheme val="minor"/>
      </rPr>
      <t>FY</t>
    </r>
  </si>
  <si>
    <r>
      <t>X</t>
    </r>
    <r>
      <rPr>
        <vertAlign val="subscript"/>
        <sz val="11"/>
        <color theme="1"/>
        <rFont val="Aptos Narrow"/>
        <family val="2"/>
        <scheme val="minor"/>
      </rPr>
      <t xml:space="preserve">CC </t>
    </r>
    <r>
      <rPr>
        <sz val="11"/>
        <color theme="1"/>
        <rFont val="Aptos Narrow"/>
        <family val="2"/>
        <scheme val="minor"/>
      </rPr>
      <t>F</t>
    </r>
    <r>
      <rPr>
        <vertAlign val="subscript"/>
        <sz val="11"/>
        <color theme="1"/>
        <rFont val="Aptos Narrow"/>
        <family val="2"/>
        <scheme val="minor"/>
      </rPr>
      <t>Y</t>
    </r>
  </si>
  <si>
    <r>
      <t>Y</t>
    </r>
    <r>
      <rPr>
        <vertAlign val="subscript"/>
        <sz val="11"/>
        <color theme="1"/>
        <rFont val="Aptos Narrow"/>
        <family val="2"/>
        <scheme val="minor"/>
      </rPr>
      <t xml:space="preserve">CC </t>
    </r>
    <r>
      <rPr>
        <sz val="11"/>
        <color theme="1"/>
        <rFont val="Aptos Narrow"/>
        <family val="2"/>
        <scheme val="minor"/>
      </rPr>
      <t>F</t>
    </r>
    <r>
      <rPr>
        <vertAlign val="subscript"/>
        <sz val="11"/>
        <color theme="1"/>
        <rFont val="Aptos Narrow"/>
        <family val="2"/>
        <scheme val="minor"/>
      </rPr>
      <t>Y</t>
    </r>
  </si>
  <si>
    <t>ex</t>
  </si>
  <si>
    <t>ey</t>
  </si>
  <si>
    <t>Mx Adic</t>
  </si>
  <si>
    <t>Mz Adic</t>
  </si>
  <si>
    <t xml:space="preserve">0.9D + 1.0W 90 ° </t>
  </si>
  <si>
    <t xml:space="preserve">0.9D + 1.0W 60 ° </t>
  </si>
  <si>
    <t xml:space="preserve">0.9D + 1.0W Normal </t>
  </si>
  <si>
    <t>Mx Total</t>
  </si>
  <si>
    <t>Mz Total</t>
  </si>
  <si>
    <t>RFY Total</t>
  </si>
  <si>
    <r>
      <t>ex</t>
    </r>
    <r>
      <rPr>
        <vertAlign val="subscript"/>
        <sz val="11"/>
        <color theme="1"/>
        <rFont val="Aptos Narrow"/>
        <family val="2"/>
        <scheme val="minor"/>
      </rPr>
      <t>T</t>
    </r>
  </si>
  <si>
    <r>
      <t>ey</t>
    </r>
    <r>
      <rPr>
        <vertAlign val="subscript"/>
        <sz val="11"/>
        <color theme="1"/>
        <rFont val="Aptos Narrow"/>
        <family val="2"/>
        <scheme val="minor"/>
      </rPr>
      <t>T</t>
    </r>
  </si>
  <si>
    <t>Ángulo</t>
  </si>
  <si>
    <t>M act Total</t>
  </si>
  <si>
    <t>Brazo</t>
  </si>
  <si>
    <r>
      <t>M</t>
    </r>
    <r>
      <rPr>
        <vertAlign val="subscript"/>
        <sz val="11"/>
        <color theme="1"/>
        <rFont val="Aptos Narrow"/>
        <family val="2"/>
        <scheme val="minor"/>
      </rPr>
      <t>R</t>
    </r>
  </si>
  <si>
    <t>FSV</t>
  </si>
  <si>
    <t>Eficiencia</t>
  </si>
  <si>
    <t>4.3.- Revisión por capacidad de carga</t>
  </si>
  <si>
    <t>Ley de Navier</t>
  </si>
  <si>
    <t>4.3.1.- Cálculo de esfuerzos</t>
  </si>
  <si>
    <t>Tn-m</t>
  </si>
  <si>
    <t>Tn</t>
  </si>
  <si>
    <t>4.3.2.- Eficiencias</t>
  </si>
  <si>
    <r>
      <t>m</t>
    </r>
    <r>
      <rPr>
        <vertAlign val="superscript"/>
        <sz val="11"/>
        <color theme="1"/>
        <rFont val="Aptos Narrow"/>
        <family val="2"/>
        <scheme val="minor"/>
      </rPr>
      <t>2</t>
    </r>
  </si>
  <si>
    <t>Área efec</t>
  </si>
  <si>
    <t>Q prom</t>
  </si>
  <si>
    <r>
      <rPr>
        <sz val="11"/>
        <color theme="1"/>
        <rFont val="Aptos Narrow"/>
        <family val="2"/>
        <scheme val="minor"/>
      </rPr>
      <t>Ф * Qult</t>
    </r>
  </si>
  <si>
    <t>4.4.- Placas generadas en modelo Staad</t>
  </si>
  <si>
    <t># de Placas</t>
  </si>
  <si>
    <t>4.5.- Relleno para modelo Staad y Coeficiente de Balasto</t>
  </si>
  <si>
    <t>Relleno</t>
  </si>
  <si>
    <t>Área</t>
  </si>
  <si>
    <t>Módulo K de MS</t>
  </si>
  <si>
    <t>ton/m3</t>
  </si>
  <si>
    <t>kg/m3</t>
  </si>
  <si>
    <t>Peso Suelo</t>
  </si>
  <si>
    <t>Kg</t>
  </si>
  <si>
    <t>Peso Ciclopeo</t>
  </si>
  <si>
    <t>Análisis de Asentamiento=</t>
  </si>
  <si>
    <t>cm</t>
  </si>
  <si>
    <t>P Press</t>
  </si>
  <si>
    <r>
      <t>Kg/m</t>
    </r>
    <r>
      <rPr>
        <vertAlign val="superscript"/>
        <sz val="11"/>
        <color theme="1"/>
        <rFont val="Aptos Narrow"/>
        <family val="2"/>
        <scheme val="minor"/>
      </rPr>
      <t>2</t>
    </r>
  </si>
  <si>
    <t>K manual=</t>
  </si>
  <si>
    <t>4.6.- Propiedades Concreto</t>
  </si>
  <si>
    <t>Módulo de Elesticidad de Concreto</t>
  </si>
  <si>
    <t>Ec=</t>
  </si>
  <si>
    <r>
      <t>Kg/cm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 xml:space="preserve">         =</t>
    </r>
  </si>
  <si>
    <t>K= obtenida de dividir el esfuerzo de la cap admisible / el desplazamiento calculado como asentamiento</t>
  </si>
  <si>
    <t>Relación de Poisson</t>
  </si>
  <si>
    <t xml:space="preserve">v= </t>
  </si>
  <si>
    <t>Módulo de Corte</t>
  </si>
  <si>
    <t>G=</t>
  </si>
  <si>
    <t>5.- ELEMENTOS MECÁNICOS DE DISEÑO</t>
  </si>
  <si>
    <t xml:space="preserve"> </t>
  </si>
  <si>
    <t>Shear (Local)</t>
  </si>
  <si>
    <t>Membrane (Local)</t>
  </si>
  <si>
    <t>Bending Moment (Local)</t>
  </si>
  <si>
    <t>Plate</t>
  </si>
  <si>
    <t>L/C</t>
  </si>
  <si>
    <t>SQX kg/cm2</t>
  </si>
  <si>
    <t>SQY kg/cm2</t>
  </si>
  <si>
    <t>SX kg/cm2</t>
  </si>
  <si>
    <t>SY kg/cm2</t>
  </si>
  <si>
    <t>SXY kg/cm2</t>
  </si>
  <si>
    <t>MX MTon-m/m</t>
  </si>
  <si>
    <t>MY MTon-m/m</t>
  </si>
  <si>
    <t>MXY MTon-m/m</t>
  </si>
  <si>
    <t>Max Qx</t>
  </si>
  <si>
    <t>11 VIENTO A NORMAL + RELLENO</t>
  </si>
  <si>
    <t>Min Qx</t>
  </si>
  <si>
    <t>Max Qy</t>
  </si>
  <si>
    <t>Min Qy</t>
  </si>
  <si>
    <t>Max Sx</t>
  </si>
  <si>
    <t>9 VIENTO A 90 + RELLENO</t>
  </si>
  <si>
    <t>Min Sx</t>
  </si>
  <si>
    <t>Max Sy</t>
  </si>
  <si>
    <t>Min Sy</t>
  </si>
  <si>
    <t>Max Sxy</t>
  </si>
  <si>
    <t>Min Sxy</t>
  </si>
  <si>
    <t>Max Mx</t>
  </si>
  <si>
    <t>10 VIENTO A 60 + RELLENO</t>
  </si>
  <si>
    <t>Min Mx</t>
  </si>
  <si>
    <t>Max My</t>
  </si>
  <si>
    <t>Min My</t>
  </si>
  <si>
    <t>Max Mxy</t>
  </si>
  <si>
    <t>Min Mxy</t>
  </si>
  <si>
    <t>6.- DISEÑO ESTRUCTURAL</t>
  </si>
  <si>
    <t>6.1.- OBTENCIÓN DE CRITERIOS DE RESISTENCIA DE DISEÑO ESTRUCTURAL</t>
  </si>
  <si>
    <t>21.2.1 ACI 318-19</t>
  </si>
  <si>
    <t>Cálculo de la profundidad del bloque equivalente de esfuerzos a compresión</t>
  </si>
  <si>
    <t>22.2.2.4.3 ACI 318-19</t>
  </si>
  <si>
    <t>b :</t>
  </si>
  <si>
    <r>
      <t>f'c &lt;= 280 kg/cm</t>
    </r>
    <r>
      <rPr>
        <vertAlign val="superscript"/>
        <sz val="11"/>
        <color theme="1"/>
        <rFont val="Aptos Narrow"/>
        <family val="2"/>
        <scheme val="minor"/>
      </rPr>
      <t>2</t>
    </r>
  </si>
  <si>
    <t>0.85 - (f'c - 280) (0.5 / 70)</t>
  </si>
  <si>
    <r>
      <t>280 kg/cm2 &lt; f'c &lt;= 560 kg/cm</t>
    </r>
    <r>
      <rPr>
        <vertAlign val="superscript"/>
        <sz val="11"/>
        <color theme="1"/>
        <rFont val="Aptos Narrow"/>
        <family val="2"/>
        <scheme val="minor"/>
      </rPr>
      <t>2</t>
    </r>
  </si>
  <si>
    <r>
      <t>f'c &gt; 560 kg/cm</t>
    </r>
    <r>
      <rPr>
        <vertAlign val="superscript"/>
        <sz val="11"/>
        <color theme="1"/>
        <rFont val="Aptos Narrow"/>
        <family val="2"/>
        <scheme val="minor"/>
      </rPr>
      <t>2</t>
    </r>
  </si>
  <si>
    <t>Factor de reducción por flexión</t>
  </si>
  <si>
    <t>Factor de reducción por cortante</t>
  </si>
  <si>
    <t>Factor de reducción por penetración</t>
  </si>
  <si>
    <r>
      <t>ɸ</t>
    </r>
    <r>
      <rPr>
        <vertAlign val="subscript"/>
        <sz val="12"/>
        <rFont val="Aptos Narrow"/>
        <family val="2"/>
        <scheme val="minor"/>
      </rPr>
      <t xml:space="preserve"> </t>
    </r>
    <r>
      <rPr>
        <sz val="12"/>
        <rFont val="Aptos Narrow"/>
        <family val="2"/>
        <scheme val="minor"/>
      </rPr>
      <t>:</t>
    </r>
  </si>
  <si>
    <t>6.2.- OBTENCIÓN DE CRITERIOS DE PARÁMETROS DE DISEÑO</t>
  </si>
  <si>
    <t>r :</t>
  </si>
  <si>
    <t>d :</t>
  </si>
  <si>
    <t>------------------------------------------------------------</t>
  </si>
  <si>
    <t>Pz - r</t>
  </si>
  <si>
    <r>
      <t>c</t>
    </r>
    <r>
      <rPr>
        <vertAlign val="subscript"/>
        <sz val="12"/>
        <rFont val="Aptos Narrow"/>
        <family val="2"/>
        <scheme val="minor"/>
      </rPr>
      <t>1</t>
    </r>
    <r>
      <rPr>
        <sz val="12"/>
        <rFont val="Aptos Narrow"/>
        <family val="2"/>
        <scheme val="minor"/>
      </rPr>
      <t xml:space="preserve"> :</t>
    </r>
  </si>
  <si>
    <r>
      <t>A</t>
    </r>
    <r>
      <rPr>
        <vertAlign val="subscript"/>
        <sz val="12"/>
        <rFont val="Aptos Narrow"/>
        <family val="2"/>
        <scheme val="minor"/>
      </rPr>
      <t>D</t>
    </r>
    <r>
      <rPr>
        <sz val="12"/>
        <rFont val="Aptos Narrow"/>
        <family val="2"/>
        <scheme val="minor"/>
      </rPr>
      <t xml:space="preserve"> + d</t>
    </r>
  </si>
  <si>
    <r>
      <t>c</t>
    </r>
    <r>
      <rPr>
        <vertAlign val="subscript"/>
        <sz val="12"/>
        <rFont val="Aptos Narrow"/>
        <family val="2"/>
        <scheme val="minor"/>
      </rPr>
      <t>2</t>
    </r>
    <r>
      <rPr>
        <sz val="12"/>
        <rFont val="Aptos Narrow"/>
        <family val="2"/>
        <scheme val="minor"/>
      </rPr>
      <t xml:space="preserve"> :</t>
    </r>
  </si>
  <si>
    <r>
      <t>α</t>
    </r>
    <r>
      <rPr>
        <vertAlign val="subscript"/>
        <sz val="12"/>
        <color theme="1"/>
        <rFont val="Aptos Narrow"/>
        <family val="2"/>
        <scheme val="minor"/>
      </rPr>
      <t>s</t>
    </r>
    <r>
      <rPr>
        <sz val="12"/>
        <color theme="1"/>
        <rFont val="Aptos Narrow"/>
        <family val="2"/>
        <scheme val="minor"/>
      </rPr>
      <t xml:space="preserve"> :</t>
    </r>
  </si>
  <si>
    <t>22.6.5.3 ACI 318-19</t>
  </si>
  <si>
    <r>
      <t>b</t>
    </r>
    <r>
      <rPr>
        <vertAlign val="subscript"/>
        <sz val="12"/>
        <rFont val="Aptos Narrow"/>
        <family val="2"/>
        <scheme val="minor"/>
      </rPr>
      <t xml:space="preserve">0 </t>
    </r>
    <r>
      <rPr>
        <sz val="12"/>
        <rFont val="Aptos Narrow"/>
        <family val="2"/>
        <scheme val="minor"/>
      </rPr>
      <t>:</t>
    </r>
  </si>
  <si>
    <r>
      <t>b</t>
    </r>
    <r>
      <rPr>
        <vertAlign val="subscript"/>
        <sz val="12"/>
        <color indexed="8"/>
        <rFont val="Aptos Narrow"/>
        <family val="2"/>
        <scheme val="minor"/>
      </rPr>
      <t>0</t>
    </r>
    <r>
      <rPr>
        <sz val="12"/>
        <color indexed="8"/>
        <rFont val="Aptos Narrow"/>
        <family val="2"/>
        <scheme val="minor"/>
      </rPr>
      <t xml:space="preserve"> :</t>
    </r>
  </si>
  <si>
    <r>
      <t>(c</t>
    </r>
    <r>
      <rPr>
        <vertAlign val="subscript"/>
        <sz val="12"/>
        <color indexed="8"/>
        <rFont val="Aptos Narrow"/>
        <family val="2"/>
        <scheme val="minor"/>
      </rPr>
      <t>1</t>
    </r>
    <r>
      <rPr>
        <sz val="12"/>
        <color indexed="8"/>
        <rFont val="Aptos Narrow"/>
        <family val="2"/>
        <scheme val="minor"/>
      </rPr>
      <t xml:space="preserve"> + c</t>
    </r>
    <r>
      <rPr>
        <vertAlign val="subscript"/>
        <sz val="12"/>
        <color indexed="8"/>
        <rFont val="Aptos Narrow"/>
        <family val="2"/>
        <scheme val="minor"/>
      </rPr>
      <t>2</t>
    </r>
    <r>
      <rPr>
        <sz val="12"/>
        <color indexed="8"/>
        <rFont val="Aptos Narrow"/>
        <family val="2"/>
        <scheme val="minor"/>
      </rPr>
      <t>) * 2</t>
    </r>
  </si>
  <si>
    <t>Donde:</t>
  </si>
  <si>
    <t>Espesor efectivo de la losa de cimentación</t>
  </si>
  <si>
    <r>
      <t>c</t>
    </r>
    <r>
      <rPr>
        <vertAlign val="subscript"/>
        <sz val="12"/>
        <color indexed="8"/>
        <rFont val="Aptos Narrow"/>
        <family val="2"/>
        <scheme val="minor"/>
      </rPr>
      <t>1</t>
    </r>
    <r>
      <rPr>
        <sz val="12"/>
        <color indexed="8"/>
        <rFont val="Aptos Narrow"/>
        <family val="2"/>
        <scheme val="minor"/>
      </rPr>
      <t xml:space="preserve"> :</t>
    </r>
  </si>
  <si>
    <t>Ancho de sección crítica</t>
  </si>
  <si>
    <r>
      <t>c</t>
    </r>
    <r>
      <rPr>
        <vertAlign val="subscript"/>
        <sz val="12"/>
        <color indexed="8"/>
        <rFont val="Aptos Narrow"/>
        <family val="2"/>
        <scheme val="minor"/>
      </rPr>
      <t>2</t>
    </r>
    <r>
      <rPr>
        <sz val="12"/>
        <color indexed="8"/>
        <rFont val="Aptos Narrow"/>
        <family val="2"/>
        <scheme val="minor"/>
      </rPr>
      <t xml:space="preserve"> :</t>
    </r>
  </si>
  <si>
    <t>Largo de sección crítica</t>
  </si>
  <si>
    <r>
      <t>g</t>
    </r>
    <r>
      <rPr>
        <vertAlign val="subscript"/>
        <sz val="12"/>
        <color rgb="FF000000"/>
        <rFont val="Aptos Narrow"/>
        <family val="2"/>
        <scheme val="minor"/>
      </rPr>
      <t>v</t>
    </r>
    <r>
      <rPr>
        <sz val="12"/>
        <color indexed="8"/>
        <rFont val="Aptos Narrow"/>
        <family val="2"/>
        <scheme val="minor"/>
      </rPr>
      <t xml:space="preserve"> :</t>
    </r>
  </si>
  <si>
    <t>Factor del momento no balanceado transmitido por la excentricidad del cortante en las conexiones entre losa - dado</t>
  </si>
  <si>
    <r>
      <t>b</t>
    </r>
    <r>
      <rPr>
        <vertAlign val="subscript"/>
        <sz val="12"/>
        <color indexed="8"/>
        <rFont val="Aptos Narrow"/>
        <family val="2"/>
        <scheme val="minor"/>
      </rPr>
      <t xml:space="preserve">0 </t>
    </r>
    <r>
      <rPr>
        <sz val="12"/>
        <color indexed="8"/>
        <rFont val="Aptos Narrow"/>
        <family val="2"/>
        <scheme val="minor"/>
      </rPr>
      <t>:</t>
    </r>
  </si>
  <si>
    <t>Perímetro de la sección crítica (dado cuadrado o circular)</t>
  </si>
  <si>
    <t>6.3.- REVISIÓN POR FLEXIÓN</t>
  </si>
  <si>
    <t>La revisión por flexión de la losa de cimentación se realizará de acuerdo a los criterios de viga ancha</t>
  </si>
  <si>
    <t>6.3.1.- Revisión a flexión en Lecho Inferior</t>
  </si>
  <si>
    <t>Mu :</t>
  </si>
  <si>
    <t>Tn - m</t>
  </si>
  <si>
    <t>Con :</t>
  </si>
  <si>
    <t>Add.</t>
  </si>
  <si>
    <r>
      <t>M</t>
    </r>
    <r>
      <rPr>
        <vertAlign val="subscript"/>
        <sz val="11"/>
        <color theme="1"/>
        <rFont val="Aptos Narrow"/>
        <family val="2"/>
        <scheme val="minor"/>
      </rPr>
      <t>u</t>
    </r>
    <r>
      <rPr>
        <sz val="11"/>
        <color theme="1"/>
        <rFont val="Aptos Narrow"/>
        <family val="2"/>
        <scheme val="minor"/>
      </rPr>
      <t xml:space="preserve"> / 0.85 </t>
    </r>
    <r>
      <rPr>
        <sz val="11"/>
        <color indexed="8"/>
        <rFont val="Aptos Narrow"/>
        <family val="2"/>
        <scheme val="minor"/>
      </rPr>
      <t>ɸ b d</t>
    </r>
    <r>
      <rPr>
        <vertAlign val="superscript"/>
        <sz val="11"/>
        <color indexed="8"/>
        <rFont val="Aptos Narrow"/>
        <family val="2"/>
        <scheme val="minor"/>
      </rPr>
      <t>2</t>
    </r>
    <r>
      <rPr>
        <sz val="11"/>
        <color indexed="8"/>
        <rFont val="Aptos Narrow"/>
        <family val="2"/>
        <scheme val="minor"/>
      </rPr>
      <t xml:space="preserve"> f'</t>
    </r>
    <r>
      <rPr>
        <vertAlign val="subscript"/>
        <sz val="11"/>
        <color rgb="FF000000"/>
        <rFont val="Aptos Narrow"/>
        <family val="2"/>
        <scheme val="minor"/>
      </rPr>
      <t>c</t>
    </r>
  </si>
  <si>
    <t>q :</t>
  </si>
  <si>
    <t>0 = 0.5q^2 - q + Con</t>
  </si>
  <si>
    <t>p :</t>
  </si>
  <si>
    <t>ρ :</t>
  </si>
  <si>
    <r>
      <t>q (f "</t>
    </r>
    <r>
      <rPr>
        <vertAlign val="subscript"/>
        <sz val="11"/>
        <rFont val="Aptos Narrow"/>
        <family val="2"/>
        <scheme val="minor"/>
      </rPr>
      <t>c</t>
    </r>
    <r>
      <rPr>
        <sz val="11"/>
        <rFont val="Aptos Narrow"/>
        <family val="2"/>
        <scheme val="minor"/>
      </rPr>
      <t xml:space="preserve"> / f</t>
    </r>
    <r>
      <rPr>
        <vertAlign val="subscript"/>
        <sz val="11"/>
        <rFont val="Aptos Narrow"/>
        <family val="2"/>
        <scheme val="minor"/>
      </rPr>
      <t>y</t>
    </r>
    <r>
      <rPr>
        <sz val="11"/>
        <rFont val="Aptos Narrow"/>
        <family val="2"/>
        <scheme val="minor"/>
      </rPr>
      <t xml:space="preserve"> )</t>
    </r>
  </si>
  <si>
    <r>
      <t>p</t>
    </r>
    <r>
      <rPr>
        <vertAlign val="subscript"/>
        <sz val="11"/>
        <color theme="1"/>
        <rFont val="Aptos Narrow"/>
        <family val="2"/>
        <scheme val="minor"/>
      </rPr>
      <t>rec</t>
    </r>
    <r>
      <rPr>
        <sz val="11"/>
        <color theme="1"/>
        <rFont val="Aptos Narrow"/>
        <family val="2"/>
        <scheme val="minor"/>
      </rPr>
      <t xml:space="preserve"> :</t>
    </r>
  </si>
  <si>
    <r>
      <t>p</t>
    </r>
    <r>
      <rPr>
        <vertAlign val="subscript"/>
        <sz val="11"/>
        <color theme="1"/>
        <rFont val="Aptos Narrow"/>
        <family val="2"/>
        <scheme val="minor"/>
      </rPr>
      <t>mín</t>
    </r>
    <r>
      <rPr>
        <sz val="11"/>
        <color theme="1"/>
        <rFont val="Aptos Narrow"/>
        <family val="2"/>
        <scheme val="minor"/>
      </rPr>
      <t xml:space="preserve"> :</t>
    </r>
  </si>
  <si>
    <t>9.6.1.2a Refuerzo mínimo ACI 318-19</t>
  </si>
  <si>
    <r>
      <t>p</t>
    </r>
    <r>
      <rPr>
        <vertAlign val="subscript"/>
        <sz val="11"/>
        <color theme="1"/>
        <rFont val="Aptos Narrow"/>
        <family val="2"/>
        <scheme val="minor"/>
      </rPr>
      <t>máx</t>
    </r>
    <r>
      <rPr>
        <sz val="11"/>
        <color theme="1"/>
        <rFont val="Aptos Narrow"/>
        <family val="2"/>
        <scheme val="minor"/>
      </rPr>
      <t xml:space="preserve"> :</t>
    </r>
  </si>
  <si>
    <r>
      <t>A</t>
    </r>
    <r>
      <rPr>
        <vertAlign val="subscript"/>
        <sz val="11"/>
        <color theme="1"/>
        <rFont val="Aptos Narrow"/>
        <family val="2"/>
        <scheme val="minor"/>
      </rPr>
      <t>S req</t>
    </r>
    <r>
      <rPr>
        <sz val="11"/>
        <color theme="1"/>
        <rFont val="Aptos Narrow"/>
        <family val="2"/>
        <scheme val="minor"/>
      </rPr>
      <t xml:space="preserve"> :</t>
    </r>
  </si>
  <si>
    <r>
      <t>cm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>/m</t>
    </r>
  </si>
  <si>
    <r>
      <t>A</t>
    </r>
    <r>
      <rPr>
        <vertAlign val="subscript"/>
        <sz val="11"/>
        <color theme="1"/>
        <rFont val="Aptos Narrow"/>
        <family val="2"/>
        <scheme val="minor"/>
      </rPr>
      <t xml:space="preserve">s req </t>
    </r>
    <r>
      <rPr>
        <sz val="11"/>
        <color theme="1"/>
        <rFont val="Aptos Narrow"/>
        <family val="2"/>
        <scheme val="minor"/>
      </rPr>
      <t>:</t>
    </r>
  </si>
  <si>
    <t>ρ b d</t>
  </si>
  <si>
    <t>Varillas :</t>
  </si>
  <si>
    <t>In</t>
  </si>
  <si>
    <t>Proponiendo varillas longitudinales del No. :</t>
  </si>
  <si>
    <t>#6</t>
  </si>
  <si>
    <r>
      <t>A</t>
    </r>
    <r>
      <rPr>
        <vertAlign val="subscript"/>
        <sz val="11"/>
        <rFont val="Aptos Narrow"/>
        <family val="2"/>
        <scheme val="minor"/>
      </rPr>
      <t>v</t>
    </r>
    <r>
      <rPr>
        <sz val="11"/>
        <rFont val="Aptos Narrow"/>
        <family val="2"/>
        <scheme val="minor"/>
      </rPr>
      <t xml:space="preserve"> :</t>
    </r>
  </si>
  <si>
    <r>
      <t>cm</t>
    </r>
    <r>
      <rPr>
        <vertAlign val="superscript"/>
        <sz val="11"/>
        <color theme="1"/>
        <rFont val="Aptos Narrow"/>
        <family val="2"/>
        <scheme val="minor"/>
      </rPr>
      <t>2</t>
    </r>
  </si>
  <si>
    <r>
      <t>A</t>
    </r>
    <r>
      <rPr>
        <vertAlign val="subscript"/>
        <sz val="11"/>
        <rFont val="Aptos Narrow"/>
        <family val="2"/>
        <scheme val="minor"/>
      </rPr>
      <t>S</t>
    </r>
    <r>
      <rPr>
        <sz val="11"/>
        <rFont val="Aptos Narrow"/>
        <family val="2"/>
        <scheme val="minor"/>
      </rPr>
      <t xml:space="preserve"> :</t>
    </r>
  </si>
  <si>
    <t>Se requiere una separación de :</t>
  </si>
  <si>
    <t>#3</t>
  </si>
  <si>
    <t>#4</t>
  </si>
  <si>
    <t>6.3.1.1.- Comparación con acero existente</t>
  </si>
  <si>
    <t>#5</t>
  </si>
  <si>
    <t>Momento</t>
  </si>
  <si>
    <t>#7</t>
  </si>
  <si>
    <t>Armado de zapata de acuerdo a calas :</t>
  </si>
  <si>
    <r>
      <t>A</t>
    </r>
    <r>
      <rPr>
        <vertAlign val="subscript"/>
        <sz val="11"/>
        <rFont val="Aptos Narrow"/>
        <family val="2"/>
        <scheme val="minor"/>
      </rPr>
      <t>s real</t>
    </r>
    <r>
      <rPr>
        <sz val="11"/>
        <rFont val="Aptos Narrow"/>
        <family val="2"/>
        <scheme val="minor"/>
      </rPr>
      <t>:</t>
    </r>
  </si>
  <si>
    <t>Acero</t>
  </si>
  <si>
    <t>#8</t>
  </si>
  <si>
    <t>Con una separación de:</t>
  </si>
  <si>
    <r>
      <t xml:space="preserve">ρ </t>
    </r>
    <r>
      <rPr>
        <vertAlign val="subscript"/>
        <sz val="11"/>
        <rFont val="Aptos Narrow"/>
        <family val="2"/>
        <scheme val="minor"/>
      </rPr>
      <t>real</t>
    </r>
    <r>
      <rPr>
        <sz val="11"/>
        <rFont val="Aptos Narrow"/>
        <family val="2"/>
        <scheme val="minor"/>
      </rPr>
      <t>:</t>
    </r>
  </si>
  <si>
    <r>
      <t>M</t>
    </r>
    <r>
      <rPr>
        <b/>
        <vertAlign val="subscript"/>
        <sz val="12"/>
        <color theme="1"/>
        <rFont val="Aptos Narrow"/>
        <family val="2"/>
        <scheme val="minor"/>
      </rPr>
      <t>RN</t>
    </r>
    <r>
      <rPr>
        <b/>
        <sz val="12"/>
        <color theme="1"/>
        <rFont val="Aptos Narrow"/>
        <family val="2"/>
        <scheme val="minor"/>
      </rPr>
      <t xml:space="preserve"> :</t>
    </r>
  </si>
  <si>
    <t>#9</t>
  </si>
  <si>
    <t>#10</t>
  </si>
  <si>
    <t>#11</t>
  </si>
  <si>
    <t>#12</t>
  </si>
  <si>
    <t>6.3.2.- Revisión a flexión en Lecho Superior</t>
  </si>
  <si>
    <r>
      <t>ρ</t>
    </r>
    <r>
      <rPr>
        <vertAlign val="subscript"/>
        <sz val="11"/>
        <rFont val="Aptos Narrow"/>
        <family val="2"/>
        <scheme val="minor"/>
      </rPr>
      <t xml:space="preserve">cv </t>
    </r>
    <r>
      <rPr>
        <sz val="11"/>
        <rFont val="Aptos Narrow"/>
        <family val="2"/>
        <scheme val="minor"/>
      </rPr>
      <t>:</t>
    </r>
  </si>
  <si>
    <t>add.</t>
  </si>
  <si>
    <t>24.4.3.2 ACI 318-19</t>
  </si>
  <si>
    <r>
      <t>A</t>
    </r>
    <r>
      <rPr>
        <vertAlign val="subscript"/>
        <sz val="12"/>
        <color theme="1"/>
        <rFont val="Aptos Narrow"/>
        <family val="2"/>
        <scheme val="minor"/>
      </rPr>
      <t>s min</t>
    </r>
    <r>
      <rPr>
        <sz val="12"/>
        <color theme="1"/>
        <rFont val="Aptos Narrow"/>
        <family val="2"/>
        <scheme val="minor"/>
      </rPr>
      <t xml:space="preserve"> :</t>
    </r>
  </si>
  <si>
    <t>Acero por temperatura</t>
  </si>
  <si>
    <r>
      <t>M</t>
    </r>
    <r>
      <rPr>
        <b/>
        <vertAlign val="subscript"/>
        <sz val="11"/>
        <color theme="1"/>
        <rFont val="Aptos Narrow"/>
        <family val="2"/>
        <scheme val="minor"/>
      </rPr>
      <t>RN</t>
    </r>
    <r>
      <rPr>
        <b/>
        <sz val="11"/>
        <color theme="1"/>
        <rFont val="Aptos Narrow"/>
        <family val="2"/>
        <scheme val="minor"/>
      </rPr>
      <t xml:space="preserve"> :</t>
    </r>
  </si>
  <si>
    <t>6.4.- REVISIÓN POR CORTANTE</t>
  </si>
  <si>
    <t>6.4.1.- Revisión a cortante por penetración</t>
  </si>
  <si>
    <t>La revisión por penetración de la losa de cimentación por el dado más crítico</t>
  </si>
  <si>
    <r>
      <t>ν</t>
    </r>
    <r>
      <rPr>
        <b/>
        <vertAlign val="subscript"/>
        <sz val="12"/>
        <color indexed="8"/>
        <rFont val="Aptos Narrow"/>
        <family val="2"/>
        <scheme val="minor"/>
      </rPr>
      <t>u</t>
    </r>
    <r>
      <rPr>
        <b/>
        <sz val="12"/>
        <color indexed="8"/>
        <rFont val="Aptos Narrow"/>
        <family val="2"/>
        <scheme val="minor"/>
      </rPr>
      <t xml:space="preserve"> :</t>
    </r>
  </si>
  <si>
    <r>
      <t>Tn/m</t>
    </r>
    <r>
      <rPr>
        <b/>
        <vertAlign val="superscript"/>
        <sz val="12"/>
        <color rgb="FF000000"/>
        <rFont val="Aptos Narrow"/>
        <family val="2"/>
        <scheme val="minor"/>
      </rPr>
      <t>2</t>
    </r>
  </si>
  <si>
    <t>λs :</t>
  </si>
  <si>
    <t>22.5.5.1.3 ACI 318-19</t>
  </si>
  <si>
    <t>λ :</t>
  </si>
  <si>
    <r>
      <t>ɸv</t>
    </r>
    <r>
      <rPr>
        <vertAlign val="subscript"/>
        <sz val="11"/>
        <color indexed="8"/>
        <rFont val="Aptos Narrow"/>
        <family val="2"/>
        <scheme val="minor"/>
      </rPr>
      <t xml:space="preserve">c </t>
    </r>
    <r>
      <rPr>
        <sz val="11"/>
        <color rgb="FF000000"/>
        <rFont val="Aptos Narrow"/>
        <family val="2"/>
        <scheme val="minor"/>
      </rPr>
      <t xml:space="preserve">(a) </t>
    </r>
    <r>
      <rPr>
        <sz val="11"/>
        <color indexed="8"/>
        <rFont val="Aptos Narrow"/>
        <family val="2"/>
        <scheme val="minor"/>
      </rPr>
      <t>:</t>
    </r>
  </si>
  <si>
    <r>
      <t>Tn/m</t>
    </r>
    <r>
      <rPr>
        <vertAlign val="superscript"/>
        <sz val="12"/>
        <color rgb="FF000000"/>
        <rFont val="Aptos Narrow"/>
        <family val="2"/>
        <scheme val="minor"/>
      </rPr>
      <t>2</t>
    </r>
  </si>
  <si>
    <t>22.6.5.2 ACI 318-19</t>
  </si>
  <si>
    <r>
      <t>V</t>
    </r>
    <r>
      <rPr>
        <b/>
        <vertAlign val="subscript"/>
        <sz val="11"/>
        <rFont val="Aptos Narrow"/>
        <family val="2"/>
        <scheme val="minor"/>
      </rPr>
      <t>uP</t>
    </r>
    <r>
      <rPr>
        <b/>
        <sz val="11"/>
        <rFont val="Aptos Narrow"/>
        <family val="2"/>
        <scheme val="minor"/>
      </rPr>
      <t xml:space="preserve"> :</t>
    </r>
  </si>
  <si>
    <r>
      <t>ɸv</t>
    </r>
    <r>
      <rPr>
        <vertAlign val="subscript"/>
        <sz val="11"/>
        <color indexed="8"/>
        <rFont val="Aptos Narrow"/>
        <family val="2"/>
        <scheme val="minor"/>
      </rPr>
      <t xml:space="preserve">c </t>
    </r>
    <r>
      <rPr>
        <sz val="11"/>
        <color rgb="FF000000"/>
        <rFont val="Aptos Narrow"/>
        <family val="2"/>
        <scheme val="minor"/>
      </rPr>
      <t xml:space="preserve">(b) </t>
    </r>
    <r>
      <rPr>
        <sz val="11"/>
        <color indexed="8"/>
        <rFont val="Aptos Narrow"/>
        <family val="2"/>
        <scheme val="minor"/>
      </rPr>
      <t>:</t>
    </r>
  </si>
  <si>
    <r>
      <t>V</t>
    </r>
    <r>
      <rPr>
        <b/>
        <vertAlign val="subscript"/>
        <sz val="11"/>
        <rFont val="Aptos Narrow"/>
        <family val="2"/>
        <scheme val="minor"/>
      </rPr>
      <t>cR</t>
    </r>
    <r>
      <rPr>
        <b/>
        <sz val="11"/>
        <rFont val="Aptos Narrow"/>
        <family val="2"/>
        <scheme val="minor"/>
      </rPr>
      <t xml:space="preserve"> :</t>
    </r>
  </si>
  <si>
    <r>
      <t>ɸv</t>
    </r>
    <r>
      <rPr>
        <vertAlign val="subscript"/>
        <sz val="11"/>
        <color indexed="8"/>
        <rFont val="Aptos Narrow"/>
        <family val="2"/>
        <scheme val="minor"/>
      </rPr>
      <t xml:space="preserve">c </t>
    </r>
    <r>
      <rPr>
        <sz val="11"/>
        <color rgb="FF000000"/>
        <rFont val="Aptos Narrow"/>
        <family val="2"/>
        <scheme val="minor"/>
      </rPr>
      <t xml:space="preserve">(c) </t>
    </r>
    <r>
      <rPr>
        <sz val="11"/>
        <color indexed="8"/>
        <rFont val="Aptos Narrow"/>
        <family val="2"/>
        <scheme val="minor"/>
      </rPr>
      <t>:</t>
    </r>
  </si>
  <si>
    <r>
      <t>ɸ V</t>
    </r>
    <r>
      <rPr>
        <vertAlign val="subscript"/>
        <sz val="11"/>
        <color theme="1"/>
        <rFont val="Aptos Narrow"/>
        <family val="2"/>
        <scheme val="minor"/>
      </rPr>
      <t>CR</t>
    </r>
    <r>
      <rPr>
        <sz val="11"/>
        <color theme="1"/>
        <rFont val="Aptos Narrow"/>
        <family val="2"/>
        <scheme val="minor"/>
      </rPr>
      <t xml:space="preserve"> (a) :</t>
    </r>
  </si>
  <si>
    <t>22.5.5.1 ACI 318-19</t>
  </si>
  <si>
    <t>Donde</t>
  </si>
  <si>
    <r>
      <rPr>
        <sz val="11"/>
        <color indexed="8"/>
        <rFont val="Aptos Narrow"/>
        <family val="2"/>
        <scheme val="minor"/>
      </rPr>
      <t>λ:</t>
    </r>
  </si>
  <si>
    <t>Factor de modificación para reflejar las propiedades de concreto ligero</t>
  </si>
  <si>
    <t>7.- REVISIÓN DE DADOS DE DESPLANTE</t>
  </si>
  <si>
    <t>La configuración del armado de los dados de desplante es la siguiente:</t>
  </si>
  <si>
    <t>Se tienen</t>
  </si>
  <si>
    <t>varillas</t>
  </si>
  <si>
    <t>Av:</t>
  </si>
  <si>
    <t>As:</t>
  </si>
  <si>
    <t>Con</t>
  </si>
  <si>
    <t>estribos del No.</t>
  </si>
  <si>
    <t>@</t>
  </si>
  <si>
    <t>9.4.1 TIA-H</t>
  </si>
  <si>
    <t>7.1- REVISIÓN POR COMPRESIÓN AXIAL</t>
  </si>
  <si>
    <r>
      <t>P</t>
    </r>
    <r>
      <rPr>
        <vertAlign val="subscript"/>
        <sz val="11"/>
        <color indexed="8"/>
        <rFont val="Aptos Narrow"/>
        <family val="2"/>
        <scheme val="minor"/>
      </rPr>
      <t>o</t>
    </r>
    <r>
      <rPr>
        <sz val="11"/>
        <color indexed="8"/>
        <rFont val="Aptos Narrow"/>
        <family val="2"/>
        <scheme val="minor"/>
      </rPr>
      <t xml:space="preserve"> ≤ [ 0.85 f 'c ( A</t>
    </r>
    <r>
      <rPr>
        <vertAlign val="subscript"/>
        <sz val="11"/>
        <color indexed="8"/>
        <rFont val="Aptos Narrow"/>
        <family val="2"/>
        <scheme val="minor"/>
      </rPr>
      <t>g</t>
    </r>
    <r>
      <rPr>
        <sz val="11"/>
        <color indexed="8"/>
        <rFont val="Aptos Narrow"/>
        <family val="2"/>
        <scheme val="minor"/>
      </rPr>
      <t xml:space="preserve"> - A</t>
    </r>
    <r>
      <rPr>
        <vertAlign val="subscript"/>
        <sz val="11"/>
        <color indexed="8"/>
        <rFont val="Aptos Narrow"/>
        <family val="2"/>
        <scheme val="minor"/>
      </rPr>
      <t>st</t>
    </r>
    <r>
      <rPr>
        <sz val="11"/>
        <color indexed="8"/>
        <rFont val="Aptos Narrow"/>
        <family val="2"/>
        <scheme val="minor"/>
      </rPr>
      <t xml:space="preserve"> ) + F</t>
    </r>
    <r>
      <rPr>
        <vertAlign val="subscript"/>
        <sz val="11"/>
        <color indexed="8"/>
        <rFont val="Aptos Narrow"/>
        <family val="2"/>
        <scheme val="minor"/>
      </rPr>
      <t>y</t>
    </r>
    <r>
      <rPr>
        <sz val="11"/>
        <color indexed="8"/>
        <rFont val="Aptos Narrow"/>
        <family val="2"/>
        <scheme val="minor"/>
      </rPr>
      <t xml:space="preserve"> A</t>
    </r>
    <r>
      <rPr>
        <vertAlign val="subscript"/>
        <sz val="11"/>
        <color indexed="8"/>
        <rFont val="Aptos Narrow"/>
        <family val="2"/>
        <scheme val="minor"/>
      </rPr>
      <t xml:space="preserve">st </t>
    </r>
    <r>
      <rPr>
        <sz val="11"/>
        <color indexed="8"/>
        <rFont val="Aptos Narrow"/>
        <family val="2"/>
        <scheme val="minor"/>
      </rPr>
      <t>]</t>
    </r>
  </si>
  <si>
    <t>Ag:</t>
  </si>
  <si>
    <r>
      <t>A</t>
    </r>
    <r>
      <rPr>
        <vertAlign val="subscript"/>
        <sz val="11"/>
        <color theme="1"/>
        <rFont val="Aptos Narrow"/>
        <family val="2"/>
        <scheme val="minor"/>
      </rPr>
      <t>st</t>
    </r>
    <r>
      <rPr>
        <sz val="11"/>
        <color theme="1"/>
        <rFont val="Aptos Narrow"/>
        <family val="2"/>
        <scheme val="minor"/>
      </rPr>
      <t>:</t>
    </r>
  </si>
  <si>
    <r>
      <t>ɸ P</t>
    </r>
    <r>
      <rPr>
        <b/>
        <vertAlign val="subscript"/>
        <sz val="11"/>
        <color indexed="8"/>
        <rFont val="Aptos Narrow"/>
        <family val="2"/>
        <scheme val="minor"/>
      </rPr>
      <t>n</t>
    </r>
    <r>
      <rPr>
        <b/>
        <sz val="11"/>
        <color indexed="8"/>
        <rFont val="Aptos Narrow"/>
        <family val="2"/>
        <scheme val="minor"/>
      </rPr>
      <t xml:space="preserve"> :</t>
    </r>
  </si>
  <si>
    <r>
      <t>P</t>
    </r>
    <r>
      <rPr>
        <b/>
        <vertAlign val="subscript"/>
        <sz val="11"/>
        <color indexed="8"/>
        <rFont val="Aptos Narrow"/>
        <family val="2"/>
        <scheme val="minor"/>
      </rPr>
      <t>u</t>
    </r>
    <r>
      <rPr>
        <b/>
        <sz val="11"/>
        <color indexed="8"/>
        <rFont val="Aptos Narrow"/>
        <family val="2"/>
        <scheme val="minor"/>
      </rPr>
      <t xml:space="preserve"> :</t>
    </r>
  </si>
  <si>
    <t>Eff. :</t>
  </si>
  <si>
    <t>7.2- REVISIÓN POR TENSIÓN AXIAL</t>
  </si>
  <si>
    <r>
      <t>T</t>
    </r>
    <r>
      <rPr>
        <vertAlign val="subscript"/>
        <sz val="11"/>
        <color indexed="8"/>
        <rFont val="Aptos Narrow"/>
        <family val="2"/>
        <scheme val="minor"/>
      </rPr>
      <t>u</t>
    </r>
    <r>
      <rPr>
        <sz val="11"/>
        <color indexed="8"/>
        <rFont val="Aptos Narrow"/>
        <family val="2"/>
        <scheme val="minor"/>
      </rPr>
      <t xml:space="preserve"> ≤ ɸ ( F</t>
    </r>
    <r>
      <rPr>
        <vertAlign val="subscript"/>
        <sz val="11"/>
        <color indexed="8"/>
        <rFont val="Aptos Narrow"/>
        <family val="2"/>
        <scheme val="minor"/>
      </rPr>
      <t>y</t>
    </r>
    <r>
      <rPr>
        <sz val="11"/>
        <color indexed="8"/>
        <rFont val="Aptos Narrow"/>
        <family val="2"/>
        <scheme val="minor"/>
      </rPr>
      <t xml:space="preserve"> A</t>
    </r>
    <r>
      <rPr>
        <vertAlign val="subscript"/>
        <sz val="11"/>
        <color indexed="8"/>
        <rFont val="Aptos Narrow"/>
        <family val="2"/>
        <scheme val="minor"/>
      </rPr>
      <t xml:space="preserve">st </t>
    </r>
    <r>
      <rPr>
        <sz val="11"/>
        <color indexed="8"/>
        <rFont val="Aptos Narrow"/>
        <family val="2"/>
        <scheme val="minor"/>
      </rPr>
      <t>)</t>
    </r>
  </si>
  <si>
    <r>
      <t>F</t>
    </r>
    <r>
      <rPr>
        <b/>
        <vertAlign val="subscript"/>
        <sz val="11"/>
        <color indexed="8"/>
        <rFont val="Aptos Narrow"/>
        <family val="2"/>
        <scheme val="minor"/>
      </rPr>
      <t xml:space="preserve">r </t>
    </r>
    <r>
      <rPr>
        <b/>
        <sz val="11"/>
        <color indexed="8"/>
        <rFont val="Aptos Narrow"/>
        <family val="2"/>
        <scheme val="minor"/>
      </rPr>
      <t>T :</t>
    </r>
  </si>
  <si>
    <r>
      <t>T</t>
    </r>
    <r>
      <rPr>
        <b/>
        <vertAlign val="subscript"/>
        <sz val="11"/>
        <color indexed="8"/>
        <rFont val="Aptos Narrow"/>
        <family val="2"/>
        <scheme val="minor"/>
      </rPr>
      <t>u</t>
    </r>
    <r>
      <rPr>
        <b/>
        <sz val="11"/>
        <color indexed="8"/>
        <rFont val="Aptos Narrow"/>
        <family val="2"/>
        <scheme val="minor"/>
      </rPr>
      <t xml:space="preserve"> :</t>
    </r>
  </si>
  <si>
    <t>8.- REVISIÓN POR DESPLAZAMIENTOS</t>
  </si>
  <si>
    <t>Áreas Efectivas CAD</t>
  </si>
  <si>
    <t>0.9D + 1.0W 90°</t>
  </si>
  <si>
    <t>0.9D + 1.0W 60°</t>
  </si>
  <si>
    <t>PL</t>
  </si>
  <si>
    <t>.</t>
  </si>
  <si>
    <t>Close</t>
  </si>
  <si>
    <t>90°</t>
  </si>
  <si>
    <t>60°</t>
  </si>
  <si>
    <t>0°</t>
  </si>
  <si>
    <t>Combinación de carga</t>
  </si>
  <si>
    <t>Coordenada inicial</t>
  </si>
  <si>
    <t>Coordenada final</t>
  </si>
  <si>
    <t>Esf Máx:</t>
  </si>
  <si>
    <t>Tn/m</t>
  </si>
  <si>
    <t>Esf Mín:</t>
  </si>
  <si>
    <t>Esf Prom:</t>
  </si>
  <si>
    <t>REACCIONES PARA MODELO EN STAAD</t>
  </si>
  <si>
    <t>Copiar y Pegra reacciones de SES</t>
  </si>
  <si>
    <t>Ton</t>
  </si>
  <si>
    <t>Combinación</t>
  </si>
  <si>
    <t>Radius (m)</t>
  </si>
  <si>
    <t>deg</t>
  </si>
  <si>
    <t>FZ</t>
  </si>
  <si>
    <t># Nodos</t>
  </si>
  <si>
    <t>1.2D + 1.0W 90°</t>
  </si>
  <si>
    <t>1.2D + 1.0W 60°</t>
  </si>
  <si>
    <t>1.2D + 1.0W N</t>
  </si>
  <si>
    <t>Nodo 1b</t>
  </si>
  <si>
    <t>Fuerzas para modelo STAAD</t>
  </si>
  <si>
    <t>Z</t>
  </si>
  <si>
    <t>Nodo 1a</t>
  </si>
  <si>
    <t>Nodo 1</t>
  </si>
  <si>
    <t>Código 1</t>
  </si>
  <si>
    <t>Código 2</t>
  </si>
  <si>
    <t>Código 3</t>
  </si>
  <si>
    <t>Código 4</t>
  </si>
  <si>
    <t>LOAD 6 COMB_1.2D+1.090G
REPEAT LOAD
1 1.2 2 1.2 3 1.0 
LOAD 7 COMB_1.2D+1.060G
REPEAT LOAD
1 1.2 2 1.2 4 1.0 
LOAD 8 COMB_1.2D+1.0N
REPEAT LOAD
1 1.2 2 1.2 5 1.0 
PERFORM ANALYSIS
FINISH</t>
  </si>
  <si>
    <t>JOINT LOAD</t>
  </si>
  <si>
    <t>Copia y pega nodos + fuerza equivalente</t>
  </si>
  <si>
    <t>7 FY 5613.333</t>
  </si>
  <si>
    <t>7 FY 6412.222</t>
  </si>
  <si>
    <t>7 FY 3224.444</t>
  </si>
  <si>
    <t>8 FY 5613.333</t>
  </si>
  <si>
    <t>8 FY 6412.222</t>
  </si>
  <si>
    <t>8 FY 3224.444</t>
  </si>
  <si>
    <t>9 FY 5613.333</t>
  </si>
  <si>
    <t>9 FY 6412.222</t>
  </si>
  <si>
    <t>9 FY 3224.444</t>
  </si>
  <si>
    <t>10 FY 5613.333</t>
  </si>
  <si>
    <t>10 FY 6412.222</t>
  </si>
  <si>
    <t>10 FY 3224.444</t>
  </si>
  <si>
    <t>19 FY 5613.333</t>
  </si>
  <si>
    <t>19 FY 6412.222</t>
  </si>
  <si>
    <t>19 FY 3224.444</t>
  </si>
  <si>
    <t>20 FY 5613.333</t>
  </si>
  <si>
    <t>20 FY 6412.222</t>
  </si>
  <si>
    <t>20 FY 3224.444</t>
  </si>
  <si>
    <t>21 FY 5613.333</t>
  </si>
  <si>
    <t>21 FY 6412.222</t>
  </si>
  <si>
    <t>21 FY 3224.444</t>
  </si>
  <si>
    <t>22 FY 5613.333</t>
  </si>
  <si>
    <t>22 FY 6412.222</t>
  </si>
  <si>
    <t>22 FY 3224.444</t>
  </si>
  <si>
    <t>23 FY 5613.333</t>
  </si>
  <si>
    <t>23 FY 6412.222</t>
  </si>
  <si>
    <t>23 FY 3224.444</t>
  </si>
  <si>
    <t>11 FY -6867.778</t>
  </si>
  <si>
    <t>11 FY -4144.444</t>
  </si>
  <si>
    <t>11 FY 3232.222</t>
  </si>
  <si>
    <t>12 FY -6867.778</t>
  </si>
  <si>
    <t>12 FY -4144.444</t>
  </si>
  <si>
    <t>12 FY 3232.222</t>
  </si>
  <si>
    <t>13 FY -6867.778</t>
  </si>
  <si>
    <t>13 FY -4144.444</t>
  </si>
  <si>
    <t>13 FY 3232.222</t>
  </si>
  <si>
    <t>14 FY -6867.778</t>
  </si>
  <si>
    <t>14 FY -4144.444</t>
  </si>
  <si>
    <t>14 FY 3232.222</t>
  </si>
  <si>
    <t>24 FY -6867.778</t>
  </si>
  <si>
    <t>24 FY -4144.444</t>
  </si>
  <si>
    <t>24 FY 3232.222</t>
  </si>
  <si>
    <t>25 FY -6867.778</t>
  </si>
  <si>
    <t>25 FY -4144.444</t>
  </si>
  <si>
    <t>25 FY 3232.222</t>
  </si>
  <si>
    <t>26 FY -6867.778</t>
  </si>
  <si>
    <t>26 FY -4144.444</t>
  </si>
  <si>
    <t>26 FY 3232.222</t>
  </si>
  <si>
    <t>27 FY -6867.778</t>
  </si>
  <si>
    <t>27 FY -4144.444</t>
  </si>
  <si>
    <t>27 FY 3232.222</t>
  </si>
  <si>
    <t>28 FY -6867.778</t>
  </si>
  <si>
    <t>28 FY -4144.444</t>
  </si>
  <si>
    <t>28 FY 3232.222</t>
  </si>
  <si>
    <t>15 FY -620</t>
  </si>
  <si>
    <t>15 FY -4142.222</t>
  </si>
  <si>
    <t>15 FY -8331.111</t>
  </si>
  <si>
    <t>16 FY -620</t>
  </si>
  <si>
    <t>16 FY -4142.222</t>
  </si>
  <si>
    <t>16 FY -8331.111</t>
  </si>
  <si>
    <t>17 FY -620</t>
  </si>
  <si>
    <t>17 FY -4142.222</t>
  </si>
  <si>
    <t>17 FY -8331.111</t>
  </si>
  <si>
    <t>18 FY -620</t>
  </si>
  <si>
    <t>18 FY -4142.222</t>
  </si>
  <si>
    <t>18 FY -8331.111</t>
  </si>
  <si>
    <t>29 FY -620</t>
  </si>
  <si>
    <t>29 FY -4142.222</t>
  </si>
  <si>
    <t>29 FY -8331.111</t>
  </si>
  <si>
    <t>30 FY -620</t>
  </si>
  <si>
    <t>30 FY -4142.222</t>
  </si>
  <si>
    <t>30 FY -8331.111</t>
  </si>
  <si>
    <t>31 FY -620</t>
  </si>
  <si>
    <t>31 FY -4142.222</t>
  </si>
  <si>
    <t>31 FY -8331.111</t>
  </si>
  <si>
    <t>32 FY -620</t>
  </si>
  <si>
    <t>32 FY -4142.222</t>
  </si>
  <si>
    <t>32 FY -8331.111</t>
  </si>
  <si>
    <t>33 FY -620</t>
  </si>
  <si>
    <t>33 FY -4142.222</t>
  </si>
  <si>
    <t>33 FY -8331.111</t>
  </si>
  <si>
    <t>País</t>
  </si>
  <si>
    <t>Flags</t>
  </si>
  <si>
    <t>CHILE</t>
  </si>
  <si>
    <t>COSTA RICA</t>
  </si>
  <si>
    <t>MÉXICO</t>
  </si>
  <si>
    <t>PERÚ</t>
  </si>
  <si>
    <t>PARAGUAY</t>
  </si>
  <si>
    <t>ARGENTINA</t>
  </si>
  <si>
    <t>***** PROPIEDADES *****</t>
  </si>
  <si>
    <t>*//////////////////////////////////////////////////////////////</t>
  </si>
  <si>
    <t>ELEMENT PROPERTY</t>
  </si>
  <si>
    <t>***** MATERIALES *****</t>
  </si>
  <si>
    <t>DEFINE MATERIAL START</t>
  </si>
  <si>
    <t>ISOTROPIC CONCRETE</t>
  </si>
  <si>
    <t>ALPHA 5.5e-06</t>
  </si>
  <si>
    <t>DAMP 0.05</t>
  </si>
  <si>
    <t>TYPE CONCRETE</t>
  </si>
  <si>
    <t>END DEFINE MATERIAL</t>
  </si>
  <si>
    <t>***** CONSTANTES *****</t>
  </si>
  <si>
    <t>CONSTANTS</t>
  </si>
  <si>
    <t>MATERIAL CONCRETE ALL</t>
  </si>
  <si>
    <t>***** APOYOS *****</t>
  </si>
  <si>
    <t>SUPPORTS</t>
  </si>
  <si>
    <t>***** ESTADOS DE CARGA *****</t>
  </si>
  <si>
    <t>LOAD 1 PP</t>
  </si>
  <si>
    <t>SELFWEIGHT Y -1 LIST ALL</t>
  </si>
  <si>
    <t>*******************************************</t>
  </si>
  <si>
    <t>LOAD 2 RELLENO</t>
  </si>
  <si>
    <t>ELEMENT LOAD</t>
  </si>
  <si>
    <t>LOAD 3 1.2D + 1.0W 90°</t>
  </si>
  <si>
    <t>LOAD 4 1.2D + 1.0W 60°</t>
  </si>
  <si>
    <t>LOAD 5 1.2D + 1.0W Normal</t>
  </si>
  <si>
    <t>LOAD 6 1.0D + 1.0W 90°</t>
  </si>
  <si>
    <t>LOAD 7 1.0D + 1.0W 60°</t>
  </si>
  <si>
    <t>LOAD 8 1.0D + 1.0W Normal</t>
  </si>
  <si>
    <t>***** COMBINACIONES ESTRUCTURALES *****</t>
  </si>
  <si>
    <t>LOAD 9 VIENTO A 90 + RELLENO</t>
  </si>
  <si>
    <t>REPEAT LOAD</t>
  </si>
  <si>
    <t>1 1.2 2 1.2 3 1.0</t>
  </si>
  <si>
    <t>LOAD 10 VIENTO A 60 + RELLENO</t>
  </si>
  <si>
    <t>1 1.2 2 1.2 4 1.0</t>
  </si>
  <si>
    <t>LOAD 11 VIENTO A NORMAL + RELLENO</t>
  </si>
  <si>
    <t>1 1.2 2 1.2 5 1.0</t>
  </si>
  <si>
    <t>***** COMBINACIONES DESPLAZAMIENTOS *****</t>
  </si>
  <si>
    <t>LOAD 12 VIENTO SERVICIO A 90 + RELLENO</t>
  </si>
  <si>
    <t>1 1.0 2 1.0 6 1.0</t>
  </si>
  <si>
    <t>LOAD 13 VIENTO ASERVICIO  60 + RELLENO</t>
  </si>
  <si>
    <t>1 1.0 2 1.0 7 1.0</t>
  </si>
  <si>
    <t>LOAD 14 VIENTO SERVICIO NORMAL + RELLENO</t>
  </si>
  <si>
    <t>1 1.0 2 1.0 8 1.0</t>
  </si>
  <si>
    <t>PERFORM ANALYSIS PRINT ALL</t>
  </si>
  <si>
    <t>FINISH</t>
  </si>
  <si>
    <t>NODOS</t>
  </si>
  <si>
    <t>COORD X</t>
  </si>
  <si>
    <t>COORD Y</t>
  </si>
  <si>
    <t>COORD Z</t>
  </si>
  <si>
    <t>CONCAT</t>
  </si>
  <si>
    <t>Sección Para Staad</t>
  </si>
  <si>
    <t>Hueco Para Staad</t>
  </si>
  <si>
    <t>* VERSION 1.6</t>
  </si>
  <si>
    <t>STAR JOB INFORMATION</t>
  </si>
  <si>
    <t>END JOB INFORMATION</t>
  </si>
  <si>
    <t>INPUT WIDTH 79</t>
  </si>
  <si>
    <t>UNIT METER KG</t>
  </si>
  <si>
    <t>JOINT COORDINATES</t>
  </si>
  <si>
    <t>&lt;! STAAD PRO GENERATED DATA DO NOT MODIFY !!!</t>
  </si>
  <si>
    <t>PARAMETRIC MODEL AUTOMALLADO</t>
  </si>
  <si>
    <t>TYPE UNDEFINED</t>
  </si>
  <si>
    <t>MESH ORG 1 2 3</t>
  </si>
  <si>
    <t>END</t>
  </si>
  <si>
    <t>!&gt; END GENERATED DATA BLOCK</t>
  </si>
  <si>
    <t>0 cm4</t>
  </si>
  <si>
    <t>juan.espinosa@americantower.com</t>
  </si>
  <si>
    <t>Análisis en la hoja FEM</t>
  </si>
  <si>
    <t>PRUEBA_2</t>
  </si>
  <si>
    <t>27/01/2026</t>
  </si>
  <si>
    <t>Ángulo de P1b</t>
  </si>
  <si>
    <t>Ángulo de P1a</t>
  </si>
  <si>
    <t>P1b</t>
  </si>
  <si>
    <t>P1a</t>
  </si>
  <si>
    <t>P1</t>
  </si>
  <si>
    <t>V1.4</t>
  </si>
  <si>
    <t>V1.5</t>
  </si>
  <si>
    <t>V1.6</t>
  </si>
  <si>
    <t>V1.7</t>
  </si>
  <si>
    <t>Ángulo de P1</t>
  </si>
  <si>
    <t>DENSITY POINTS 60</t>
  </si>
  <si>
    <t>1847 cm</t>
  </si>
  <si>
    <t>204.6 t/m</t>
  </si>
  <si>
    <t>5400391922 cm4</t>
  </si>
  <si>
    <t>144 cm</t>
  </si>
  <si>
    <t>1.8E+07 cm3</t>
  </si>
  <si>
    <t>1.92E+07 cm3</t>
  </si>
  <si>
    <t>1.83E+07 cm3</t>
  </si>
  <si>
    <t>45 deg</t>
  </si>
  <si>
    <t>1.81E+07 cm3</t>
  </si>
  <si>
    <t>1.86E+07 cm3</t>
  </si>
  <si>
    <t>10800783844 cm4</t>
  </si>
  <si>
    <t>203.7 cm</t>
  </si>
  <si>
    <t>3.18E+07 cm3</t>
  </si>
  <si>
    <t>0.7852 cm</t>
  </si>
  <si>
    <t xml:space="preserve">1 -2.10981 0 1.56451; 2 -2.00588 0 1.50451; 3 -1.90196 0 1.44451; </t>
  </si>
  <si>
    <t xml:space="preserve">4 -1.79804 0 1.38451; 5 -1.69412 0 1.32451; 6 -1.59019 0 1.26451; </t>
  </si>
  <si>
    <t xml:space="preserve">7 -1.65019 0 1.16059; 8 -1.71019 0 1.05666; 9 -1.77019 0 0.95274; </t>
  </si>
  <si>
    <t xml:space="preserve">10 -1.83019 0 0.84882; 11 -1.89019 0 0.74489; 12 -1.99412 0 0.80489; </t>
  </si>
  <si>
    <t xml:space="preserve">13 -2.09804 0 0.86489; 14 -2.20196 0 0.92489; 15 -2.30588 0 0.98489; </t>
  </si>
  <si>
    <t xml:space="preserve">16 -2.40981 0 1.04489; 17 -2.34981 0 1.14882; 18 -2.28981 0 1.25274; </t>
  </si>
  <si>
    <t xml:space="preserve">19 -2.22981 0 1.35666; 20 -2.16981 0 1.46059; 21 1.59019 0 1.26451; </t>
  </si>
  <si>
    <t xml:space="preserve">22 1.69412 0 1.32451; 23 1.79804 0 1.38451; 24 1.90196 0 1.44451; </t>
  </si>
  <si>
    <t xml:space="preserve">25 2.00588 0 1.50451; 26 2.10981 0 1.56451; 27 2.16981 0 1.46059; </t>
  </si>
  <si>
    <t xml:space="preserve">28 2.22981 0 1.35666; 29 2.28981 0 1.25274; 30 2.34981 0 1.14882; </t>
  </si>
  <si>
    <t xml:space="preserve">31 2.40981 0 1.04489; 32 2.30588 0 0.98489; 33 2.20196 0 0.92489; </t>
  </si>
  <si>
    <t xml:space="preserve">34 2.09804 0 0.86489; 35 1.99412 0 0.80489; 36 1.89019 0 0.74489; </t>
  </si>
  <si>
    <t xml:space="preserve">37 1.83019 0 0.84882; 38 1.77019 0 0.95274; 39 1.71019 0 1.05666; </t>
  </si>
  <si>
    <t xml:space="preserve">40 1.65019 0 1.16059; 41 0 0 -1.88514; 42 0.08485 0 -1.96999; </t>
  </si>
  <si>
    <t xml:space="preserve">43 0.16971 0 -2.05484; 44 0.25456 0 -2.1397; 45 0.33941 0 -2.22455; </t>
  </si>
  <si>
    <t xml:space="preserve">46 0.42426 0 -2.3094; 47 0.33941 0 -2.39425; 48 0.25456 0 -2.47911; </t>
  </si>
  <si>
    <t xml:space="preserve">49 0.16971 0 -2.56396; 50 0.08485 0 -2.64881; 51 0 0 -2.73367; </t>
  </si>
  <si>
    <t xml:space="preserve">52 -0.08485 0 -2.64881; 53 -0.16971 0 -2.56396; 54 -0.25456 0 -2.47911; </t>
  </si>
  <si>
    <t xml:space="preserve">55 -0.33941 0 -2.39425; 56 -0.42426 0 -2.3094; 57 -0.33941 0 -2.22455; </t>
  </si>
  <si>
    <t xml:space="preserve">58 -0.25456 0 -2.1397; 59 -0.16971 0 -2.05484; 60 -0.08485 0 -1.96999; </t>
  </si>
  <si>
    <t xml:space="preserve">61 -1.02606 0 2.81908; 62 1.02606 0 2.81908; 63 2.59808 0 1.5; </t>
  </si>
  <si>
    <t xml:space="preserve">64 2.95442 0 -0.52094; 65 1.92836 0 -2.29813; 66 0 0 -3; </t>
  </si>
  <si>
    <t xml:space="preserve">67 -1.92836 0 -2.29813; 68 -2.95442 0 -0.52094; 69 -2.59808 0 1.5; </t>
  </si>
  <si>
    <t>BOUNDARY 9</t>
  </si>
  <si>
    <t xml:space="preserve">61 0 0 62 0 0 63 0 0 64 0 0 65 0 0 66 0 0 67 0 0 68 0 0 69 0 0  </t>
  </si>
  <si>
    <t>-2.10981 0 1.56451 1 -2.00588 0 1.50451 1 -1.90196 0 1.44451 1 -1.79804 0 1.38451 1 -</t>
  </si>
  <si>
    <t>-1.69412 0 1.32451 1 -1.59019 0 1.26451 1 -1.65019 0 1.16059 1 -1.71019 0 1.05666 1 -</t>
  </si>
  <si>
    <t>-1.77019 0 0.95274 1 -1.83019 0 0.84882 1 -1.89019 0 0.74489 1 -1.99412 0 0.80489 1 -</t>
  </si>
  <si>
    <t>-2.09804 0 0.86489 1 -2.20196 0 0.92489 1 -2.30588 0 0.98489 1 -2.40981 0 1.04489 1 -</t>
  </si>
  <si>
    <t>-2.34981 0 1.14882 1 -2.28981 0 1.25274 1 -2.22981 0 1.35666 1 -2.16981 0 1.46059 1 -</t>
  </si>
  <si>
    <t>1.59019 0 1.26451 1 1.69412 0 1.32451 1 1.79804 0 1.38451 1 1.90196 0 1.44451 1 -</t>
  </si>
  <si>
    <t>2.00588 0 1.50451 1 2.10981 0 1.56451 1 2.16981 0 1.46059 1 2.22981 0 1.35666 1 -</t>
  </si>
  <si>
    <t>2.28981 0 1.25274 1 2.34981 0 1.14882 1 2.40981 0 1.04489 1 2.30588 0 0.98489 1 -</t>
  </si>
  <si>
    <t>2.20196 0 0.92489 1 2.09804 0 0.86489 1 1.99412 0 0.80489 1 1.89019 0 0.74489 1 -</t>
  </si>
  <si>
    <t>1.83019 0 0.84882 1 1.77019 0 0.95274 1 1.71019 0 1.05666 1 1.65019 0 1.16059 1 -</t>
  </si>
  <si>
    <t>0 0 -1.88514 1 0.08485 0 -1.96999 1 0.16971 0 -2.05484 1 0.25456 0 -2.1397 1 -</t>
  </si>
  <si>
    <t>0.33941 0 -2.22455 1 0.42426 0 -2.3094 1 0.33941 0 -2.39425 1 0.25456 0 -2.47911 1 -</t>
  </si>
  <si>
    <t>0.16971 0 -2.56396 1 0.08485 0 -2.64881 1 0 0 -2.73367 1 -0.08485 0 -2.64881 1 -</t>
  </si>
  <si>
    <t>-0.16971 0 -2.56396 1 -0.25456 0 -2.47911 1 -0.33941 0 -2.39425 1 -0.42426 0 -2.3094 1 -</t>
  </si>
  <si>
    <t xml:space="preserve">-0.33941 0 -2.22455 1 -0.25456 0 -2.1397 1 -0.16971 0 -2.05484 1 -0.08485 0 -1.96999 1 </t>
  </si>
  <si>
    <t>DENSITY LINE -2.10981 0 1.56451 1 -2.00588 0 1.50451 1 0</t>
  </si>
  <si>
    <t>DENSITY LINE -2.00588 0 1.50451 1 -1.90196 0 1.44451 1 0</t>
  </si>
  <si>
    <t>DENSITY LINE -1.90196 0 1.44451 1 -1.79804 0 1.38451 1 0</t>
  </si>
  <si>
    <t>DENSITY LINE -1.79804 0 1.38451 1 -1.69412 0 1.32451 1 0</t>
  </si>
  <si>
    <t>DENSITY LINE -1.69412 0 1.32451 1 -1.59019 0 1.26451 1 0</t>
  </si>
  <si>
    <t>DENSITY LINE -1.59019 0 1.26451 1 -1.65019 0 1.16059 1 0</t>
  </si>
  <si>
    <t>DENSITY LINE -1.65019 0 1.16059 1 -1.71019 0 1.05666 1 0</t>
  </si>
  <si>
    <t>DENSITY LINE -1.71019 0 1.05666 1 -1.77019 0 0.95274 1 0</t>
  </si>
  <si>
    <t>DENSITY LINE -1.77019 0 0.95274 1 -1.83019 0 0.84882 1 0</t>
  </si>
  <si>
    <t>DENSITY LINE -1.83019 0 0.84882 1 -1.89019 0 0.74489 1 0</t>
  </si>
  <si>
    <t>DENSITY LINE -1.89019 0 0.74489 1 -1.99412 0 0.80489 1 0</t>
  </si>
  <si>
    <t>DENSITY LINE -1.99412 0 0.80489 1 -2.09804 0 0.86489 1 0</t>
  </si>
  <si>
    <t>DENSITY LINE -2.09804 0 0.86489 1 -2.20196 0 0.92489 1 0</t>
  </si>
  <si>
    <t>DENSITY LINE -2.20196 0 0.92489 1 -2.30588 0 0.98489 1 0</t>
  </si>
  <si>
    <t>DENSITY LINE -2.30588 0 0.98489 1 -2.40981 0 1.04489 1 0</t>
  </si>
  <si>
    <t>DENSITY LINE -2.40981 0 1.04489 1 -2.34981 0 1.14882 1 0</t>
  </si>
  <si>
    <t>DENSITY LINE -2.34981 0 1.14882 1 -2.28981 0 1.25274 1 0</t>
  </si>
  <si>
    <t>DENSITY LINE -2.28981 0 1.25274 1 -2.22981 0 1.35666 1 0</t>
  </si>
  <si>
    <t>DENSITY LINE -2.22981 0 1.35666 1 -2.16981 0 1.46059 1 0</t>
  </si>
  <si>
    <t>DENSITY LINE -2.16981 0 1.46059 1 -2.10981 0 1.56451 1 0</t>
  </si>
  <si>
    <t>DENSITY LINE 1.59019 0 1.26451 1 1.69412 0 1.32451 1 0</t>
  </si>
  <si>
    <t>DENSITY LINE 1.69412 0 1.32451 1 1.79804 0 1.38451 1 0</t>
  </si>
  <si>
    <t>DENSITY LINE 1.79804 0 1.38451 1 1.90196 0 1.44451 1 0</t>
  </si>
  <si>
    <t>DENSITY LINE 1.90196 0 1.44451 1 2.00588 0 1.50451 1 0</t>
  </si>
  <si>
    <t>DENSITY LINE 2.00588 0 1.50451 1 2.10981 0 1.56451 1 0</t>
  </si>
  <si>
    <t>DENSITY LINE 2.10981 0 1.56451 1 2.16981 0 1.46059 1 0</t>
  </si>
  <si>
    <t>DENSITY LINE 2.16981 0 1.46059 1 2.22981 0 1.35666 1 0</t>
  </si>
  <si>
    <t>DENSITY LINE 2.22981 0 1.35666 1 2.28981 0 1.25274 1 0</t>
  </si>
  <si>
    <t>DENSITY LINE 2.28981 0 1.25274 1 2.34981 0 1.14882 1 0</t>
  </si>
  <si>
    <t>DENSITY LINE 2.34981 0 1.14882 1 2.40981 0 1.04489 1 0</t>
  </si>
  <si>
    <t>DENSITY LINE 2.40981 0 1.04489 1 2.30588 0 0.98489 1 0</t>
  </si>
  <si>
    <t>DENSITY LINE 2.30588 0 0.98489 1 2.20196 0 0.92489 1 0</t>
  </si>
  <si>
    <t>DENSITY LINE 2.20196 0 0.92489 1 2.09804 0 0.86489 1 0</t>
  </si>
  <si>
    <t>DENSITY LINE 2.09804 0 0.86489 1 1.99412 0 0.80489 1 0</t>
  </si>
  <si>
    <t>DENSITY LINE 1.99412 0 0.80489 1 1.89019 0 0.74489 1 0</t>
  </si>
  <si>
    <t>DENSITY LINE 1.89019 0 0.74489 1 1.83019 0 0.84882 1 0</t>
  </si>
  <si>
    <t>DENSITY LINE 1.83019 0 0.84882 1 1.77019 0 0.95274 1 0</t>
  </si>
  <si>
    <t>DENSITY LINE 1.77019 0 0.95274 1 1.71019 0 1.05666 1 0</t>
  </si>
  <si>
    <t>DENSITY LINE 1.71019 0 1.05666 1 1.65019 0 1.16059 1 0</t>
  </si>
  <si>
    <t>DENSITY LINE 1.65019 0 1.16059 1 1.59019 0 1.26451 1 0</t>
  </si>
  <si>
    <t>DENSITY LINE 0 0 -1.88514 1 0.08485 0 -1.96999 1 0</t>
  </si>
  <si>
    <t>DENSITY LINE 0.08485 0 -1.96999 1 0.16971 0 -2.05484 1 0</t>
  </si>
  <si>
    <t>DENSITY LINE 0.16971 0 -2.05484 1 0.25456 0 -2.1397 1 0</t>
  </si>
  <si>
    <t>DENSITY LINE 0.25456 0 -2.1397 1 0.33941 0 -2.22455 1 0</t>
  </si>
  <si>
    <t>DENSITY LINE 0.33941 0 -2.22455 1 0.42426 0 -2.3094 1 0</t>
  </si>
  <si>
    <t>DENSITY LINE 0.42426 0 -2.3094 1 0.33941 0 -2.39425 1 0</t>
  </si>
  <si>
    <t>DENSITY LINE 0.33941 0 -2.39425 1 0.25456 0 -2.47911 1 0</t>
  </si>
  <si>
    <t>DENSITY LINE 0.25456 0 -2.47911 1 0.16971 0 -2.56396 1 0</t>
  </si>
  <si>
    <t>DENSITY LINE 0.16971 0 -2.56396 1 0.08485 0 -2.64881 1 0</t>
  </si>
  <si>
    <t>DENSITY LINE 0.08485 0 -2.64881 1 0 0 -2.73367 1 0</t>
  </si>
  <si>
    <t>DENSITY LINE 0 0 -2.73367 1 -0.08485 0 -2.64881 1 0</t>
  </si>
  <si>
    <t>DENSITY LINE -0.08485 0 -2.64881 1 -0.16971 0 -2.56396 1 0</t>
  </si>
  <si>
    <t>DENSITY LINE -0.16971 0 -2.56396 1 -0.25456 0 -2.47911 1 0</t>
  </si>
  <si>
    <t>DENSITY LINE -0.25456 0 -2.47911 1 -0.33941 0 -2.39425 1 0</t>
  </si>
  <si>
    <t>DENSITY LINE -0.33941 0 -2.39425 1 -0.42426 0 -2.3094 1 0</t>
  </si>
  <si>
    <t>DENSITY LINE -0.42426 0 -2.3094 1 -0.33941 0 -2.22455 1 0</t>
  </si>
  <si>
    <t>DENSITY LINE -0.33941 0 -2.22455 1 -0.25456 0 -2.1397 1 0</t>
  </si>
  <si>
    <t>DENSITY LINE -0.25456 0 -2.1397 1 -0.16971 0 -2.05484 1 0</t>
  </si>
  <si>
    <t>DENSITY LINE -0.16971 0 -2.05484 1 -0.08485 0 -1.96999 1 0</t>
  </si>
  <si>
    <t>DENSITY LINE -0.08485 0 -1.96999 1 0 0 -1.88514 1 0</t>
  </si>
  <si>
    <t>START GROUP DEFINITION</t>
  </si>
  <si>
    <t>JOINT</t>
  </si>
  <si>
    <t>_P1 41 TO 60</t>
  </si>
  <si>
    <t>_P1A 21 TO 40</t>
  </si>
  <si>
    <t>_P1B 1 TO 20</t>
  </si>
  <si>
    <t>END GROUP DEFINITION</t>
  </si>
  <si>
    <t>Se añade opción para rotar dados sobre sus ejes locales, así como discretizar la carga axial en el perímetro del dado</t>
  </si>
  <si>
    <t>MESH PARAM 0.2 4 1</t>
  </si>
  <si>
    <t>V2.0</t>
  </si>
  <si>
    <t>Desarrollo en aplicación WEB</t>
  </si>
  <si>
    <t>08</t>
  </si>
  <si>
    <t>1.0D + 1.0W Service 90 deg 2.97 00.00 240 1b -1.00 -8.50 -0.48</t>
  </si>
  <si>
    <t>1.0D + 1.0W Service 60 deg 2.97 00.00 240 1b -1.09 -9.87 -0.63</t>
  </si>
  <si>
    <t>1.0D + 1.0W Service Normal 2.97 00.00 240 1b -0.46 -4.29 -0.46</t>
  </si>
  <si>
    <t>0.9D + 1.0W 90 deg 2.97 00.00 240 1b -6.62 -62.73 -3.24</t>
  </si>
  <si>
    <t>0.9D + 1.0W 60 deg 2.97 00.00 240 1b -7.13 -70.72 -4.12</t>
  </si>
  <si>
    <t>0.9D + 1.0W Normal 2.97 00.00 240 1b -3.49 -38.33 -3.14</t>
  </si>
  <si>
    <t>1.2D + 1.0W 90 deg 2.97 00.00 240 1b -6.57 -61.98 -3.21</t>
  </si>
  <si>
    <t>1.2D + 1.0W 60 deg 2.97 00.00 240 1b -7.08 -69.98 -4.09</t>
  </si>
  <si>
    <t>1.2D + 1.0W Normal 2.97 00.00 240 1b -3.44 -37.55 -3.12</t>
  </si>
  <si>
    <t>2.97 00.00 120 1a -1.32 13.98 0.66</t>
  </si>
  <si>
    <t>2.97 00.00 0 1 -0.18 2.74 -0.18</t>
  </si>
  <si>
    <t>2.97 00.00 120 1a -0.86 9.05 0.32</t>
  </si>
  <si>
    <t>2.97 00.00 0 1 -0.15 9.05 -0.90</t>
  </si>
  <si>
    <t>2.97 00.00 120 1a 0.46 -4.29 -0.46</t>
  </si>
  <si>
    <t>2.97 00.00 0 1 0.00 16.81 -1.81</t>
  </si>
  <si>
    <t>2.97 00.00 120 1a -6.85 67.67 3.36</t>
  </si>
  <si>
    <t>2.97 00.00 0 1 -1.02 2.47 -0.13</t>
  </si>
  <si>
    <t>2.97 00.00 120 1a -4.16 39.06 1.42</t>
  </si>
  <si>
    <t>2.97 00.00 0 1 -0.85 39.07 -4.31</t>
  </si>
  <si>
    <t>2.97 00.00 120 1a 3.49 -38.33 -3.14</t>
  </si>
  <si>
    <t>2.97 00.00 0 1 0.00 84.07 -9.56</t>
  </si>
  <si>
    <t>2.97 00.00 120 1a -6.90 68.57 3.39</t>
  </si>
  <si>
    <t>2.97 00.00 0 1 -1.02 3.29 -0.18</t>
  </si>
  <si>
    <t>2.97 00.00 120 1a -4.21 39.92 1.45</t>
  </si>
  <si>
    <t>2.97 00.00 0 1 -0.85 39.93 -4.37</t>
  </si>
  <si>
    <t>2.97 00.00 120 1a 3.44 -37.55 -3.12</t>
  </si>
  <si>
    <t>2.97 00.00 0 1 0.00 84.98 -9.62</t>
  </si>
  <si>
    <t>544042 cm2</t>
  </si>
  <si>
    <t>25892060000 cm4</t>
  </si>
  <si>
    <t>842.8 cm</t>
  </si>
  <si>
    <t>973.2 cm</t>
  </si>
  <si>
    <t>4.2.2.- Eficiencias a volteo</t>
  </si>
  <si>
    <t>-5.96817408467448,-1.65459008976172</t>
  </si>
  <si>
    <t>-5.7932432633354,-1.11926172027782</t>
  </si>
  <si>
    <t>-4.866,-0.458615238866964</t>
  </si>
  <si>
    <t>-4.96817408467448,-3.38669008976172</t>
  </si>
  <si>
    <t>-4.7932432633354,-2.85136172027782</t>
  </si>
  <si>
    <t>-3.866,-2.19071523886696</t>
  </si>
  <si>
    <t>2.76382591532552,-3.38669008976172</t>
  </si>
  <si>
    <t>2.9387567366646,-2.85136172027782</t>
  </si>
  <si>
    <t>3.866,-2.19071523886696</t>
  </si>
  <si>
    <t>3.76382591532552,-1.65459008976172</t>
  </si>
  <si>
    <t>3.9387567366646,-1.11926172027782</t>
  </si>
  <si>
    <t>4.866,-0.458615238866964</t>
  </si>
  <si>
    <t>-0.102174084674477,5.04160991023828</t>
  </si>
  <si>
    <t>7.27567366646023E-02,5.57693827972218</t>
  </si>
  <si>
    <t>1,6.23758476113304</t>
  </si>
  <si>
    <t>-2.10217408467448,5.04160991023828</t>
  </si>
  <si>
    <t>-1.9272432633354,5.57693827972218</t>
  </si>
  <si>
    <t>-1,6.23758476113304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</si>
</sst>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0.00"/>
    <numFmt numFmtId="165" formatCode="0.0000"/>
    <numFmt numFmtId="166" formatCode="#\°"/>
    <numFmt numFmtId="167" formatCode="0.000000"/>
    <numFmt numFmtId="168" formatCode="0.00000"/>
    <numFmt numFmtId="169" formatCode="dd/mm/yyyy;@"/>
    <numFmt numFmtId="170" formatCode="0.00\°"/>
  </numFmts>
  <fonts count="5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10"/>
      <name val="Times New Roman"/>
      <family val="1"/>
      <charset val="204"/>
    </font>
    <font>
      <b/>
      <sz val="8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0"/>
      <name val="MS Sans Serif"/>
      <family val="2"/>
    </font>
    <font>
      <b/>
      <sz val="22"/>
      <color theme="1"/>
      <name val="Aptos Narrow"/>
      <family val="2"/>
      <scheme val="minor"/>
    </font>
    <font>
      <vertAlign val="subscript"/>
      <sz val="12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8"/>
      <name val="Arial"/>
      <family val="2"/>
    </font>
    <font>
      <b/>
      <sz val="12"/>
      <color theme="1"/>
      <name val="Aptos Narrow"/>
      <family val="2"/>
      <scheme val="minor"/>
    </font>
    <font>
      <sz val="12"/>
      <color indexed="8"/>
      <name val="Aptos Narrow"/>
      <family val="2"/>
      <scheme val="minor"/>
    </font>
    <font>
      <vertAlign val="subscript"/>
      <sz val="12"/>
      <color rgb="FF00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vertAlign val="superscript"/>
      <sz val="12"/>
      <color indexed="8"/>
      <name val="Aptos Narrow"/>
      <family val="2"/>
      <scheme val="minor"/>
    </font>
    <font>
      <b/>
      <sz val="12"/>
      <color indexed="8"/>
      <name val="Aptos Narrow"/>
      <family val="2"/>
      <scheme val="minor"/>
    </font>
    <font>
      <vertAlign val="subscript"/>
      <sz val="12"/>
      <color indexed="8"/>
      <name val="Aptos Narrow"/>
      <family val="2"/>
      <scheme val="minor"/>
    </font>
    <font>
      <sz val="12"/>
      <color indexed="10"/>
      <name val="Aptos Narrow"/>
      <family val="2"/>
      <scheme val="minor"/>
    </font>
    <font>
      <b/>
      <sz val="8"/>
      <color indexed="8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70C0"/>
      <name val="Aptos Narrow"/>
      <family val="2"/>
      <scheme val="minor"/>
    </font>
    <font>
      <sz val="1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i/>
      <sz val="12"/>
      <name val="Aptos Narrow"/>
      <family val="2"/>
      <scheme val="minor"/>
    </font>
    <font>
      <sz val="11"/>
      <color indexed="8"/>
      <name val="Aptos Narrow"/>
      <family val="2"/>
      <scheme val="minor"/>
    </font>
    <font>
      <i/>
      <sz val="11"/>
      <name val="Aptos Narrow"/>
      <family val="2"/>
      <scheme val="minor"/>
    </font>
    <font>
      <b/>
      <sz val="12"/>
      <name val="Aptos Narrow"/>
      <family val="2"/>
      <scheme val="minor"/>
    </font>
    <font>
      <vertAlign val="subscript"/>
      <sz val="12"/>
      <name val="Aptos Narrow"/>
      <family val="2"/>
      <scheme val="minor"/>
    </font>
    <font>
      <vertAlign val="superscript"/>
      <sz val="11"/>
      <color indexed="8"/>
      <name val="Aptos Narrow"/>
      <family val="2"/>
      <scheme val="minor"/>
    </font>
    <font>
      <vertAlign val="subscript"/>
      <sz val="11"/>
      <color rgb="FF000000"/>
      <name val="Aptos Narrow"/>
      <family val="2"/>
      <scheme val="minor"/>
    </font>
    <font>
      <vertAlign val="subscript"/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vertAlign val="subscript"/>
      <sz val="12"/>
      <color indexed="8"/>
      <name val="Aptos Narrow"/>
      <family val="2"/>
      <scheme val="minor"/>
    </font>
    <font>
      <b/>
      <vertAlign val="superscript"/>
      <sz val="12"/>
      <color rgb="FF000000"/>
      <name val="Aptos Narrow"/>
      <family val="2"/>
      <scheme val="minor"/>
    </font>
    <font>
      <vertAlign val="subscript"/>
      <sz val="11"/>
      <color indexed="8"/>
      <name val="Aptos Narrow"/>
      <family val="2"/>
      <scheme val="minor"/>
    </font>
    <font>
      <vertAlign val="superscript"/>
      <sz val="12"/>
      <color rgb="FF000000"/>
      <name val="Aptos Narrow"/>
      <family val="2"/>
      <scheme val="minor"/>
    </font>
    <font>
      <b/>
      <vertAlign val="subscript"/>
      <sz val="12"/>
      <color theme="1"/>
      <name val="Aptos Narrow"/>
      <family val="2"/>
      <scheme val="minor"/>
    </font>
    <font>
      <b/>
      <vertAlign val="subscript"/>
      <sz val="11"/>
      <name val="Aptos Narrow"/>
      <family val="2"/>
      <scheme val="minor"/>
    </font>
    <font>
      <b/>
      <sz val="11"/>
      <color indexed="8"/>
      <name val="Aptos Narrow"/>
      <family val="2"/>
      <scheme val="minor"/>
    </font>
    <font>
      <b/>
      <vertAlign val="subscript"/>
      <sz val="11"/>
      <color theme="1"/>
      <name val="Aptos Narrow"/>
      <family val="2"/>
      <scheme val="minor"/>
    </font>
    <font>
      <b/>
      <vertAlign val="subscript"/>
      <sz val="11"/>
      <color indexed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0"/>
      <name val="Aptos Narrow"/>
      <family val="2"/>
      <scheme val="minor"/>
    </font>
    <font>
      <sz val="11"/>
      <color theme="2" tint="-0.249977111117893"/>
      <name val="Aptos Narrow"/>
      <family val="2"/>
      <scheme val="minor"/>
    </font>
    <font>
      <u/>
      <sz val="11"/>
      <color theme="2" tint="-0.249977111117893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249977111117893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9" fontId="7" fillId="0" borderId="0" applyFont="0" applyFill="0" applyBorder="0" applyAlignment="0" applyProtection="0"/>
    <xf numFmtId="0" fontId="10" fillId="0" borderId="0"/>
    <xf numFmtId="0" fontId="12" fillId="0" borderId="0"/>
    <xf numFmtId="0" fontId="16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296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3" fillId="0" borderId="0" xfId="0" applyFont="1" applyAlignment="1" applyProtection="1">
      <alignment horizontal="left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8" fillId="0" borderId="0" xfId="0" applyFont="1"/>
    <xf numFmtId="0" fontId="1" fillId="0" borderId="0" xfId="0" applyFont="1" applyAlignment="1" applyProtection="1">
      <alignment horizontal="right" vertical="center"/>
      <protection hidden="1"/>
    </xf>
    <xf numFmtId="0" fontId="12" fillId="0" borderId="0" xfId="3" applyAlignment="1">
      <alignment horizontal="center" vertical="center"/>
    </xf>
    <xf numFmtId="0" fontId="12" fillId="0" borderId="0" xfId="3"/>
    <xf numFmtId="0" fontId="13" fillId="0" borderId="17" xfId="0" applyFont="1" applyBorder="1" applyAlignment="1">
      <alignment vertical="center" wrapText="1"/>
    </xf>
    <xf numFmtId="0" fontId="1" fillId="0" borderId="17" xfId="0" applyFont="1" applyBorder="1" applyAlignment="1" applyProtection="1">
      <alignment horizontal="right" vertical="center"/>
      <protection hidden="1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0" fontId="1" fillId="0" borderId="22" xfId="0" applyFont="1" applyBorder="1" applyAlignment="1" applyProtection="1">
      <alignment horizontal="right" vertical="center"/>
      <protection hidden="1"/>
    </xf>
    <xf numFmtId="0" fontId="10" fillId="0" borderId="0" xfId="0" applyFont="1" applyAlignment="1">
      <alignment horizontal="right" vertical="center"/>
    </xf>
    <xf numFmtId="2" fontId="0" fillId="0" borderId="0" xfId="0" applyNumberFormat="1"/>
    <xf numFmtId="0" fontId="10" fillId="0" borderId="24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2" fontId="10" fillId="0" borderId="15" xfId="0" applyNumberFormat="1" applyFont="1" applyBorder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2" fontId="20" fillId="0" borderId="0" xfId="0" applyNumberFormat="1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0" fontId="26" fillId="0" borderId="0" xfId="2" applyFont="1" applyAlignment="1">
      <alignment horizontal="right" vertical="center"/>
    </xf>
    <xf numFmtId="165" fontId="0" fillId="0" borderId="0" xfId="0" applyNumberFormat="1"/>
    <xf numFmtId="0" fontId="0" fillId="5" borderId="0" xfId="0" applyFill="1"/>
    <xf numFmtId="0" fontId="0" fillId="6" borderId="0" xfId="0" applyFill="1"/>
    <xf numFmtId="0" fontId="8" fillId="7" borderId="0" xfId="0" applyFont="1" applyFill="1"/>
    <xf numFmtId="2" fontId="4" fillId="6" borderId="0" xfId="0" applyNumberFormat="1" applyFont="1" applyFill="1" applyAlignment="1" applyProtection="1">
      <alignment horizontal="right" vertical="top" indent="1" shrinkToFit="1"/>
      <protection locked="0"/>
    </xf>
    <xf numFmtId="164" fontId="4" fillId="6" borderId="0" xfId="0" applyNumberFormat="1" applyFont="1" applyFill="1" applyAlignment="1" applyProtection="1">
      <alignment horizontal="center" vertical="top" shrinkToFit="1"/>
      <protection locked="0"/>
    </xf>
    <xf numFmtId="1" fontId="4" fillId="6" borderId="0" xfId="0" applyNumberFormat="1" applyFont="1" applyFill="1" applyAlignment="1" applyProtection="1">
      <alignment horizontal="left" vertical="top" indent="1" shrinkToFit="1"/>
      <protection locked="0"/>
    </xf>
    <xf numFmtId="0" fontId="4" fillId="6" borderId="0" xfId="0" applyFont="1" applyFill="1" applyAlignment="1" applyProtection="1">
      <alignment horizontal="center" vertical="top" wrapText="1"/>
      <protection locked="0"/>
    </xf>
    <xf numFmtId="2" fontId="4" fillId="6" borderId="0" xfId="0" applyNumberFormat="1" applyFont="1" applyFill="1" applyAlignment="1" applyProtection="1">
      <alignment horizontal="center" vertical="top" shrinkToFit="1"/>
      <protection locked="0"/>
    </xf>
    <xf numFmtId="2" fontId="4" fillId="6" borderId="0" xfId="0" applyNumberFormat="1" applyFont="1" applyFill="1" applyAlignment="1" applyProtection="1">
      <alignment horizontal="right" vertical="top" shrinkToFit="1"/>
      <protection locked="0"/>
    </xf>
    <xf numFmtId="1" fontId="4" fillId="6" borderId="0" xfId="0" applyNumberFormat="1" applyFont="1" applyFill="1" applyAlignment="1" applyProtection="1">
      <alignment horizontal="center" vertical="top" shrinkToFit="1"/>
      <protection locked="0"/>
    </xf>
    <xf numFmtId="0" fontId="1" fillId="0" borderId="0" xfId="0" applyFont="1" applyAlignment="1">
      <alignment horizontal="left" vertical="center"/>
    </xf>
    <xf numFmtId="0" fontId="20" fillId="0" borderId="1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0" fillId="0" borderId="13" xfId="1" applyFont="1" applyBorder="1" applyAlignment="1">
      <alignment horizontal="center" vertical="center"/>
    </xf>
    <xf numFmtId="9" fontId="0" fillId="0" borderId="14" xfId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0" fillId="0" borderId="0" xfId="0" applyFont="1" applyAlignment="1">
      <alignment horizontal="left" vertical="top"/>
    </xf>
    <xf numFmtId="0" fontId="0" fillId="8" borderId="0" xfId="0" applyFill="1" applyAlignment="1">
      <alignment horizontal="left" vertical="center"/>
    </xf>
    <xf numFmtId="0" fontId="8" fillId="0" borderId="0" xfId="0" applyFont="1" applyAlignment="1">
      <alignment horizontal="center" vertical="center"/>
    </xf>
    <xf numFmtId="165" fontId="31" fillId="0" borderId="12" xfId="0" applyNumberFormat="1" applyFont="1" applyBorder="1" applyAlignment="1">
      <alignment horizontal="center" vertical="center"/>
    </xf>
    <xf numFmtId="165" fontId="31" fillId="0" borderId="13" xfId="0" applyNumberFormat="1" applyFont="1" applyBorder="1" applyAlignment="1">
      <alignment horizontal="center" vertical="center"/>
    </xf>
    <xf numFmtId="165" fontId="31" fillId="0" borderId="14" xfId="0" applyNumberFormat="1" applyFont="1" applyBorder="1" applyAlignment="1">
      <alignment horizontal="center" vertical="center"/>
    </xf>
    <xf numFmtId="166" fontId="0" fillId="0" borderId="0" xfId="0" applyNumberFormat="1"/>
    <xf numFmtId="0" fontId="0" fillId="9" borderId="15" xfId="0" applyFill="1" applyBorder="1" applyAlignment="1">
      <alignment horizontal="center" vertical="center"/>
    </xf>
    <xf numFmtId="165" fontId="0" fillId="0" borderId="15" xfId="0" applyNumberFormat="1" applyBorder="1"/>
    <xf numFmtId="0" fontId="1" fillId="0" borderId="0" xfId="0" applyFont="1" applyAlignment="1">
      <alignment vertical="center"/>
    </xf>
    <xf numFmtId="2" fontId="28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" fontId="28" fillId="0" borderId="0" xfId="0" applyNumberFormat="1" applyFont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5" fillId="0" borderId="0" xfId="4" applyFont="1" applyAlignment="1">
      <alignment vertical="center"/>
    </xf>
    <xf numFmtId="0" fontId="36" fillId="0" borderId="0" xfId="2" applyFont="1" applyAlignment="1">
      <alignment horizontal="left" vertical="center"/>
    </xf>
    <xf numFmtId="0" fontId="26" fillId="0" borderId="0" xfId="4" applyFont="1" applyAlignment="1">
      <alignment vertical="center"/>
    </xf>
    <xf numFmtId="0" fontId="26" fillId="0" borderId="0" xfId="2" applyFont="1" applyAlignment="1">
      <alignment horizontal="center" vertical="center" wrapText="1"/>
    </xf>
    <xf numFmtId="2" fontId="26" fillId="0" borderId="0" xfId="0" applyNumberFormat="1" applyFont="1" applyAlignment="1">
      <alignment horizontal="center" vertical="center" wrapText="1"/>
    </xf>
    <xf numFmtId="0" fontId="33" fillId="0" borderId="0" xfId="2" applyFont="1" applyAlignment="1">
      <alignment horizontal="left" vertical="center"/>
    </xf>
    <xf numFmtId="1" fontId="20" fillId="0" borderId="0" xfId="0" applyNumberFormat="1" applyFont="1" applyAlignment="1">
      <alignment horizontal="center" vertical="center"/>
    </xf>
    <xf numFmtId="0" fontId="26" fillId="0" borderId="0" xfId="2" applyFont="1" applyAlignment="1">
      <alignment horizontal="left" vertical="center"/>
    </xf>
    <xf numFmtId="0" fontId="28" fillId="0" borderId="0" xfId="4" applyFont="1" applyAlignment="1">
      <alignment vertical="center"/>
    </xf>
    <xf numFmtId="0" fontId="28" fillId="0" borderId="0" xfId="4" applyFont="1" applyAlignment="1">
      <alignment horizontal="right" vertical="center"/>
    </xf>
    <xf numFmtId="2" fontId="28" fillId="0" borderId="0" xfId="0" applyNumberFormat="1" applyFont="1" applyAlignment="1">
      <alignment horizontal="center" vertical="center" wrapText="1"/>
    </xf>
    <xf numFmtId="165" fontId="28" fillId="0" borderId="0" xfId="0" applyNumberFormat="1" applyFont="1" applyAlignment="1">
      <alignment horizontal="center" vertical="center" wrapText="1"/>
    </xf>
    <xf numFmtId="0" fontId="28" fillId="0" borderId="0" xfId="2" applyFont="1" applyAlignment="1">
      <alignment horizontal="right" vertical="center"/>
    </xf>
    <xf numFmtId="0" fontId="34" fillId="0" borderId="0" xfId="0" applyFont="1"/>
    <xf numFmtId="0" fontId="15" fillId="0" borderId="0" xfId="2" applyFont="1" applyAlignment="1">
      <alignment vertical="center"/>
    </xf>
    <xf numFmtId="0" fontId="0" fillId="0" borderId="0" xfId="2" applyFont="1" applyAlignment="1">
      <alignment vertical="center"/>
    </xf>
    <xf numFmtId="49" fontId="0" fillId="0" borderId="14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18" fillId="0" borderId="0" xfId="2" applyFont="1" applyAlignment="1">
      <alignment horizontal="right" vertical="center"/>
    </xf>
    <xf numFmtId="0" fontId="34" fillId="0" borderId="0" xfId="2" applyFont="1" applyAlignment="1">
      <alignment horizontal="right" vertical="center"/>
    </xf>
    <xf numFmtId="0" fontId="9" fillId="0" borderId="0" xfId="2" applyFont="1" applyAlignment="1">
      <alignment horizontal="right" vertical="center"/>
    </xf>
    <xf numFmtId="0" fontId="10" fillId="0" borderId="0" xfId="2" applyAlignment="1">
      <alignment horizontal="right" vertical="center"/>
    </xf>
    <xf numFmtId="2" fontId="1" fillId="0" borderId="3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1" fontId="22" fillId="0" borderId="0" xfId="0" applyNumberFormat="1" applyFont="1" applyAlignment="1" applyProtection="1">
      <alignment horizontal="left" vertical="center" shrinkToFi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2" fontId="20" fillId="0" borderId="0" xfId="0" applyNumberFormat="1" applyFont="1" applyAlignment="1" applyProtection="1">
      <alignment horizontal="center" vertical="center"/>
      <protection locked="0"/>
    </xf>
    <xf numFmtId="1" fontId="24" fillId="0" borderId="0" xfId="0" applyNumberFormat="1" applyFont="1" applyAlignment="1" applyProtection="1">
      <alignment horizontal="center" vertical="center"/>
      <protection locked="0"/>
    </xf>
    <xf numFmtId="2" fontId="25" fillId="0" borderId="0" xfId="0" applyNumberFormat="1" applyFont="1" applyAlignment="1" applyProtection="1">
      <alignment horizontal="center" vertical="center" shrinkToFit="1"/>
      <protection locked="0"/>
    </xf>
    <xf numFmtId="2" fontId="28" fillId="0" borderId="0" xfId="0" applyNumberFormat="1" applyFont="1" applyAlignment="1">
      <alignment vertical="center"/>
    </xf>
    <xf numFmtId="9" fontId="0" fillId="0" borderId="12" xfId="1" applyFont="1" applyBorder="1" applyAlignment="1">
      <alignment vertical="center"/>
    </xf>
    <xf numFmtId="9" fontId="0" fillId="0" borderId="13" xfId="1" applyFont="1" applyBorder="1" applyAlignment="1">
      <alignment vertical="center"/>
    </xf>
    <xf numFmtId="9" fontId="0" fillId="0" borderId="14" xfId="1" applyFont="1" applyBorder="1" applyAlignment="1">
      <alignment vertical="center"/>
    </xf>
    <xf numFmtId="0" fontId="18" fillId="0" borderId="0" xfId="0" applyFont="1" applyAlignment="1">
      <alignment horizontal="left" vertical="center"/>
    </xf>
    <xf numFmtId="0" fontId="26" fillId="0" borderId="0" xfId="2" applyFont="1" applyAlignment="1">
      <alignment vertical="center"/>
    </xf>
    <xf numFmtId="0" fontId="28" fillId="0" borderId="0" xfId="2" applyFont="1" applyAlignment="1">
      <alignment vertical="center"/>
    </xf>
    <xf numFmtId="9" fontId="0" fillId="0" borderId="0" xfId="1" applyFont="1" applyAlignment="1">
      <alignment vertical="center"/>
    </xf>
    <xf numFmtId="0" fontId="17" fillId="0" borderId="2" xfId="2" applyFont="1" applyBorder="1" applyAlignment="1">
      <alignment horizontal="right" vertical="center"/>
    </xf>
    <xf numFmtId="0" fontId="1" fillId="0" borderId="4" xfId="0" applyFont="1" applyBorder="1" applyAlignment="1">
      <alignment vertical="center"/>
    </xf>
    <xf numFmtId="0" fontId="34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2" fontId="1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2" fontId="0" fillId="0" borderId="0" xfId="0" applyNumberFormat="1" applyAlignment="1">
      <alignment horizontal="center" vertical="center"/>
    </xf>
    <xf numFmtId="0" fontId="48" fillId="0" borderId="0" xfId="0" applyFont="1" applyAlignment="1">
      <alignment vertical="center"/>
    </xf>
    <xf numFmtId="1" fontId="31" fillId="0" borderId="0" xfId="0" applyNumberFormat="1" applyFont="1" applyAlignment="1">
      <alignment horizontal="center" vertical="center"/>
    </xf>
    <xf numFmtId="0" fontId="1" fillId="0" borderId="2" xfId="2" applyFont="1" applyBorder="1" applyAlignment="1">
      <alignment horizontal="right" vertical="center"/>
    </xf>
    <xf numFmtId="0" fontId="48" fillId="0" borderId="0" xfId="0" applyFont="1" applyAlignment="1">
      <alignment horizontal="right"/>
    </xf>
    <xf numFmtId="0" fontId="9" fillId="0" borderId="0" xfId="2" applyFont="1" applyAlignment="1">
      <alignment horizontal="left" vertical="center"/>
    </xf>
    <xf numFmtId="0" fontId="26" fillId="0" borderId="0" xfId="0" applyFont="1" applyAlignment="1">
      <alignment horizontal="right" vertical="center"/>
    </xf>
    <xf numFmtId="9" fontId="10" fillId="0" borderId="0" xfId="1" applyFont="1" applyAlignment="1" applyProtection="1">
      <alignment horizontal="center"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2" borderId="1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9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165" fontId="0" fillId="0" borderId="0" xfId="0" applyNumberFormat="1" applyAlignment="1">
      <alignment vertical="center"/>
    </xf>
    <xf numFmtId="165" fontId="0" fillId="0" borderId="8" xfId="0" applyNumberFormat="1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5" xfId="0" applyNumberForma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0" fillId="0" borderId="9" xfId="0" applyBorder="1" applyAlignment="1">
      <alignment vertical="center"/>
    </xf>
    <xf numFmtId="165" fontId="0" fillId="0" borderId="10" xfId="0" applyNumberFormat="1" applyBorder="1" applyAlignment="1">
      <alignment vertical="center"/>
    </xf>
    <xf numFmtId="2" fontId="0" fillId="0" borderId="8" xfId="0" applyNumberFormat="1" applyBorder="1" applyAlignment="1">
      <alignment vertical="center"/>
    </xf>
    <xf numFmtId="165" fontId="0" fillId="0" borderId="7" xfId="0" applyNumberFormat="1" applyBorder="1" applyAlignment="1">
      <alignment vertical="center"/>
    </xf>
    <xf numFmtId="2" fontId="0" fillId="0" borderId="7" xfId="0" applyNumberFormat="1" applyBorder="1" applyAlignment="1">
      <alignment vertical="center"/>
    </xf>
    <xf numFmtId="165" fontId="0" fillId="0" borderId="9" xfId="0" applyNumberFormat="1" applyBorder="1" applyAlignment="1">
      <alignment vertical="center"/>
    </xf>
    <xf numFmtId="165" fontId="0" fillId="0" borderId="11" xfId="0" applyNumberForma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0" xfId="0" applyBorder="1" applyAlignment="1">
      <alignment vertical="center"/>
    </xf>
    <xf numFmtId="2" fontId="0" fillId="0" borderId="0" xfId="0" applyNumberFormat="1" applyAlignment="1">
      <alignment vertical="center"/>
    </xf>
    <xf numFmtId="2" fontId="0" fillId="0" borderId="11" xfId="0" applyNumberFormat="1" applyBorder="1" applyAlignment="1">
      <alignment vertical="center"/>
    </xf>
    <xf numFmtId="0" fontId="0" fillId="0" borderId="11" xfId="0" applyBorder="1" applyAlignment="1">
      <alignment vertical="center"/>
    </xf>
    <xf numFmtId="2" fontId="0" fillId="0" borderId="10" xfId="0" applyNumberFormat="1" applyBorder="1" applyAlignment="1">
      <alignment vertical="center"/>
    </xf>
    <xf numFmtId="2" fontId="0" fillId="0" borderId="9" xfId="0" applyNumberFormat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2" fontId="0" fillId="0" borderId="6" xfId="0" applyNumberFormat="1" applyBorder="1" applyAlignment="1">
      <alignment vertical="center"/>
    </xf>
    <xf numFmtId="0" fontId="0" fillId="2" borderId="4" xfId="0" applyFill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2" fontId="0" fillId="0" borderId="12" xfId="0" applyNumberFormat="1" applyBorder="1" applyAlignment="1">
      <alignment vertical="center"/>
    </xf>
    <xf numFmtId="165" fontId="0" fillId="0" borderId="5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2" fontId="0" fillId="0" borderId="13" xfId="0" applyNumberFormat="1" applyBorder="1" applyAlignment="1">
      <alignment vertical="center"/>
    </xf>
    <xf numFmtId="165" fontId="0" fillId="0" borderId="7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2" fontId="0" fillId="0" borderId="14" xfId="0" applyNumberFormat="1" applyBorder="1" applyAlignment="1">
      <alignment vertical="center"/>
    </xf>
    <xf numFmtId="165" fontId="0" fillId="0" borderId="9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1" fontId="0" fillId="0" borderId="24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1" fontId="0" fillId="0" borderId="15" xfId="0" applyNumberFormat="1" applyBorder="1" applyAlignment="1">
      <alignment horizontal="center" vertical="center"/>
    </xf>
    <xf numFmtId="0" fontId="10" fillId="0" borderId="0" xfId="2" applyAlignment="1">
      <alignment vertical="center"/>
    </xf>
    <xf numFmtId="0" fontId="26" fillId="0" borderId="0" xfId="2" quotePrefix="1" applyFont="1" applyAlignment="1">
      <alignment vertical="center"/>
    </xf>
    <xf numFmtId="0" fontId="0" fillId="10" borderId="0" xfId="0" applyFill="1" applyAlignment="1">
      <alignment vertical="center"/>
    </xf>
    <xf numFmtId="168" fontId="0" fillId="0" borderId="0" xfId="0" applyNumberFormat="1" applyAlignment="1">
      <alignment vertical="center"/>
    </xf>
    <xf numFmtId="0" fontId="0" fillId="0" borderId="0" xfId="2" applyFont="1" applyAlignment="1">
      <alignment horizontal="right" vertical="center"/>
    </xf>
    <xf numFmtId="167" fontId="0" fillId="0" borderId="0" xfId="0" applyNumberFormat="1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2" applyFont="1" applyAlignment="1">
      <alignment horizontal="center" vertical="center" wrapText="1"/>
    </xf>
    <xf numFmtId="0" fontId="0" fillId="0" borderId="0" xfId="2" applyFont="1" applyAlignment="1">
      <alignment horizontal="left" vertical="center"/>
    </xf>
    <xf numFmtId="0" fontId="33" fillId="0" borderId="0" xfId="0" applyFont="1" applyAlignment="1">
      <alignment horizontal="left" vertical="center"/>
    </xf>
    <xf numFmtId="2" fontId="9" fillId="0" borderId="0" xfId="0" applyNumberFormat="1" applyFont="1" applyAlignment="1">
      <alignment horizontal="center" vertical="center" wrapText="1"/>
    </xf>
    <xf numFmtId="0" fontId="0" fillId="3" borderId="0" xfId="0" applyFill="1"/>
    <xf numFmtId="165" fontId="0" fillId="3" borderId="0" xfId="0" applyNumberFormat="1" applyFill="1"/>
    <xf numFmtId="0" fontId="1" fillId="0" borderId="0" xfId="0" applyFont="1" applyAlignment="1">
      <alignment horizontal="right" vertical="center"/>
    </xf>
    <xf numFmtId="165" fontId="1" fillId="0" borderId="0" xfId="0" applyNumberFormat="1" applyFont="1" applyAlignment="1">
      <alignment horizontal="center" vertical="center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51" fillId="0" borderId="0" xfId="5"/>
    <xf numFmtId="0" fontId="3" fillId="0" borderId="0" xfId="0" applyFont="1" applyAlignment="1">
      <alignment horizontal="left" wrapText="1"/>
    </xf>
    <xf numFmtId="0" fontId="4" fillId="0" borderId="0" xfId="0" applyFont="1" applyAlignment="1">
      <alignment horizontal="left" vertical="top" wrapText="1"/>
    </xf>
    <xf numFmtId="164" fontId="4" fillId="0" borderId="0" xfId="0" applyNumberFormat="1" applyFont="1" applyAlignment="1">
      <alignment horizontal="center" vertical="top" shrinkToFit="1"/>
    </xf>
    <xf numFmtId="1" fontId="4" fillId="0" borderId="0" xfId="0" applyNumberFormat="1" applyFont="1" applyAlignment="1">
      <alignment horizontal="left" vertical="top" indent="1" shrinkToFit="1"/>
    </xf>
    <xf numFmtId="0" fontId="4" fillId="0" borderId="0" xfId="0" applyFont="1" applyAlignment="1">
      <alignment horizontal="center" vertical="top" wrapText="1"/>
    </xf>
    <xf numFmtId="2" fontId="4" fillId="0" borderId="0" xfId="0" applyNumberFormat="1" applyFont="1" applyAlignment="1">
      <alignment horizontal="center" vertical="top" shrinkToFit="1"/>
    </xf>
    <xf numFmtId="2" fontId="4" fillId="0" borderId="0" xfId="0" applyNumberFormat="1" applyFont="1" applyAlignment="1">
      <alignment horizontal="right" vertical="top" shrinkToFit="1"/>
    </xf>
    <xf numFmtId="1" fontId="4" fillId="0" borderId="0" xfId="0" applyNumberFormat="1" applyFont="1" applyAlignment="1">
      <alignment horizontal="center" vertical="top" shrinkToFit="1"/>
    </xf>
    <xf numFmtId="0" fontId="3" fillId="0" borderId="0" xfId="0" applyFont="1" applyAlignment="1">
      <alignment horizontal="left" vertical="center" wrapText="1"/>
    </xf>
    <xf numFmtId="11" fontId="0" fillId="0" borderId="0" xfId="0" applyNumberFormat="1" applyAlignment="1">
      <alignment horizontal="right" vertical="center"/>
    </xf>
    <xf numFmtId="0" fontId="31" fillId="0" borderId="0" xfId="0" applyFont="1"/>
    <xf numFmtId="0" fontId="53" fillId="0" borderId="0" xfId="6" applyFont="1" applyAlignment="1">
      <alignment vertical="center"/>
    </xf>
    <xf numFmtId="0" fontId="54" fillId="0" borderId="0" xfId="0" applyFont="1" applyAlignment="1">
      <alignment vertical="center"/>
    </xf>
    <xf numFmtId="0" fontId="55" fillId="0" borderId="0" xfId="6" applyFont="1" applyAlignment="1">
      <alignment vertical="center"/>
    </xf>
    <xf numFmtId="22" fontId="0" fillId="0" borderId="0" xfId="0" applyNumberFormat="1"/>
    <xf numFmtId="0" fontId="0" fillId="8" borderId="0" xfId="0" applyFill="1" applyAlignment="1">
      <alignment vertical="center"/>
    </xf>
    <xf numFmtId="170" fontId="8" fillId="0" borderId="0" xfId="0" applyNumberFormat="1" applyFont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7" fillId="4" borderId="0" xfId="4" applyFont="1" applyFill="1" applyAlignment="1">
      <alignment horizontal="center" vertical="center" wrapText="1"/>
    </xf>
    <xf numFmtId="0" fontId="35" fillId="0" borderId="0" xfId="2" applyFont="1" applyAlignment="1">
      <alignment horizontal="center" vertical="center"/>
    </xf>
    <xf numFmtId="0" fontId="27" fillId="4" borderId="0" xfId="4" applyFont="1" applyFill="1" applyAlignment="1">
      <alignment horizontal="center" vertical="center"/>
    </xf>
    <xf numFmtId="0" fontId="26" fillId="0" borderId="0" xfId="2" applyFont="1" applyAlignment="1">
      <alignment horizontal="right" vertical="center"/>
    </xf>
    <xf numFmtId="0" fontId="0" fillId="4" borderId="0" xfId="2" applyFont="1" applyFill="1" applyAlignment="1" applyProtection="1">
      <alignment horizontal="center" vertical="center"/>
      <protection locked="0"/>
    </xf>
    <xf numFmtId="0" fontId="0" fillId="4" borderId="20" xfId="2" applyFont="1" applyFill="1" applyBorder="1" applyAlignment="1" applyProtection="1">
      <alignment horizontal="center" vertical="center"/>
      <protection locked="0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2" fontId="26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14" fontId="0" fillId="4" borderId="0" xfId="2" applyNumberFormat="1" applyFont="1" applyFill="1" applyAlignment="1" applyProtection="1">
      <alignment horizontal="center" vertical="center"/>
      <protection locked="0"/>
    </xf>
    <xf numFmtId="14" fontId="0" fillId="4" borderId="20" xfId="2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4" fontId="0" fillId="4" borderId="22" xfId="2" quotePrefix="1" applyNumberFormat="1" applyFont="1" applyFill="1" applyBorder="1" applyAlignment="1" applyProtection="1">
      <alignment horizontal="center" vertical="center"/>
      <protection locked="0"/>
    </xf>
    <xf numFmtId="14" fontId="0" fillId="4" borderId="23" xfId="2" applyNumberFormat="1" applyFont="1" applyFill="1" applyBorder="1" applyAlignment="1" applyProtection="1">
      <alignment horizontal="center" vertical="center"/>
      <protection locked="0"/>
    </xf>
    <xf numFmtId="0" fontId="13" fillId="0" borderId="17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0" fillId="4" borderId="17" xfId="2" applyFont="1" applyFill="1" applyBorder="1" applyAlignment="1" applyProtection="1">
      <alignment horizontal="center" vertical="center"/>
      <protection locked="0"/>
    </xf>
    <xf numFmtId="0" fontId="0" fillId="4" borderId="18" xfId="2" applyFont="1" applyFill="1" applyBorder="1" applyAlignment="1" applyProtection="1">
      <alignment horizontal="center" vertical="center"/>
      <protection locked="0"/>
    </xf>
    <xf numFmtId="0" fontId="0" fillId="0" borderId="3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 vertical="center"/>
    </xf>
    <xf numFmtId="169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9" fontId="0" fillId="0" borderId="27" xfId="0" applyNumberFormat="1" applyBorder="1" applyAlignment="1">
      <alignment horizontal="center" vertical="center"/>
    </xf>
    <xf numFmtId="169" fontId="0" fillId="0" borderId="29" xfId="0" applyNumberFormat="1" applyBorder="1" applyAlignment="1">
      <alignment horizontal="center" vertical="center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1" fillId="0" borderId="5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1" fillId="11" borderId="25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1" fillId="11" borderId="11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11" borderId="12" xfId="0" applyFont="1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8" fillId="7" borderId="0" xfId="0" applyFont="1" applyFill="1" applyAlignment="1">
      <alignment horizontal="center"/>
    </xf>
    <xf numFmtId="0" fontId="0" fillId="0" borderId="0" xfId="0" applyAlignment="1">
      <alignment horizontal="center" vertical="center" textRotation="255" wrapText="1"/>
    </xf>
    <xf numFmtId="0" fontId="0" fillId="5" borderId="0" xfId="0" applyFill="1" applyAlignment="1">
      <alignment horizontal="center" wrapText="1"/>
    </xf>
    <xf numFmtId="0" fontId="0" fillId="5" borderId="0" xfId="0" applyFill="1" applyAlignment="1">
      <alignment horizontal="center"/>
    </xf>
  </cellXfs>
  <cellStyles count="7">
    <cellStyle name="Hipervínculo" xfId="6" builtinId="8"/>
    <cellStyle name="Hyperlink" xfId="5" xr:uid="{00000000-000B-0000-0000-000008000000}"/>
    <cellStyle name="Normal" xfId="0" builtinId="0"/>
    <cellStyle name="Normal 2" xfId="3" xr:uid="{7935248F-B229-4540-8C05-7AB44E4B5C2E}"/>
    <cellStyle name="Normal 3" xfId="2" xr:uid="{93EE850A-B0B4-47D1-8C91-FB590292EC89}"/>
    <cellStyle name="Normal_SOLDAR" xfId="4" xr:uid="{A468D7C3-44C1-423C-9774-AB277507B9D1}"/>
    <cellStyle name="Porcentaje" xfId="1" builtinId="5"/>
  </cellStyles>
  <dxfs count="2"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Zapata</a:t>
            </a:r>
            <a:r>
              <a:rPr lang="es-MX" baseline="0"/>
              <a:t> de sección General</a:t>
            </a:r>
            <a:endParaRPr lang="es-MX"/>
          </a:p>
        </c:rich>
      </c:tx>
      <c:layout>
        <c:manualLayout>
          <c:xMode val="edge"/>
          <c:yMode val="edge"/>
          <c:x val="0.28059344551387455"/>
          <c:y val="2.16274638137336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Vértices!$C$2:$C$34</c:f>
              <c:numCache>
                <c:formatCode>General</c:formatCode>
                <c:ptCount val="33"/>
                <c:pt idx="0">
                  <c:v>-4.8659999999999997</c:v>
                </c:pt>
                <c:pt idx="1">
                  <c:v>-3.8660000000000001</c:v>
                </c:pt>
                <c:pt idx="2">
                  <c:v>3.8660000000000001</c:v>
                </c:pt>
                <c:pt idx="3">
                  <c:v>4.8659999999999997</c:v>
                </c:pt>
                <c:pt idx="4">
                  <c:v>1</c:v>
                </c:pt>
                <c:pt idx="5">
                  <c:v>-1</c:v>
                </c:pt>
                <c:pt idx="6">
                  <c:v>-4.8659999999999997</c:v>
                </c:pt>
              </c:numCache>
            </c:numRef>
          </c:xVal>
          <c:yVal>
            <c:numRef>
              <c:f>Vértices!$D$2:$D$34</c:f>
              <c:numCache>
                <c:formatCode>General</c:formatCode>
                <c:ptCount val="33"/>
                <c:pt idx="0">
                  <c:v>-1.6547000000000001</c:v>
                </c:pt>
                <c:pt idx="1">
                  <c:v>-3.3868</c:v>
                </c:pt>
                <c:pt idx="2">
                  <c:v>-3.3868</c:v>
                </c:pt>
                <c:pt idx="3">
                  <c:v>-1.6547000000000001</c:v>
                </c:pt>
                <c:pt idx="4">
                  <c:v>5.0415000000000001</c:v>
                </c:pt>
                <c:pt idx="5">
                  <c:v>5.0415000000000001</c:v>
                </c:pt>
                <c:pt idx="6">
                  <c:v>-1.6547000000000001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58-4FE9-B70C-1BCDC6F5C912}"/>
            </c:ext>
          </c:extLst>
        </c:ser>
        <c:ser>
          <c:idx val="1"/>
          <c:order val="1"/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Vértices!$H$2:$H$33</c:f>
              <c:numCache>
                <c:formatCode>General</c:formatCode>
                <c:ptCount val="32"/>
              </c:numCache>
            </c:numRef>
          </c:xVal>
          <c:yVal>
            <c:numRef>
              <c:f>Vértices!$I$2:$I$33</c:f>
              <c:numCache>
                <c:formatCode>General</c:formatCode>
                <c:ptCount val="3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58-4FE9-B70C-1BCDC6F5C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324271"/>
        <c:axId val="550324751"/>
      </c:scatterChart>
      <c:valAx>
        <c:axId val="5503242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50324751"/>
        <c:crosses val="autoZero"/>
        <c:crossBetween val="midCat"/>
      </c:valAx>
      <c:valAx>
        <c:axId val="55032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5032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Esfuerzos a 90°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Esfuerzos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D710C69-C84C-4013-9610-B5AA18301F3C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932B-415F-B361-DAA6F5797FE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B28857-072E-4EFC-BCF8-2F07E1ED477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2B-415F-B361-DAA6F5797FE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9C55BC-84E9-4378-8EC4-0F066FFA995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2B-415F-B361-DAA6F5797FE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4160C5-D7B9-4B5A-8216-B34B638BEFA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2B-415F-B361-DAA6F5797FE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F1E6D9-EAC8-43BC-AE2A-33366B1DF74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2B-415F-B361-DAA6F5797FE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0123FE3-D192-4CBD-8D07-1DA03509298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32B-415F-B361-DAA6F5797FE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C648DB9-621C-4D9D-AFCD-B8669E89F6B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32B-415F-B361-DAA6F5797FE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32B-415F-B361-DAA6F5797FE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32B-415F-B361-DAA6F5797FE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32B-415F-B361-DAA6F5797FE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32B-415F-B361-DAA6F5797FE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32B-415F-B361-DAA6F5797FE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32B-415F-B361-DAA6F5797FE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32B-415F-B361-DAA6F5797FE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32B-415F-B361-DAA6F5797FE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32B-415F-B361-DAA6F5797FE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32B-415F-B361-DAA6F5797FE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32B-415F-B361-DAA6F5797FE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32B-415F-B361-DAA6F5797FE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32B-415F-B361-DAA6F5797FE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32B-415F-B361-DAA6F5797FE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32B-415F-B361-DAA6F5797FE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32B-415F-B361-DAA6F5797FE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32B-415F-B361-DAA6F5797FE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32B-415F-B361-DAA6F5797FE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32B-415F-B361-DAA6F5797FE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32B-415F-B361-DAA6F5797FE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32B-415F-B361-DAA6F5797FE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32B-415F-B361-DAA6F5797FE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32B-415F-B361-DAA6F5797FE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32B-415F-B361-DAA6F5797FE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32B-415F-B361-DAA6F5797FE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32B-415F-B361-DAA6F5797F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Vértices!$C$2:$C$34</c:f>
              <c:numCache>
                <c:formatCode>General</c:formatCode>
                <c:ptCount val="33"/>
                <c:pt idx="0">
                  <c:v>-4.8659999999999997</c:v>
                </c:pt>
                <c:pt idx="1">
                  <c:v>-3.8660000000000001</c:v>
                </c:pt>
                <c:pt idx="2">
                  <c:v>3.8660000000000001</c:v>
                </c:pt>
                <c:pt idx="3">
                  <c:v>4.8659999999999997</c:v>
                </c:pt>
                <c:pt idx="4">
                  <c:v>1</c:v>
                </c:pt>
                <c:pt idx="5">
                  <c:v>-1</c:v>
                </c:pt>
                <c:pt idx="6">
                  <c:v>-4.8659999999999997</c:v>
                </c:pt>
              </c:numCache>
            </c:numRef>
          </c:xVal>
          <c:yVal>
            <c:numRef>
              <c:f>Vértices!$D$2:$D$34</c:f>
              <c:numCache>
                <c:formatCode>General</c:formatCode>
                <c:ptCount val="33"/>
                <c:pt idx="0">
                  <c:v>-1.6547000000000001</c:v>
                </c:pt>
                <c:pt idx="1">
                  <c:v>-3.3868</c:v>
                </c:pt>
                <c:pt idx="2">
                  <c:v>-3.3868</c:v>
                </c:pt>
                <c:pt idx="3">
                  <c:v>-1.6547000000000001</c:v>
                </c:pt>
                <c:pt idx="4">
                  <c:v>5.0415000000000001</c:v>
                </c:pt>
                <c:pt idx="5">
                  <c:v>5.0415000000000001</c:v>
                </c:pt>
                <c:pt idx="6">
                  <c:v>-1.6547000000000001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Cálculo!$AK$4:$BP$4</c15:f>
                <c15:dlblRangeCache>
                  <c:ptCount val="32"/>
                  <c:pt idx="0">
                    <c:v>13.5162Tn/m2</c:v>
                  </c:pt>
                  <c:pt idx="1">
                    <c:v>12.0442 Tn/m2</c:v>
                  </c:pt>
                  <c:pt idx="2">
                    <c:v>0.6647 Tn/m2</c:v>
                  </c:pt>
                  <c:pt idx="3">
                    <c:v>-0.8067 Tn/m2</c:v>
                  </c:pt>
                  <c:pt idx="4">
                    <c:v>4.884 Tn/m2</c:v>
                  </c:pt>
                  <c:pt idx="5">
                    <c:v>7.8274 Tn/m2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32B-415F-B361-DAA6F5797FE9}"/>
            </c:ext>
          </c:extLst>
        </c:ser>
        <c:ser>
          <c:idx val="1"/>
          <c:order val="1"/>
          <c:tx>
            <c:v>Hueco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numRef>
              <c:f>Vértices!$H$2:$H$33</c:f>
              <c:numCache>
                <c:formatCode>General</c:formatCode>
                <c:ptCount val="32"/>
              </c:numCache>
            </c:numRef>
          </c:xVal>
          <c:yVal>
            <c:numRef>
              <c:f>Vértices!$I$2:$I$33</c:f>
              <c:numCache>
                <c:formatCode>General</c:formatCode>
                <c:ptCount val="3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3F-4790-A46C-2107FA90D53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50324271"/>
        <c:axId val="550324751"/>
      </c:scatterChart>
      <c:valAx>
        <c:axId val="550324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0324751"/>
        <c:crosses val="autoZero"/>
        <c:crossBetween val="midCat"/>
      </c:valAx>
      <c:valAx>
        <c:axId val="55032475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5032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985751781027377E-2"/>
          <c:y val="2.9230828944913304E-2"/>
          <c:w val="0.89688974877099725"/>
          <c:h val="0.93469137805819602"/>
        </c:manualLayout>
      </c:layout>
      <c:scatterChart>
        <c:scatterStyle val="lineMarker"/>
        <c:varyColors val="0"/>
        <c:ser>
          <c:idx val="1"/>
          <c:order val="0"/>
          <c:tx>
            <c:v>Zapata</c:v>
          </c:tx>
          <c:spPr>
            <a:ln w="25400" cap="rnd">
              <a:solidFill>
                <a:schemeClr val="tx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Cálculo!$AH$5:$AH$17</c:f>
              <c:numCache>
                <c:formatCode>0.00</c:formatCode>
                <c:ptCount val="13"/>
                <c:pt idx="0" formatCode="General">
                  <c:v>0.1</c:v>
                </c:pt>
                <c:pt idx="1">
                  <c:v>9.8320000000000007</c:v>
                </c:pt>
                <c:pt idx="2">
                  <c:v>9.8320000000000007</c:v>
                </c:pt>
                <c:pt idx="3">
                  <c:v>7.766</c:v>
                </c:pt>
                <c:pt idx="4">
                  <c:v>7.766</c:v>
                </c:pt>
                <c:pt idx="5">
                  <c:v>7.1660000000000004</c:v>
                </c:pt>
                <c:pt idx="6">
                  <c:v>7.1660000000000004</c:v>
                </c:pt>
                <c:pt idx="7">
                  <c:v>2.7660000000000005</c:v>
                </c:pt>
                <c:pt idx="8">
                  <c:v>2.7660000000000005</c:v>
                </c:pt>
                <c:pt idx="9">
                  <c:v>2.1660000000000004</c:v>
                </c:pt>
                <c:pt idx="10">
                  <c:v>2.1660000000000004</c:v>
                </c:pt>
                <c:pt idx="11" formatCode="General">
                  <c:v>0.1</c:v>
                </c:pt>
                <c:pt idx="12" formatCode="General">
                  <c:v>0.1</c:v>
                </c:pt>
              </c:numCache>
            </c:numRef>
          </c:xVal>
          <c:yVal>
            <c:numRef>
              <c:f>Cálculo!$AI$5:$AI$17</c:f>
              <c:numCache>
                <c:formatCode>0.00</c:formatCode>
                <c:ptCount val="13"/>
                <c:pt idx="0">
                  <c:v>-3.5</c:v>
                </c:pt>
                <c:pt idx="1">
                  <c:v>-3.5</c:v>
                </c:pt>
                <c:pt idx="2">
                  <c:v>-2.8</c:v>
                </c:pt>
                <c:pt idx="3">
                  <c:v>-2.8</c:v>
                </c:pt>
                <c:pt idx="4">
                  <c:v>0.3</c:v>
                </c:pt>
                <c:pt idx="5">
                  <c:v>0.3</c:v>
                </c:pt>
                <c:pt idx="6">
                  <c:v>-2.8</c:v>
                </c:pt>
                <c:pt idx="7">
                  <c:v>-2.8</c:v>
                </c:pt>
                <c:pt idx="8">
                  <c:v>0.3</c:v>
                </c:pt>
                <c:pt idx="9">
                  <c:v>0.3</c:v>
                </c:pt>
                <c:pt idx="10">
                  <c:v>-2.8</c:v>
                </c:pt>
                <c:pt idx="11">
                  <c:v>-2.8</c:v>
                </c:pt>
                <c:pt idx="12">
                  <c:v>-3.5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0F-4611-BF9F-4EB51B53A788}"/>
            </c:ext>
          </c:extLst>
        </c:ser>
        <c:ser>
          <c:idx val="0"/>
          <c:order val="1"/>
          <c:tx>
            <c:strRef>
              <c:f>Cálculo!$AH$19</c:f>
              <c:strCache>
                <c:ptCount val="1"/>
                <c:pt idx="0">
                  <c:v>Terreno Natural</c:v>
                </c:pt>
              </c:strCache>
            </c:strRef>
          </c:tx>
          <c:spPr>
            <a:ln w="9525" cap="rnd">
              <a:solidFill>
                <a:schemeClr val="accent2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2">
                    <a:shade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E00-4C56-9E5F-FC407524CE59}"/>
              </c:ext>
            </c:extLst>
          </c:dPt>
          <c:xVal>
            <c:numRef>
              <c:f>Cálculo!$AH$20:$AH$21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9.8320000000000007</c:v>
                </c:pt>
              </c:numCache>
            </c:numRef>
          </c:xVal>
          <c:yVal>
            <c:numRef>
              <c:f>Cálculo!$AI$20:$AI$21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00-4C56-9E5F-FC407524CE59}"/>
            </c:ext>
          </c:extLst>
        </c:ser>
        <c:ser>
          <c:idx val="2"/>
          <c:order val="2"/>
          <c:tx>
            <c:strRef>
              <c:f>Cálculo!$AH$23</c:f>
              <c:strCache>
                <c:ptCount val="1"/>
              </c:strCache>
            </c:strRef>
          </c:tx>
          <c:spPr>
            <a:ln w="25400" cap="rnd">
              <a:solidFill>
                <a:schemeClr val="tx2">
                  <a:lumMod val="50000"/>
                  <a:lumOff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Cálculo!$AH$24:$AH$25</c:f>
            </c:numRef>
          </c:xVal>
          <c:yVal>
            <c:numRef>
              <c:f>Cálculo!$AI$24:$AI$25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00-4C56-9E5F-FC407524C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3413728"/>
        <c:axId val="803414208"/>
      </c:scatterChart>
      <c:valAx>
        <c:axId val="803413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3414208"/>
        <c:crosses val="autoZero"/>
        <c:crossBetween val="midCat"/>
      </c:valAx>
      <c:valAx>
        <c:axId val="80341420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03413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Zapata</a:t>
            </a:r>
            <a:r>
              <a:rPr lang="es-MX" baseline="0"/>
              <a:t> de sección General</a:t>
            </a:r>
            <a:endParaRPr lang="es-MX"/>
          </a:p>
        </c:rich>
      </c:tx>
      <c:layout>
        <c:manualLayout>
          <c:xMode val="edge"/>
          <c:yMode val="edge"/>
          <c:x val="0.28059344551387455"/>
          <c:y val="2.16274638137336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Zapata</c:v>
          </c:tx>
          <c:spPr>
            <a:ln w="3175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Vértices!$C$2:$C$34</c:f>
              <c:numCache>
                <c:formatCode>General</c:formatCode>
                <c:ptCount val="33"/>
                <c:pt idx="0">
                  <c:v>-4.8659999999999997</c:v>
                </c:pt>
                <c:pt idx="1">
                  <c:v>-3.8660000000000001</c:v>
                </c:pt>
                <c:pt idx="2">
                  <c:v>3.8660000000000001</c:v>
                </c:pt>
                <c:pt idx="3">
                  <c:v>4.8659999999999997</c:v>
                </c:pt>
                <c:pt idx="4">
                  <c:v>1</c:v>
                </c:pt>
                <c:pt idx="5">
                  <c:v>-1</c:v>
                </c:pt>
                <c:pt idx="6">
                  <c:v>-4.8659999999999997</c:v>
                </c:pt>
              </c:numCache>
            </c:numRef>
          </c:xVal>
          <c:yVal>
            <c:numRef>
              <c:f>Vértices!$D$2:$D$34</c:f>
              <c:numCache>
                <c:formatCode>General</c:formatCode>
                <c:ptCount val="33"/>
                <c:pt idx="0">
                  <c:v>-1.6547000000000001</c:v>
                </c:pt>
                <c:pt idx="1">
                  <c:v>-3.3868</c:v>
                </c:pt>
                <c:pt idx="2">
                  <c:v>-3.3868</c:v>
                </c:pt>
                <c:pt idx="3">
                  <c:v>-1.6547000000000001</c:v>
                </c:pt>
                <c:pt idx="4">
                  <c:v>5.0415000000000001</c:v>
                </c:pt>
                <c:pt idx="5">
                  <c:v>5.0415000000000001</c:v>
                </c:pt>
                <c:pt idx="6">
                  <c:v>-1.6547000000000001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AA-4988-9F81-00FD1F42D9AE}"/>
            </c:ext>
          </c:extLst>
        </c:ser>
        <c:ser>
          <c:idx val="1"/>
          <c:order val="1"/>
          <c:tx>
            <c:v>Hueco</c:v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Vértices!$H$2:$H$33</c:f>
              <c:numCache>
                <c:formatCode>General</c:formatCode>
                <c:ptCount val="32"/>
              </c:numCache>
            </c:numRef>
          </c:xVal>
          <c:yVal>
            <c:numRef>
              <c:f>Vértices!$I$2:$I$33</c:f>
              <c:numCache>
                <c:formatCode>General</c:formatCode>
                <c:ptCount val="3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AA-4988-9F81-00FD1F42D9A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Cálculo!$X$28:$X$32</c:f>
              <c:numCache>
                <c:formatCode>General</c:formatCode>
                <c:ptCount val="5"/>
                <c:pt idx="0">
                  <c:v>-2.8</c:v>
                </c:pt>
                <c:pt idx="1">
                  <c:v>-2.1999999999999997</c:v>
                </c:pt>
                <c:pt idx="2">
                  <c:v>-2.1999999999999997</c:v>
                </c:pt>
                <c:pt idx="3">
                  <c:v>-2.8</c:v>
                </c:pt>
                <c:pt idx="4">
                  <c:v>-2.8</c:v>
                </c:pt>
              </c:numCache>
            </c:numRef>
          </c:xVal>
          <c:yVal>
            <c:numRef>
              <c:f>Cálculo!$Y$28:$Y$32</c:f>
              <c:numCache>
                <c:formatCode>0.00</c:formatCode>
                <c:ptCount val="5"/>
                <c:pt idx="0">
                  <c:v>-1.7433756729740644</c:v>
                </c:pt>
                <c:pt idx="1">
                  <c:v>-1.7433756729740644</c:v>
                </c:pt>
                <c:pt idx="2">
                  <c:v>-1.1433756729740643</c:v>
                </c:pt>
                <c:pt idx="3">
                  <c:v>-1.1433756729740643</c:v>
                </c:pt>
                <c:pt idx="4">
                  <c:v>-1.7433756729740644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AA-4988-9F81-00FD1F42D9A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Cálculo!$Z$28:$Z$32</c:f>
              <c:numCache>
                <c:formatCode>General</c:formatCode>
                <c:ptCount val="5"/>
                <c:pt idx="0">
                  <c:v>2.2000000000000002</c:v>
                </c:pt>
                <c:pt idx="1">
                  <c:v>2.8000000000000003</c:v>
                </c:pt>
                <c:pt idx="2">
                  <c:v>2.8000000000000003</c:v>
                </c:pt>
                <c:pt idx="3">
                  <c:v>2.2000000000000002</c:v>
                </c:pt>
                <c:pt idx="4">
                  <c:v>2.2000000000000002</c:v>
                </c:pt>
              </c:numCache>
            </c:numRef>
          </c:xVal>
          <c:yVal>
            <c:numRef>
              <c:f>Cálculo!$AA$28:$AA$32</c:f>
              <c:numCache>
                <c:formatCode>0.00</c:formatCode>
                <c:ptCount val="5"/>
                <c:pt idx="0">
                  <c:v>-1.7433756729740644</c:v>
                </c:pt>
                <c:pt idx="1">
                  <c:v>-1.7433756729740644</c:v>
                </c:pt>
                <c:pt idx="2">
                  <c:v>-1.1433756729740643</c:v>
                </c:pt>
                <c:pt idx="3">
                  <c:v>-1.1433756729740643</c:v>
                </c:pt>
                <c:pt idx="4">
                  <c:v>-1.7433756729740644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AA-4988-9F81-00FD1F42D9A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Cálculo!$AB$28:$AB$32</c:f>
              <c:numCache>
                <c:formatCode>General</c:formatCode>
                <c:ptCount val="5"/>
                <c:pt idx="0">
                  <c:v>-0.3</c:v>
                </c:pt>
                <c:pt idx="1">
                  <c:v>0.3</c:v>
                </c:pt>
                <c:pt idx="2">
                  <c:v>0.3</c:v>
                </c:pt>
                <c:pt idx="3">
                  <c:v>-0.3</c:v>
                </c:pt>
                <c:pt idx="4">
                  <c:v>-0.3</c:v>
                </c:pt>
              </c:numCache>
            </c:numRef>
          </c:xVal>
          <c:yVal>
            <c:numRef>
              <c:f>Cálculo!$AC$28:$AC$32</c:f>
              <c:numCache>
                <c:formatCode>0.00</c:formatCode>
                <c:ptCount val="5"/>
                <c:pt idx="0">
                  <c:v>2.5867513459481275</c:v>
                </c:pt>
                <c:pt idx="1">
                  <c:v>2.5867513459481275</c:v>
                </c:pt>
                <c:pt idx="2">
                  <c:v>3.1867513459481276</c:v>
                </c:pt>
                <c:pt idx="3">
                  <c:v>3.1867513459481276</c:v>
                </c:pt>
                <c:pt idx="4">
                  <c:v>2.5867513459481275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AA-4988-9F81-00FD1F42D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324271"/>
        <c:axId val="550324751"/>
      </c:scatterChart>
      <c:valAx>
        <c:axId val="550324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50324751"/>
        <c:crosses val="autoZero"/>
        <c:crossBetween val="midCat"/>
      </c:valAx>
      <c:valAx>
        <c:axId val="5503247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5032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Esfuerzos a 60°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Esfuerzos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49837AC-B1A3-4560-A674-B0B9D5750FA8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C2FC-427C-88AA-DF018E35B3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A05531-8A78-4D2D-AE56-233DB77600B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2FC-427C-88AA-DF018E35B3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FBD6EA-3F6C-4006-BAB3-FC75483AF4C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2FC-427C-88AA-DF018E35B3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1C66F0-19A4-46AC-96DF-94C275DF4CC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2FC-427C-88AA-DF018E35B3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5E1749-CEC9-4B17-8D04-03E3EEE8DDE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2FC-427C-88AA-DF018E35B3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3CA287F-65BC-4562-9920-E244263DBD9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2FC-427C-88AA-DF018E35B3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13478A2-8023-46D0-B5C0-802F55A4181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2FC-427C-88AA-DF018E35B3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2FC-427C-88AA-DF018E35B3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2FC-427C-88AA-DF018E35B3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2FC-427C-88AA-DF018E35B3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2FC-427C-88AA-DF018E35B3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2FC-427C-88AA-DF018E35B3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2FC-427C-88AA-DF018E35B3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2FC-427C-88AA-DF018E35B3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2FC-427C-88AA-DF018E35B37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2FC-427C-88AA-DF018E35B37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2FC-427C-88AA-DF018E35B37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2FC-427C-88AA-DF018E35B37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2FC-427C-88AA-DF018E35B37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2FC-427C-88AA-DF018E35B37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2FC-427C-88AA-DF018E35B37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2FC-427C-88AA-DF018E35B37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2FC-427C-88AA-DF018E35B37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2FC-427C-88AA-DF018E35B37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2FC-427C-88AA-DF018E35B37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2FC-427C-88AA-DF018E35B37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2FC-427C-88AA-DF018E35B37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2FC-427C-88AA-DF018E35B37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2FC-427C-88AA-DF018E35B37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2FC-427C-88AA-DF018E35B37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2FC-427C-88AA-DF018E35B37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2FC-427C-88AA-DF018E35B37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2FC-427C-88AA-DF018E35B3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Vértices!$C$2:$C$34</c:f>
              <c:numCache>
                <c:formatCode>General</c:formatCode>
                <c:ptCount val="33"/>
                <c:pt idx="0">
                  <c:v>-4.8659999999999997</c:v>
                </c:pt>
                <c:pt idx="1">
                  <c:v>-3.8660000000000001</c:v>
                </c:pt>
                <c:pt idx="2">
                  <c:v>3.8660000000000001</c:v>
                </c:pt>
                <c:pt idx="3">
                  <c:v>4.8659999999999997</c:v>
                </c:pt>
                <c:pt idx="4">
                  <c:v>1</c:v>
                </c:pt>
                <c:pt idx="5">
                  <c:v>-1</c:v>
                </c:pt>
                <c:pt idx="6">
                  <c:v>-4.8659999999999997</c:v>
                </c:pt>
              </c:numCache>
            </c:numRef>
          </c:xVal>
          <c:yVal>
            <c:numRef>
              <c:f>Vértices!$D$2:$D$34</c:f>
              <c:numCache>
                <c:formatCode>General</c:formatCode>
                <c:ptCount val="33"/>
                <c:pt idx="0">
                  <c:v>-1.6547000000000001</c:v>
                </c:pt>
                <c:pt idx="1">
                  <c:v>-3.3868</c:v>
                </c:pt>
                <c:pt idx="2">
                  <c:v>-3.3868</c:v>
                </c:pt>
                <c:pt idx="3">
                  <c:v>-1.6547000000000001</c:v>
                </c:pt>
                <c:pt idx="4">
                  <c:v>5.0415000000000001</c:v>
                </c:pt>
                <c:pt idx="5">
                  <c:v>5.0415000000000001</c:v>
                </c:pt>
                <c:pt idx="6">
                  <c:v>-1.6547000000000001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Cálculo!$AK$5:$BP$5</c15:f>
                <c15:dlblRangeCache>
                  <c:ptCount val="32"/>
                  <c:pt idx="0">
                    <c:v>11.1967Tn/m2</c:v>
                  </c:pt>
                  <c:pt idx="1">
                    <c:v>8.7202 Tn/m2</c:v>
                  </c:pt>
                  <c:pt idx="2">
                    <c:v>-0.8532 Tn/m2</c:v>
                  </c:pt>
                  <c:pt idx="3">
                    <c:v>-0.8529 Tn/m2</c:v>
                  </c:pt>
                  <c:pt idx="4">
                    <c:v>8.7213 Tn/m2</c:v>
                  </c:pt>
                  <c:pt idx="5">
                    <c:v>11.1976 Tn/m2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C2FC-427C-88AA-DF018E35B372}"/>
            </c:ext>
          </c:extLst>
        </c:ser>
        <c:ser>
          <c:idx val="1"/>
          <c:order val="1"/>
          <c:tx>
            <c:v>Hueco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numRef>
              <c:f>Vértices!$H$2:$H$33</c:f>
              <c:numCache>
                <c:formatCode>General</c:formatCode>
                <c:ptCount val="32"/>
              </c:numCache>
            </c:numRef>
          </c:xVal>
          <c:yVal>
            <c:numRef>
              <c:f>Vértices!$I$2:$I$33</c:f>
              <c:numCache>
                <c:formatCode>General</c:formatCode>
                <c:ptCount val="3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E2-49C5-AC37-A11BBD268C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50324271"/>
        <c:axId val="550324751"/>
      </c:scatterChart>
      <c:valAx>
        <c:axId val="550324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0324751"/>
        <c:crosses val="autoZero"/>
        <c:crossBetween val="midCat"/>
      </c:valAx>
      <c:valAx>
        <c:axId val="55032475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5032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Esfuerzos a Normales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Esfuerzos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62842B4-877E-44B9-93E5-2E3A739C6735}" type="CELLRANGE">
                      <a:rPr lang="en-US"/>
                      <a:pPr>
                        <a:defRPr sz="800"/>
                      </a:pPr>
                      <a:t>[CELLRANGE]</a:t>
                    </a:fld>
                    <a:endParaRPr lang="es-MX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429168819199407"/>
                      <c:h val="4.351968753218318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E844-4C4A-90BE-0B69BFEC1E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BAE0AC-3726-42C5-8B2C-DEEA85D9AB2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844-4C4A-90BE-0B69BFEC1E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59D1D8-0F82-4284-B7D3-E9F74291422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844-4C4A-90BE-0B69BFEC1E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44F917F-3545-41FE-8D16-6EDF371CE43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844-4C4A-90BE-0B69BFEC1E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161C6B7-D58A-48A7-926C-D302BD04234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844-4C4A-90BE-0B69BFEC1E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880183-7975-47ED-BAF3-58E5731380E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844-4C4A-90BE-0B69BFEC1E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22E9C0-DAB8-49AC-ACA5-C61B8516B59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844-4C4A-90BE-0B69BFEC1E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844-4C4A-90BE-0B69BFEC1E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844-4C4A-90BE-0B69BFEC1E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844-4C4A-90BE-0B69BFEC1E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844-4C4A-90BE-0B69BFEC1E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844-4C4A-90BE-0B69BFEC1E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844-4C4A-90BE-0B69BFEC1E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844-4C4A-90BE-0B69BFEC1E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844-4C4A-90BE-0B69BFEC1E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844-4C4A-90BE-0B69BFEC1E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844-4C4A-90BE-0B69BFEC1E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844-4C4A-90BE-0B69BFEC1E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844-4C4A-90BE-0B69BFEC1E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844-4C4A-90BE-0B69BFEC1E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844-4C4A-90BE-0B69BFEC1E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844-4C4A-90BE-0B69BFEC1E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844-4C4A-90BE-0B69BFEC1E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844-4C4A-90BE-0B69BFEC1E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844-4C4A-90BE-0B69BFEC1EF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844-4C4A-90BE-0B69BFEC1EF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844-4C4A-90BE-0B69BFEC1EF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844-4C4A-90BE-0B69BFEC1EF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844-4C4A-90BE-0B69BFEC1EF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844-4C4A-90BE-0B69BFEC1EF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844-4C4A-90BE-0B69BFEC1EF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844-4C4A-90BE-0B69BFEC1EF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844-4C4A-90BE-0B69BFEC1E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Vértices!$C$2:$C$34</c:f>
              <c:numCache>
                <c:formatCode>General</c:formatCode>
                <c:ptCount val="33"/>
                <c:pt idx="0">
                  <c:v>-4.8659999999999997</c:v>
                </c:pt>
                <c:pt idx="1">
                  <c:v>-3.8660000000000001</c:v>
                </c:pt>
                <c:pt idx="2">
                  <c:v>3.8660000000000001</c:v>
                </c:pt>
                <c:pt idx="3">
                  <c:v>4.8659999999999997</c:v>
                </c:pt>
                <c:pt idx="4">
                  <c:v>1</c:v>
                </c:pt>
                <c:pt idx="5">
                  <c:v>-1</c:v>
                </c:pt>
                <c:pt idx="6">
                  <c:v>-4.8659999999999997</c:v>
                </c:pt>
              </c:numCache>
            </c:numRef>
          </c:xVal>
          <c:yVal>
            <c:numRef>
              <c:f>Vértices!$D$2:$D$34</c:f>
              <c:numCache>
                <c:formatCode>General</c:formatCode>
                <c:ptCount val="33"/>
                <c:pt idx="0">
                  <c:v>-1.6547000000000001</c:v>
                </c:pt>
                <c:pt idx="1">
                  <c:v>-3.3868</c:v>
                </c:pt>
                <c:pt idx="2">
                  <c:v>-3.3868</c:v>
                </c:pt>
                <c:pt idx="3">
                  <c:v>-1.6547000000000001</c:v>
                </c:pt>
                <c:pt idx="4">
                  <c:v>5.0415000000000001</c:v>
                </c:pt>
                <c:pt idx="5">
                  <c:v>5.0415000000000001</c:v>
                </c:pt>
                <c:pt idx="6">
                  <c:v>-1.6547000000000001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Cálculo!$AK$6:$BP$6</c15:f>
                <c15:dlblRangeCache>
                  <c:ptCount val="32"/>
                  <c:pt idx="0">
                    <c:v>3.7122Tn/m2</c:v>
                  </c:pt>
                  <c:pt idx="1">
                    <c:v>0.9458 Tn/m2</c:v>
                  </c:pt>
                  <c:pt idx="2">
                    <c:v>0.9458 Tn/m2</c:v>
                  </c:pt>
                  <c:pt idx="3">
                    <c:v>3.7122 Tn/m2</c:v>
                  </c:pt>
                  <c:pt idx="4">
                    <c:v>14.4069 Tn/m2</c:v>
                  </c:pt>
                  <c:pt idx="5">
                    <c:v>14.4069 Tn/m2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E844-4C4A-90BE-0B69BFEC1EFC}"/>
            </c:ext>
          </c:extLst>
        </c:ser>
        <c:ser>
          <c:idx val="1"/>
          <c:order val="1"/>
          <c:tx>
            <c:v>Hueco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numRef>
              <c:f>Vértices!$H$2:$H$33</c:f>
              <c:numCache>
                <c:formatCode>General</c:formatCode>
                <c:ptCount val="32"/>
              </c:numCache>
            </c:numRef>
          </c:xVal>
          <c:yVal>
            <c:numRef>
              <c:f>Vértices!$I$2:$I$33</c:f>
              <c:numCache>
                <c:formatCode>General</c:formatCode>
                <c:ptCount val="3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41-44B4-8C95-81C0ED174B9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50324271"/>
        <c:axId val="550324751"/>
      </c:scatterChart>
      <c:valAx>
        <c:axId val="550324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0324751"/>
        <c:crosses val="autoZero"/>
        <c:crossBetween val="midCat"/>
      </c:valAx>
      <c:valAx>
        <c:axId val="55032475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5032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Cálculo!$AK$28</c:f>
              <c:strCache>
                <c:ptCount val="1"/>
                <c:pt idx="0">
                  <c:v>Dado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Cálculo!$AK$30:$AK$45</c:f>
              <c:numCache>
                <c:formatCode>General</c:formatCode>
                <c:ptCount val="16"/>
                <c:pt idx="0">
                  <c:v>-2.6799999999999997</c:v>
                </c:pt>
                <c:pt idx="1">
                  <c:v>-2.5599999999999996</c:v>
                </c:pt>
                <c:pt idx="2">
                  <c:v>-2.44</c:v>
                </c:pt>
                <c:pt idx="3">
                  <c:v>-2.3199999999999998</c:v>
                </c:pt>
                <c:pt idx="4">
                  <c:v>-2.1999999999999997</c:v>
                </c:pt>
                <c:pt idx="5">
                  <c:v>-2.1999999999999997</c:v>
                </c:pt>
                <c:pt idx="6">
                  <c:v>-2.1999999999999997</c:v>
                </c:pt>
                <c:pt idx="7">
                  <c:v>-2.1999999999999997</c:v>
                </c:pt>
                <c:pt idx="8">
                  <c:v>-2.3199999999999998</c:v>
                </c:pt>
                <c:pt idx="9">
                  <c:v>-2.4399999999999995</c:v>
                </c:pt>
                <c:pt idx="10">
                  <c:v>-2.5599999999999996</c:v>
                </c:pt>
                <c:pt idx="11">
                  <c:v>-2.6799999999999997</c:v>
                </c:pt>
                <c:pt idx="12">
                  <c:v>-2.8</c:v>
                </c:pt>
                <c:pt idx="13">
                  <c:v>-2.8</c:v>
                </c:pt>
                <c:pt idx="14">
                  <c:v>-2.8</c:v>
                </c:pt>
                <c:pt idx="15">
                  <c:v>-2.8</c:v>
                </c:pt>
              </c:numCache>
            </c:numRef>
          </c:xVal>
          <c:yVal>
            <c:numRef>
              <c:f>Cálculo!$AL$30:$AL$45</c:f>
              <c:numCache>
                <c:formatCode>0.00</c:formatCode>
                <c:ptCount val="16"/>
                <c:pt idx="0">
                  <c:v>-1.7433756729740644</c:v>
                </c:pt>
                <c:pt idx="1">
                  <c:v>-1.7433756729740644</c:v>
                </c:pt>
                <c:pt idx="2">
                  <c:v>-1.7433756729740644</c:v>
                </c:pt>
                <c:pt idx="3">
                  <c:v>-1.7433756729740644</c:v>
                </c:pt>
                <c:pt idx="4">
                  <c:v>-1.6233756729740643</c:v>
                </c:pt>
                <c:pt idx="5">
                  <c:v>-1.5033756729740644</c:v>
                </c:pt>
                <c:pt idx="6">
                  <c:v>-1.3833756729740645</c:v>
                </c:pt>
                <c:pt idx="7">
                  <c:v>-1.2633756729740644</c:v>
                </c:pt>
                <c:pt idx="8">
                  <c:v>-1.1433756729740643</c:v>
                </c:pt>
                <c:pt idx="9">
                  <c:v>-1.1433756729740643</c:v>
                </c:pt>
                <c:pt idx="10">
                  <c:v>-1.1433756729740643</c:v>
                </c:pt>
                <c:pt idx="11">
                  <c:v>-1.1433756729740643</c:v>
                </c:pt>
                <c:pt idx="12">
                  <c:v>-1.2633756729740644</c:v>
                </c:pt>
                <c:pt idx="13">
                  <c:v>-1.3833756729740643</c:v>
                </c:pt>
                <c:pt idx="14">
                  <c:v>-1.5033756729740642</c:v>
                </c:pt>
                <c:pt idx="15">
                  <c:v>-1.6233756729740643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D2-4B72-A362-0EC7BD320AE8}"/>
            </c:ext>
          </c:extLst>
        </c:ser>
        <c:ser>
          <c:idx val="1"/>
          <c:order val="1"/>
          <c:tx>
            <c:strRef>
              <c:f>Cálculo!$AM$28</c:f>
              <c:strCache>
                <c:ptCount val="1"/>
                <c:pt idx="0">
                  <c:v>Dado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Cálculo!$AM$30:$AM$45</c:f>
              <c:numCache>
                <c:formatCode>General</c:formatCode>
                <c:ptCount val="16"/>
                <c:pt idx="0">
                  <c:v>2.3200000000000003</c:v>
                </c:pt>
                <c:pt idx="1">
                  <c:v>2.4400000000000004</c:v>
                </c:pt>
                <c:pt idx="2">
                  <c:v>2.56</c:v>
                </c:pt>
                <c:pt idx="3">
                  <c:v>2.68</c:v>
                </c:pt>
                <c:pt idx="4">
                  <c:v>2.8000000000000003</c:v>
                </c:pt>
                <c:pt idx="5">
                  <c:v>2.8000000000000003</c:v>
                </c:pt>
                <c:pt idx="6">
                  <c:v>2.8000000000000003</c:v>
                </c:pt>
                <c:pt idx="7">
                  <c:v>2.8000000000000003</c:v>
                </c:pt>
                <c:pt idx="8">
                  <c:v>2.68</c:v>
                </c:pt>
                <c:pt idx="9">
                  <c:v>2.5600000000000005</c:v>
                </c:pt>
                <c:pt idx="10">
                  <c:v>2.4400000000000004</c:v>
                </c:pt>
                <c:pt idx="11">
                  <c:v>2.3200000000000003</c:v>
                </c:pt>
                <c:pt idx="12">
                  <c:v>2.2000000000000002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2.2000000000000002</c:v>
                </c:pt>
              </c:numCache>
            </c:numRef>
          </c:xVal>
          <c:yVal>
            <c:numRef>
              <c:f>Cálculo!$AN$30:$AN$45</c:f>
              <c:numCache>
                <c:formatCode>0.00</c:formatCode>
                <c:ptCount val="16"/>
                <c:pt idx="0">
                  <c:v>-1.7433756729740644</c:v>
                </c:pt>
                <c:pt idx="1">
                  <c:v>-1.7433756729740644</c:v>
                </c:pt>
                <c:pt idx="2">
                  <c:v>-1.7433756729740644</c:v>
                </c:pt>
                <c:pt idx="3">
                  <c:v>-1.7433756729740644</c:v>
                </c:pt>
                <c:pt idx="4">
                  <c:v>-1.6233756729740643</c:v>
                </c:pt>
                <c:pt idx="5">
                  <c:v>-1.5033756729740644</c:v>
                </c:pt>
                <c:pt idx="6">
                  <c:v>-1.3833756729740645</c:v>
                </c:pt>
                <c:pt idx="7">
                  <c:v>-1.2633756729740644</c:v>
                </c:pt>
                <c:pt idx="8">
                  <c:v>-1.1433756729740643</c:v>
                </c:pt>
                <c:pt idx="9">
                  <c:v>-1.1433756729740643</c:v>
                </c:pt>
                <c:pt idx="10">
                  <c:v>-1.1433756729740643</c:v>
                </c:pt>
                <c:pt idx="11">
                  <c:v>-1.1433756729740643</c:v>
                </c:pt>
                <c:pt idx="12">
                  <c:v>-1.2633756729740644</c:v>
                </c:pt>
                <c:pt idx="13">
                  <c:v>-1.3833756729740643</c:v>
                </c:pt>
                <c:pt idx="14">
                  <c:v>-1.5033756729740642</c:v>
                </c:pt>
                <c:pt idx="15">
                  <c:v>-1.6233756729740643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D2-4B72-A362-0EC7BD320AE8}"/>
            </c:ext>
          </c:extLst>
        </c:ser>
        <c:ser>
          <c:idx val="2"/>
          <c:order val="2"/>
          <c:tx>
            <c:strRef>
              <c:f>Cálculo!$AO$28</c:f>
              <c:strCache>
                <c:ptCount val="1"/>
                <c:pt idx="0">
                  <c:v>Dado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Cálculo!$AO$30:$AO$45</c:f>
              <c:numCache>
                <c:formatCode>General</c:formatCode>
                <c:ptCount val="16"/>
                <c:pt idx="0">
                  <c:v>-0.18</c:v>
                </c:pt>
                <c:pt idx="1">
                  <c:v>-0.06</c:v>
                </c:pt>
                <c:pt idx="2">
                  <c:v>0.06</c:v>
                </c:pt>
                <c:pt idx="3">
                  <c:v>0.18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0.18</c:v>
                </c:pt>
                <c:pt idx="9">
                  <c:v>0.06</c:v>
                </c:pt>
                <c:pt idx="10">
                  <c:v>-0.06</c:v>
                </c:pt>
                <c:pt idx="11">
                  <c:v>-0.18</c:v>
                </c:pt>
                <c:pt idx="12">
                  <c:v>-0.3</c:v>
                </c:pt>
                <c:pt idx="13">
                  <c:v>-0.3</c:v>
                </c:pt>
                <c:pt idx="14">
                  <c:v>-0.3</c:v>
                </c:pt>
                <c:pt idx="15">
                  <c:v>-0.3</c:v>
                </c:pt>
              </c:numCache>
            </c:numRef>
          </c:xVal>
          <c:yVal>
            <c:numRef>
              <c:f>Cálculo!$AP$30:$AP$45</c:f>
              <c:numCache>
                <c:formatCode>0.00</c:formatCode>
                <c:ptCount val="16"/>
                <c:pt idx="0">
                  <c:v>2.5867513459481275</c:v>
                </c:pt>
                <c:pt idx="1">
                  <c:v>2.5867513459481275</c:v>
                </c:pt>
                <c:pt idx="2">
                  <c:v>2.5867513459481275</c:v>
                </c:pt>
                <c:pt idx="3">
                  <c:v>2.5867513459481275</c:v>
                </c:pt>
                <c:pt idx="4">
                  <c:v>2.7067513459481276</c:v>
                </c:pt>
                <c:pt idx="5">
                  <c:v>2.8267513459481277</c:v>
                </c:pt>
                <c:pt idx="6">
                  <c:v>2.9467513459481274</c:v>
                </c:pt>
                <c:pt idx="7">
                  <c:v>3.0667513459481275</c:v>
                </c:pt>
                <c:pt idx="8">
                  <c:v>3.1867513459481276</c:v>
                </c:pt>
                <c:pt idx="9">
                  <c:v>3.1867513459481276</c:v>
                </c:pt>
                <c:pt idx="10">
                  <c:v>3.1867513459481276</c:v>
                </c:pt>
                <c:pt idx="11">
                  <c:v>3.1867513459481276</c:v>
                </c:pt>
                <c:pt idx="12">
                  <c:v>3.0667513459481275</c:v>
                </c:pt>
                <c:pt idx="13">
                  <c:v>2.9467513459481278</c:v>
                </c:pt>
                <c:pt idx="14">
                  <c:v>2.8267513459481277</c:v>
                </c:pt>
                <c:pt idx="15">
                  <c:v>2.7067513459481276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D2-4B72-A362-0EC7BD320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859872"/>
        <c:axId val="936862752"/>
      </c:scatterChart>
      <c:valAx>
        <c:axId val="93685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36862752"/>
        <c:crosses val="autoZero"/>
        <c:crossBetween val="midCat"/>
      </c:valAx>
      <c:valAx>
        <c:axId val="9368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3685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Zapata</a:t>
            </a:r>
            <a:r>
              <a:rPr lang="es-MX" baseline="0"/>
              <a:t> de sección General</a:t>
            </a:r>
            <a:endParaRPr lang="es-MX"/>
          </a:p>
        </c:rich>
      </c:tx>
      <c:layout>
        <c:manualLayout>
          <c:xMode val="edge"/>
          <c:yMode val="edge"/>
          <c:x val="0.28059344551387455"/>
          <c:y val="2.16274638137336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Zapata</c:v>
          </c:tx>
          <c:spPr>
            <a:ln w="3175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Vértices!$C$2:$C$34</c:f>
              <c:numCache>
                <c:formatCode>General</c:formatCode>
                <c:ptCount val="33"/>
                <c:pt idx="0">
                  <c:v>-4.8659999999999997</c:v>
                </c:pt>
                <c:pt idx="1">
                  <c:v>-3.8660000000000001</c:v>
                </c:pt>
                <c:pt idx="2">
                  <c:v>3.8660000000000001</c:v>
                </c:pt>
                <c:pt idx="3">
                  <c:v>4.8659999999999997</c:v>
                </c:pt>
                <c:pt idx="4">
                  <c:v>1</c:v>
                </c:pt>
                <c:pt idx="5">
                  <c:v>-1</c:v>
                </c:pt>
                <c:pt idx="6">
                  <c:v>-4.8659999999999997</c:v>
                </c:pt>
              </c:numCache>
            </c:numRef>
          </c:xVal>
          <c:yVal>
            <c:numRef>
              <c:f>Vértices!$D$2:$D$34</c:f>
              <c:numCache>
                <c:formatCode>General</c:formatCode>
                <c:ptCount val="33"/>
                <c:pt idx="0">
                  <c:v>-1.6547000000000001</c:v>
                </c:pt>
                <c:pt idx="1">
                  <c:v>-3.3868</c:v>
                </c:pt>
                <c:pt idx="2">
                  <c:v>-3.3868</c:v>
                </c:pt>
                <c:pt idx="3">
                  <c:v>-1.6547000000000001</c:v>
                </c:pt>
                <c:pt idx="4">
                  <c:v>5.0415000000000001</c:v>
                </c:pt>
                <c:pt idx="5">
                  <c:v>5.0415000000000001</c:v>
                </c:pt>
                <c:pt idx="6">
                  <c:v>-1.6547000000000001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28-4B0F-9703-C588D103E923}"/>
            </c:ext>
          </c:extLst>
        </c:ser>
        <c:ser>
          <c:idx val="1"/>
          <c:order val="1"/>
          <c:tx>
            <c:v>Hueco</c:v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Vértices!$H$2:$H$33</c:f>
              <c:numCache>
                <c:formatCode>General</c:formatCode>
                <c:ptCount val="32"/>
              </c:numCache>
            </c:numRef>
          </c:xVal>
          <c:yVal>
            <c:numRef>
              <c:f>Vértices!$I$2:$I$33</c:f>
              <c:numCache>
                <c:formatCode>General</c:formatCode>
                <c:ptCount val="3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28-4B0F-9703-C588D103E923}"/>
            </c:ext>
          </c:extLst>
        </c:ser>
        <c:ser>
          <c:idx val="2"/>
          <c:order val="2"/>
          <c:tx>
            <c:v>Dado 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Cálculo!$X$11:$X$15</c:f>
              <c:numCache>
                <c:formatCode>0.00</c:formatCode>
                <c:ptCount val="5"/>
                <c:pt idx="0" formatCode="General">
                  <c:v>-2.8</c:v>
                </c:pt>
                <c:pt idx="1">
                  <c:v>-2.1999999999999997</c:v>
                </c:pt>
                <c:pt idx="2" formatCode="General">
                  <c:v>-2.1999999999999997</c:v>
                </c:pt>
                <c:pt idx="3" formatCode="General">
                  <c:v>-2.8</c:v>
                </c:pt>
                <c:pt idx="4" formatCode="General">
                  <c:v>-2.8</c:v>
                </c:pt>
              </c:numCache>
            </c:numRef>
          </c:xVal>
          <c:yVal>
            <c:numRef>
              <c:f>Cálculo!$Y$11:$Y$15</c:f>
              <c:numCache>
                <c:formatCode>0.00</c:formatCode>
                <c:ptCount val="5"/>
                <c:pt idx="0">
                  <c:v>-1.7433756729740644</c:v>
                </c:pt>
                <c:pt idx="1">
                  <c:v>-1.7433756729740644</c:v>
                </c:pt>
                <c:pt idx="2">
                  <c:v>-1.1433756729740643</c:v>
                </c:pt>
                <c:pt idx="3">
                  <c:v>-1.1433756729740643</c:v>
                </c:pt>
                <c:pt idx="4">
                  <c:v>-1.7433756729740644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28-4B0F-9703-C588D103E923}"/>
            </c:ext>
          </c:extLst>
        </c:ser>
        <c:ser>
          <c:idx val="3"/>
          <c:order val="3"/>
          <c:tx>
            <c:v>Dado 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Cálculo!$Z$11:$Z$15</c:f>
              <c:numCache>
                <c:formatCode>0.00</c:formatCode>
                <c:ptCount val="5"/>
                <c:pt idx="0" formatCode="General">
                  <c:v>2.2000000000000002</c:v>
                </c:pt>
                <c:pt idx="1">
                  <c:v>2.8000000000000003</c:v>
                </c:pt>
                <c:pt idx="2">
                  <c:v>2.8000000000000003</c:v>
                </c:pt>
                <c:pt idx="3">
                  <c:v>2.2000000000000002</c:v>
                </c:pt>
                <c:pt idx="4" formatCode="General">
                  <c:v>2.2000000000000002</c:v>
                </c:pt>
              </c:numCache>
            </c:numRef>
          </c:xVal>
          <c:yVal>
            <c:numRef>
              <c:f>Cálculo!$AA$11:$AA$15</c:f>
              <c:numCache>
                <c:formatCode>0.00</c:formatCode>
                <c:ptCount val="5"/>
                <c:pt idx="0">
                  <c:v>-1.7433756729740644</c:v>
                </c:pt>
                <c:pt idx="1">
                  <c:v>-1.7433756729740644</c:v>
                </c:pt>
                <c:pt idx="2">
                  <c:v>-1.1433756729740643</c:v>
                </c:pt>
                <c:pt idx="3">
                  <c:v>-1.1433756729740643</c:v>
                </c:pt>
                <c:pt idx="4">
                  <c:v>-1.7433756729740644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28-4B0F-9703-C588D103E923}"/>
            </c:ext>
          </c:extLst>
        </c:ser>
        <c:ser>
          <c:idx val="4"/>
          <c:order val="4"/>
          <c:tx>
            <c:v>Dado 3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Cálculo!$AB$11:$AB$15</c:f>
              <c:numCache>
                <c:formatCode>0.00</c:formatCode>
                <c:ptCount val="5"/>
                <c:pt idx="0" formatCode="General">
                  <c:v>-0.3</c:v>
                </c:pt>
                <c:pt idx="1">
                  <c:v>0.3</c:v>
                </c:pt>
                <c:pt idx="2">
                  <c:v>0.3</c:v>
                </c:pt>
                <c:pt idx="3" formatCode="General">
                  <c:v>-0.3</c:v>
                </c:pt>
                <c:pt idx="4" formatCode="General">
                  <c:v>-0.3</c:v>
                </c:pt>
              </c:numCache>
            </c:numRef>
          </c:xVal>
          <c:yVal>
            <c:numRef>
              <c:f>Cálculo!$AC$11:$AC$15</c:f>
              <c:numCache>
                <c:formatCode>0.00</c:formatCode>
                <c:ptCount val="5"/>
                <c:pt idx="0">
                  <c:v>2.5867513459481275</c:v>
                </c:pt>
                <c:pt idx="1">
                  <c:v>2.5867513459481275</c:v>
                </c:pt>
                <c:pt idx="2">
                  <c:v>3.1867513459481276</c:v>
                </c:pt>
                <c:pt idx="3">
                  <c:v>3.1867513459481276</c:v>
                </c:pt>
                <c:pt idx="4">
                  <c:v>2.5867513459481275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28-4B0F-9703-C588D103E923}"/>
            </c:ext>
          </c:extLst>
        </c:ser>
        <c:ser>
          <c:idx val="5"/>
          <c:order val="5"/>
          <c:tx>
            <c:v>Línea de esfuerzos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Integrador!$H$4:$H$5</c:f>
              <c:numCache>
                <c:formatCode>0.0000</c:formatCode>
                <c:ptCount val="2"/>
                <c:pt idx="0">
                  <c:v>-1.7594977252930448</c:v>
                </c:pt>
                <c:pt idx="1">
                  <c:v>0.96851463994954656</c:v>
                </c:pt>
              </c:numCache>
            </c:numRef>
          </c:xVal>
          <c:yVal>
            <c:numRef>
              <c:f>Integrador!$I$4:$I$5</c:f>
              <c:numCache>
                <c:formatCode>0.0000</c:formatCode>
                <c:ptCount val="2"/>
                <c:pt idx="0">
                  <c:v>-1.7611361398526242</c:v>
                </c:pt>
                <c:pt idx="1">
                  <c:v>2.1379858541227463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81-4561-BD76-855D83767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324271"/>
        <c:axId val="550324751"/>
      </c:scatterChart>
      <c:valAx>
        <c:axId val="550324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50324751"/>
        <c:crosses val="autoZero"/>
        <c:crossBetween val="midCat"/>
      </c:valAx>
      <c:valAx>
        <c:axId val="5503247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5032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Integrador!$I$1</c:f>
          <c:strCache>
            <c:ptCount val="1"/>
            <c:pt idx="0">
              <c:v>Esfuerzos a 60°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Integrador!$B$21:$B$44</c:f>
              <c:numCache>
                <c:formatCode>0.0000</c:formatCode>
                <c:ptCount val="24"/>
                <c:pt idx="0">
                  <c:v>-1.7594977252930448</c:v>
                </c:pt>
                <c:pt idx="1">
                  <c:v>-1.7594977252930448</c:v>
                </c:pt>
                <c:pt idx="2">
                  <c:v>-1.6230971070309153</c:v>
                </c:pt>
                <c:pt idx="3">
                  <c:v>-1.4866964887687857</c:v>
                </c:pt>
                <c:pt idx="4">
                  <c:v>-1.3502958705066561</c:v>
                </c:pt>
                <c:pt idx="5">
                  <c:v>-1.2138952522445265</c:v>
                </c:pt>
                <c:pt idx="6">
                  <c:v>-1.077494633982397</c:v>
                </c:pt>
                <c:pt idx="7">
                  <c:v>-0.94109401572026741</c:v>
                </c:pt>
                <c:pt idx="8">
                  <c:v>-0.80469339745813784</c:v>
                </c:pt>
                <c:pt idx="9">
                  <c:v>-0.66829277919600827</c:v>
                </c:pt>
                <c:pt idx="10">
                  <c:v>-0.5318921609338787</c:v>
                </c:pt>
                <c:pt idx="11">
                  <c:v>-0.39549154267174913</c:v>
                </c:pt>
                <c:pt idx="12">
                  <c:v>-0.25909092440961956</c:v>
                </c:pt>
                <c:pt idx="13">
                  <c:v>-0.12269030614748999</c:v>
                </c:pt>
                <c:pt idx="14">
                  <c:v>1.3710312114639578E-2</c:v>
                </c:pt>
                <c:pt idx="15">
                  <c:v>0.15011093037676915</c:v>
                </c:pt>
                <c:pt idx="16">
                  <c:v>0.28651154863889872</c:v>
                </c:pt>
                <c:pt idx="17">
                  <c:v>0.42291216690102829</c:v>
                </c:pt>
                <c:pt idx="18">
                  <c:v>0.55931278516315786</c:v>
                </c:pt>
                <c:pt idx="19">
                  <c:v>0.69571340342528742</c:v>
                </c:pt>
                <c:pt idx="20">
                  <c:v>0.83211402168741699</c:v>
                </c:pt>
                <c:pt idx="21">
                  <c:v>0.96851463994954656</c:v>
                </c:pt>
                <c:pt idx="22">
                  <c:v>0.96851463994954656</c:v>
                </c:pt>
                <c:pt idx="23">
                  <c:v>-1.7594977252930448</c:v>
                </c:pt>
              </c:numCache>
            </c:numRef>
          </c:xVal>
          <c:yVal>
            <c:numRef>
              <c:f>Integrador!$D$21:$D$44</c:f>
              <c:numCache>
                <c:formatCode>0.0000</c:formatCode>
                <c:ptCount val="24"/>
                <c:pt idx="0" formatCode="General">
                  <c:v>0</c:v>
                </c:pt>
                <c:pt idx="1">
                  <c:v>-9.7926421031693209</c:v>
                </c:pt>
                <c:pt idx="2">
                  <c:v>-9.4843700588224937</c:v>
                </c:pt>
                <c:pt idx="3">
                  <c:v>-9.1760980144756665</c:v>
                </c:pt>
                <c:pt idx="4">
                  <c:v>-8.8678259701288393</c:v>
                </c:pt>
                <c:pt idx="5">
                  <c:v>-8.5595539257820121</c:v>
                </c:pt>
                <c:pt idx="6">
                  <c:v>-8.2512818814351832</c:v>
                </c:pt>
                <c:pt idx="7">
                  <c:v>-7.943009837088356</c:v>
                </c:pt>
                <c:pt idx="8">
                  <c:v>-7.6347377927415288</c:v>
                </c:pt>
                <c:pt idx="9">
                  <c:v>-7.3264657483947015</c:v>
                </c:pt>
                <c:pt idx="10">
                  <c:v>-7.0181937040478735</c:v>
                </c:pt>
                <c:pt idx="11">
                  <c:v>-6.7099216597010463</c:v>
                </c:pt>
                <c:pt idx="12">
                  <c:v>-6.4016496153542191</c:v>
                </c:pt>
                <c:pt idx="13">
                  <c:v>-6.0933775710073919</c:v>
                </c:pt>
                <c:pt idx="14">
                  <c:v>-5.7851055266605638</c:v>
                </c:pt>
                <c:pt idx="15">
                  <c:v>-5.4768334823137366</c:v>
                </c:pt>
                <c:pt idx="16">
                  <c:v>-5.1685614379669094</c:v>
                </c:pt>
                <c:pt idx="17">
                  <c:v>-4.8602893936200822</c:v>
                </c:pt>
                <c:pt idx="18">
                  <c:v>-4.552017349273255</c:v>
                </c:pt>
                <c:pt idx="19">
                  <c:v>-4.2437453049264269</c:v>
                </c:pt>
                <c:pt idx="20">
                  <c:v>-3.9354732605795988</c:v>
                </c:pt>
                <c:pt idx="21">
                  <c:v>-3.627201216232772</c:v>
                </c:pt>
                <c:pt idx="22">
                  <c:v>0</c:v>
                </c:pt>
                <c:pt idx="2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0-456E-9619-9A3FD7515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3533216"/>
        <c:axId val="1603533696"/>
      </c:scatterChart>
      <c:valAx>
        <c:axId val="1603533216"/>
        <c:scaling>
          <c:orientation val="minMax"/>
        </c:scaling>
        <c:delete val="0"/>
        <c:axPos val="b"/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03533696"/>
        <c:crosses val="autoZero"/>
        <c:crossBetween val="midCat"/>
      </c:valAx>
      <c:valAx>
        <c:axId val="16035336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03533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Integrador!$J$1</c:f>
          <c:strCache>
            <c:ptCount val="1"/>
            <c:pt idx="0">
              <c:v>Esfuerzos promedio a 60°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Integrador!$B$21:$B$44</c:f>
              <c:numCache>
                <c:formatCode>0.0000</c:formatCode>
                <c:ptCount val="24"/>
                <c:pt idx="0">
                  <c:v>-1.7594977252930448</c:v>
                </c:pt>
                <c:pt idx="1">
                  <c:v>-1.7594977252930448</c:v>
                </c:pt>
                <c:pt idx="2">
                  <c:v>-1.6230971070309153</c:v>
                </c:pt>
                <c:pt idx="3">
                  <c:v>-1.4866964887687857</c:v>
                </c:pt>
                <c:pt idx="4">
                  <c:v>-1.3502958705066561</c:v>
                </c:pt>
                <c:pt idx="5">
                  <c:v>-1.2138952522445265</c:v>
                </c:pt>
                <c:pt idx="6">
                  <c:v>-1.077494633982397</c:v>
                </c:pt>
                <c:pt idx="7">
                  <c:v>-0.94109401572026741</c:v>
                </c:pt>
                <c:pt idx="8">
                  <c:v>-0.80469339745813784</c:v>
                </c:pt>
                <c:pt idx="9">
                  <c:v>-0.66829277919600827</c:v>
                </c:pt>
                <c:pt idx="10">
                  <c:v>-0.5318921609338787</c:v>
                </c:pt>
                <c:pt idx="11">
                  <c:v>-0.39549154267174913</c:v>
                </c:pt>
                <c:pt idx="12">
                  <c:v>-0.25909092440961956</c:v>
                </c:pt>
                <c:pt idx="13">
                  <c:v>-0.12269030614748999</c:v>
                </c:pt>
                <c:pt idx="14">
                  <c:v>1.3710312114639578E-2</c:v>
                </c:pt>
                <c:pt idx="15">
                  <c:v>0.15011093037676915</c:v>
                </c:pt>
                <c:pt idx="16">
                  <c:v>0.28651154863889872</c:v>
                </c:pt>
                <c:pt idx="17">
                  <c:v>0.42291216690102829</c:v>
                </c:pt>
                <c:pt idx="18">
                  <c:v>0.55931278516315786</c:v>
                </c:pt>
                <c:pt idx="19">
                  <c:v>0.69571340342528742</c:v>
                </c:pt>
                <c:pt idx="20">
                  <c:v>0.83211402168741699</c:v>
                </c:pt>
                <c:pt idx="21">
                  <c:v>0.96851463994954656</c:v>
                </c:pt>
                <c:pt idx="22">
                  <c:v>0.96851463994954656</c:v>
                </c:pt>
                <c:pt idx="23">
                  <c:v>-1.7594977252930448</c:v>
                </c:pt>
              </c:numCache>
            </c:numRef>
          </c:xVal>
          <c:yVal>
            <c:numRef>
              <c:f>Integrador!$E$21:$E$44</c:f>
              <c:numCache>
                <c:formatCode>0.0000</c:formatCode>
                <c:ptCount val="24"/>
                <c:pt idx="0">
                  <c:v>0</c:v>
                </c:pt>
                <c:pt idx="1">
                  <c:v>-6.7099216597010463</c:v>
                </c:pt>
                <c:pt idx="2">
                  <c:v>-6.7099216597010463</c:v>
                </c:pt>
                <c:pt idx="3">
                  <c:v>-6.7099216597010463</c:v>
                </c:pt>
                <c:pt idx="4">
                  <c:v>-6.7099216597010463</c:v>
                </c:pt>
                <c:pt idx="5">
                  <c:v>-6.7099216597010463</c:v>
                </c:pt>
                <c:pt idx="6">
                  <c:v>-6.7099216597010463</c:v>
                </c:pt>
                <c:pt idx="7">
                  <c:v>-6.7099216597010463</c:v>
                </c:pt>
                <c:pt idx="8">
                  <c:v>-6.7099216597010463</c:v>
                </c:pt>
                <c:pt idx="9">
                  <c:v>-6.7099216597010463</c:v>
                </c:pt>
                <c:pt idx="10">
                  <c:v>-6.7099216597010463</c:v>
                </c:pt>
                <c:pt idx="11">
                  <c:v>-6.7099216597010463</c:v>
                </c:pt>
                <c:pt idx="12">
                  <c:v>-6.7099216597010463</c:v>
                </c:pt>
                <c:pt idx="13">
                  <c:v>-6.7099216597010463</c:v>
                </c:pt>
                <c:pt idx="14">
                  <c:v>-6.7099216597010463</c:v>
                </c:pt>
                <c:pt idx="15">
                  <c:v>-6.7099216597010463</c:v>
                </c:pt>
                <c:pt idx="16">
                  <c:v>-6.7099216597010463</c:v>
                </c:pt>
                <c:pt idx="17">
                  <c:v>-6.7099216597010463</c:v>
                </c:pt>
                <c:pt idx="18">
                  <c:v>-6.7099216597010463</c:v>
                </c:pt>
                <c:pt idx="19">
                  <c:v>-6.7099216597010463</c:v>
                </c:pt>
                <c:pt idx="20">
                  <c:v>-6.7099216597010463</c:v>
                </c:pt>
                <c:pt idx="21">
                  <c:v>-6.7099216597010463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C3-4776-949E-8D150D069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3533216"/>
        <c:axId val="1603533696"/>
      </c:scatterChart>
      <c:valAx>
        <c:axId val="1603533216"/>
        <c:scaling>
          <c:orientation val="minMax"/>
        </c:scaling>
        <c:delete val="0"/>
        <c:axPos val="b"/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03533696"/>
        <c:crosses val="autoZero"/>
        <c:crossBetween val="midCat"/>
      </c:valAx>
      <c:valAx>
        <c:axId val="1603533696"/>
        <c:scaling>
          <c:orientation val="minMax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03533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7.xml"/><Relationship Id="rId3" Type="http://schemas.openxmlformats.org/officeDocument/2006/relationships/image" Target="../media/image3.emf"/><Relationship Id="rId7" Type="http://schemas.openxmlformats.org/officeDocument/2006/relationships/image" Target="../media/image6.png"/><Relationship Id="rId12" Type="http://schemas.openxmlformats.org/officeDocument/2006/relationships/chart" Target="../charts/chart6.xml"/><Relationship Id="rId2" Type="http://schemas.openxmlformats.org/officeDocument/2006/relationships/image" Target="../media/image2.png"/><Relationship Id="rId1" Type="http://schemas.openxmlformats.org/officeDocument/2006/relationships/chart" Target="../charts/chart2.xml"/><Relationship Id="rId6" Type="http://schemas.openxmlformats.org/officeDocument/2006/relationships/image" Target="../media/image5.png"/><Relationship Id="rId11" Type="http://schemas.openxmlformats.org/officeDocument/2006/relationships/chart" Target="../charts/chart5.xml"/><Relationship Id="rId5" Type="http://schemas.openxmlformats.org/officeDocument/2006/relationships/image" Target="../media/image4.png"/><Relationship Id="rId10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11.png"/><Relationship Id="rId7" Type="http://schemas.microsoft.com/office/2007/relationships/hdphoto" Target="../media/hdphoto1.wdp"/><Relationship Id="rId12" Type="http://schemas.openxmlformats.org/officeDocument/2006/relationships/hyperlink" Target="https://wonderfulengineering.com/the-flag-of-argentina-the-symbol-of-loyalty-and-commitment/" TargetMode="External"/><Relationship Id="rId2" Type="http://schemas.openxmlformats.org/officeDocument/2006/relationships/hyperlink" Target="http://commons.wikimedia.org/wiki/File:Mexico_flag_icon.svg" TargetMode="External"/><Relationship Id="rId1" Type="http://schemas.openxmlformats.org/officeDocument/2006/relationships/image" Target="../media/image10.png"/><Relationship Id="rId6" Type="http://schemas.openxmlformats.org/officeDocument/2006/relationships/image" Target="../media/image13.png"/><Relationship Id="rId11" Type="http://schemas.openxmlformats.org/officeDocument/2006/relationships/image" Target="../media/image16.jpeg"/><Relationship Id="rId5" Type="http://schemas.openxmlformats.org/officeDocument/2006/relationships/hyperlink" Target="https://www.mcc.gov/where-we-work/country/peru" TargetMode="External"/><Relationship Id="rId10" Type="http://schemas.microsoft.com/office/2007/relationships/hdphoto" Target="../media/hdphoto2.wdp"/><Relationship Id="rId4" Type="http://schemas.openxmlformats.org/officeDocument/2006/relationships/image" Target="../media/image12.png"/><Relationship Id="rId9" Type="http://schemas.openxmlformats.org/officeDocument/2006/relationships/image" Target="../media/image1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304800</xdr:colOff>
      <xdr:row>1</xdr:row>
      <xdr:rowOff>38101</xdr:rowOff>
    </xdr:from>
    <xdr:to>
      <xdr:col>2</xdr:col>
      <xdr:colOff>396240</xdr:colOff>
      <xdr:row>3</xdr:row>
      <xdr:rowOff>111615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7A1134-C7FB-4032-BC80-A91F3B4B9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38101"/>
          <a:ext cx="1057275" cy="454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3</xdr:row>
          <xdr:rowOff>19050</xdr:rowOff>
        </xdr:from>
        <xdr:to>
          <xdr:col>0</xdr:col>
          <xdr:colOff>1276350</xdr:colOff>
          <xdr:row>4</xdr:row>
          <xdr:rowOff>171450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554356</xdr:colOff>
      <xdr:row>0</xdr:row>
      <xdr:rowOff>0</xdr:rowOff>
    </xdr:from>
    <xdr:to>
      <xdr:col>15</xdr:col>
      <xdr:colOff>266206</xdr:colOff>
      <xdr:row>20</xdr:row>
      <xdr:rowOff>150000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BAB2E0F-0980-4AB6-A685-119862C42C6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2</xdr:row>
          <xdr:rowOff>9525</xdr:rowOff>
        </xdr:from>
        <xdr:to>
          <xdr:col>1</xdr:col>
          <xdr:colOff>552450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Abriri CAD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110</xdr:row>
      <xdr:rowOff>11204</xdr:rowOff>
    </xdr:from>
    <xdr:to>
      <xdr:col>5</xdr:col>
      <xdr:colOff>618146</xdr:colOff>
      <xdr:row>131</xdr:row>
      <xdr:rowOff>150704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D9AFC48-3B93-4C91-BD45-90FEF39F273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213903</xdr:colOff>
      <xdr:row>2</xdr:row>
      <xdr:rowOff>95249</xdr:rowOff>
    </xdr:from>
    <xdr:to>
      <xdr:col>3</xdr:col>
      <xdr:colOff>248381</xdr:colOff>
      <xdr:row>7</xdr:row>
      <xdr:rowOff>17798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9BBA5C4-06CD-4D50-A028-0329C830A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653" y="504824"/>
          <a:ext cx="2095688" cy="84075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253013</xdr:colOff>
          <xdr:row>2</xdr:row>
          <xdr:rowOff>24815</xdr:rowOff>
        </xdr:from>
        <xdr:ext cx="1125311" cy="1082030"/>
        <xdr:pic>
          <xdr:nvPicPr>
            <xdr:cNvPr id="11" name="Picture 4" descr="A picture containing vector graphics&#10;&#10;Description automatically generated">
              <a:extLst>
                <a:ext uri="{FF2B5EF4-FFF2-40B4-BE49-F238E27FC236}">
                  <a16:creationId xmlns:a16="http://schemas.microsoft.com/office/drawing/2014/main" id="{EA80B40F-9F8D-4057-BEFB-40F540E6F87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B.Imagen" spid="_x0000_s16801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8556572" y="417021"/>
              <a:ext cx="1125311" cy="1082030"/>
            </a:xfrm>
            <a:prstGeom prst="rect">
              <a:avLst/>
            </a:prstGeom>
            <a:ln>
              <a:noFill/>
            </a:ln>
            <a:effectLst/>
          </xdr:spPr>
        </xdr:pic>
        <xdr:clientData/>
      </xdr:oneCellAnchor>
    </mc:Choice>
    <mc:Fallback/>
  </mc:AlternateContent>
  <xdr:twoCellAnchor editAs="oneCell">
    <xdr:from>
      <xdr:col>7</xdr:col>
      <xdr:colOff>419100</xdr:colOff>
      <xdr:row>1</xdr:row>
      <xdr:rowOff>99060</xdr:rowOff>
    </xdr:from>
    <xdr:to>
      <xdr:col>8</xdr:col>
      <xdr:colOff>552994</xdr:colOff>
      <xdr:row>7</xdr:row>
      <xdr:rowOff>10</xdr:rowOff>
    </xdr:to>
    <xdr:sp macro="" textlink="">
      <xdr:nvSpPr>
        <xdr:cNvPr id="3076" name="AutoShape 4">
          <a:extLst>
            <a:ext uri="{FF2B5EF4-FFF2-40B4-BE49-F238E27FC236}">
              <a16:creationId xmlns:a16="http://schemas.microsoft.com/office/drawing/2014/main" id="{4B7755D5-1AEF-7926-37DC-C883C391FEF9}"/>
            </a:ext>
          </a:extLst>
        </xdr:cNvPr>
        <xdr:cNvSpPr>
          <a:spLocks noChangeAspect="1" noChangeArrowheads="1"/>
        </xdr:cNvSpPr>
      </xdr:nvSpPr>
      <xdr:spPr bwMode="auto">
        <a:xfrm>
          <a:off x="5875020" y="281940"/>
          <a:ext cx="1051560" cy="998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132869</xdr:colOff>
      <xdr:row>35</xdr:row>
      <xdr:rowOff>11206</xdr:rowOff>
    </xdr:from>
    <xdr:to>
      <xdr:col>14</xdr:col>
      <xdr:colOff>593912</xdr:colOff>
      <xdr:row>51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F26F5CC-B74F-45EF-B331-935217681C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</xdr:col>
      <xdr:colOff>190500</xdr:colOff>
      <xdr:row>86</xdr:row>
      <xdr:rowOff>145677</xdr:rowOff>
    </xdr:from>
    <xdr:ext cx="2095500" cy="48519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705AEC1C-AC9D-48EB-AC46-FB1E86DDCB88}"/>
                </a:ext>
              </a:extLst>
            </xdr:cNvPr>
            <xdr:cNvSpPr txBox="1"/>
          </xdr:nvSpPr>
          <xdr:spPr>
            <a:xfrm>
              <a:off x="481853" y="20943795"/>
              <a:ext cx="2095500" cy="4851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8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8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sSub>
                          <m:sSubPr>
                            <m:ctrlP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s-MX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s-MX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= </m:t>
                        </m:r>
                        <m:f>
                          <m:fPr>
                            <m:ctrlP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𝑃</m:t>
                            </m:r>
                          </m:num>
                          <m:den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𝐴</m:t>
                            </m:r>
                          </m:den>
                        </m:f>
                        <m:r>
                          <a:rPr lang="es-MX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 </m:t>
                        </m:r>
                        <m:f>
                          <m:fPr>
                            <m:ctrlP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𝑀</m:t>
                                </m:r>
                              </m:e>
                              <m:sub>
                                <m: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𝑥</m:t>
                                </m:r>
                              </m:sub>
                            </m:sSub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∗</m:t>
                            </m:r>
                            <m:sSub>
                              <m:sSubPr>
                                <m:ctrlP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𝐼𝑥</m:t>
                            </m:r>
                          </m:den>
                        </m:f>
                        <m:r>
                          <a:rPr lang="es-MX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+ </m:t>
                        </m:r>
                        <m:f>
                          <m:fPr>
                            <m:ctrlP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𝑀</m:t>
                                </m:r>
                              </m:e>
                              <m:sub>
                                <m: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sub>
                            </m:sSub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∗</m:t>
                            </m:r>
                            <m:sSub>
                              <m:sSubPr>
                                <m:ctrlP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𝐼𝑦</m:t>
                            </m:r>
                          </m:den>
                        </m:f>
                      </m:sub>
                    </m:sSub>
                  </m:oMath>
                </m:oMathPara>
              </a14:m>
              <a:endParaRPr lang="es-MX" sz="1800"/>
            </a:p>
          </xdr:txBody>
        </xdr:sp>
      </mc:Choice>
      <mc:Fallback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705AEC1C-AC9D-48EB-AC46-FB1E86DDCB88}"/>
                </a:ext>
              </a:extLst>
            </xdr:cNvPr>
            <xdr:cNvSpPr txBox="1"/>
          </xdr:nvSpPr>
          <xdr:spPr>
            <a:xfrm>
              <a:off x="481853" y="20943795"/>
              <a:ext cx="2095500" cy="4851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8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s-MX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𝑥_𝑖,𝑦_𝑖  = 𝑃/𝐴+ (𝑀_𝑥∗𝑦_𝑖)/𝐼𝑥  + (𝑀_𝑦∗𝑥_𝑖)/𝐼𝑦)</a:t>
              </a:r>
              <a:endParaRPr lang="es-MX" sz="1800"/>
            </a:p>
          </xdr:txBody>
        </xdr:sp>
      </mc:Fallback>
    </mc:AlternateContent>
    <xdr:clientData/>
  </xdr:oneCellAnchor>
  <xdr:twoCellAnchor editAs="oneCell">
    <xdr:from>
      <xdr:col>20</xdr:col>
      <xdr:colOff>0</xdr:colOff>
      <xdr:row>143</xdr:row>
      <xdr:rowOff>108858</xdr:rowOff>
    </xdr:from>
    <xdr:to>
      <xdr:col>27</xdr:col>
      <xdr:colOff>708485</xdr:colOff>
      <xdr:row>158</xdr:row>
      <xdr:rowOff>22659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838B8BE-953C-FF00-3F04-1CF545627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504965" y="28194001"/>
          <a:ext cx="6125430" cy="2915057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159</xdr:row>
      <xdr:rowOff>40821</xdr:rowOff>
    </xdr:from>
    <xdr:to>
      <xdr:col>27</xdr:col>
      <xdr:colOff>58787</xdr:colOff>
      <xdr:row>175</xdr:row>
      <xdr:rowOff>56353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4A2BDAD-F90F-4DA4-A59C-0D9672C3B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04321" y="31323642"/>
          <a:ext cx="5458587" cy="3105583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176</xdr:row>
      <xdr:rowOff>68036</xdr:rowOff>
    </xdr:from>
    <xdr:to>
      <xdr:col>30</xdr:col>
      <xdr:colOff>722843</xdr:colOff>
      <xdr:row>187</xdr:row>
      <xdr:rowOff>171840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7503668-DC22-4E5F-B30D-CE8C08C25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817928" y="34630179"/>
          <a:ext cx="8640381" cy="2200582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188</xdr:row>
      <xdr:rowOff>80283</xdr:rowOff>
    </xdr:from>
    <xdr:to>
      <xdr:col>25</xdr:col>
      <xdr:colOff>571740</xdr:colOff>
      <xdr:row>204</xdr:row>
      <xdr:rowOff>95055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4D85329-D0AA-4C5C-AC76-99A787E28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30917" y="36928426"/>
          <a:ext cx="4448974" cy="3409950"/>
        </a:xfrm>
        <a:prstGeom prst="rect">
          <a:avLst/>
        </a:prstGeom>
      </xdr:spPr>
    </xdr:pic>
    <xdr:clientData/>
  </xdr:twoCellAnchor>
  <xdr:twoCellAnchor editAs="oneCell">
    <xdr:from>
      <xdr:col>29</xdr:col>
      <xdr:colOff>258536</xdr:colOff>
      <xdr:row>143</xdr:row>
      <xdr:rowOff>149678</xdr:rowOff>
    </xdr:from>
    <xdr:to>
      <xdr:col>37</xdr:col>
      <xdr:colOff>305120</xdr:colOff>
      <xdr:row>152</xdr:row>
      <xdr:rowOff>18914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2969A0D-C5F9-0938-D82A-A8C0F0EFC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009179" y="28643035"/>
          <a:ext cx="6192114" cy="16766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790575</xdr:colOff>
          <xdr:row>158</xdr:row>
          <xdr:rowOff>152400</xdr:rowOff>
        </xdr:from>
        <xdr:to>
          <xdr:col>4</xdr:col>
          <xdr:colOff>114300</xdr:colOff>
          <xdr:row>160</xdr:row>
          <xdr:rowOff>114300</xdr:rowOff>
        </xdr:to>
        <xdr:sp macro="" textlink="">
          <xdr:nvSpPr>
            <xdr:cNvPr id="3411" name="Button 339" hidden="1">
              <a:extLst>
                <a:ext uri="{63B3BB69-23CF-44E3-9099-C40C66FF867C}">
                  <a14:compatExt spid="_x0000_s3411"/>
                </a:ext>
                <a:ext uri="{FF2B5EF4-FFF2-40B4-BE49-F238E27FC236}">
                  <a16:creationId xmlns:a16="http://schemas.microsoft.com/office/drawing/2014/main" id="{00000000-0008-0000-0300-00005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Staad Final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67235</xdr:colOff>
      <xdr:row>34</xdr:row>
      <xdr:rowOff>155657</xdr:rowOff>
    </xdr:from>
    <xdr:to>
      <xdr:col>9</xdr:col>
      <xdr:colOff>784412</xdr:colOff>
      <xdr:row>51</xdr:row>
      <xdr:rowOff>60355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51C2406-6732-4B74-9B4D-1AE08D52B65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607514</xdr:colOff>
      <xdr:row>110</xdr:row>
      <xdr:rowOff>11206</xdr:rowOff>
    </xdr:from>
    <xdr:to>
      <xdr:col>10</xdr:col>
      <xdr:colOff>149502</xdr:colOff>
      <xdr:row>131</xdr:row>
      <xdr:rowOff>145677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4FE4CE86-3CC3-4F82-BE01-EF337AAF24B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211309</xdr:colOff>
      <xdr:row>110</xdr:row>
      <xdr:rowOff>11206</xdr:rowOff>
    </xdr:from>
    <xdr:to>
      <xdr:col>14</xdr:col>
      <xdr:colOff>672180</xdr:colOff>
      <xdr:row>131</xdr:row>
      <xdr:rowOff>147106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28540266-54B6-4444-906E-745ACDFF84A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933450</xdr:colOff>
          <xdr:row>138</xdr:row>
          <xdr:rowOff>114300</xdr:rowOff>
        </xdr:from>
        <xdr:to>
          <xdr:col>4</xdr:col>
          <xdr:colOff>371475</xdr:colOff>
          <xdr:row>140</xdr:row>
          <xdr:rowOff>95250</xdr:rowOff>
        </xdr:to>
        <xdr:sp macro="" textlink="">
          <xdr:nvSpPr>
            <xdr:cNvPr id="4032" name="Button 960" hidden="1">
              <a:extLst>
                <a:ext uri="{63B3BB69-23CF-44E3-9099-C40C66FF867C}">
                  <a14:compatExt spid="_x0000_s4032"/>
                </a:ext>
                <a:ext uri="{FF2B5EF4-FFF2-40B4-BE49-F238E27FC236}">
                  <a16:creationId xmlns:a16="http://schemas.microsoft.com/office/drawing/2014/main" id="{00000000-0008-0000-0300-0000C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Staad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895350</xdr:colOff>
          <xdr:row>86</xdr:row>
          <xdr:rowOff>114300</xdr:rowOff>
        </xdr:from>
        <xdr:to>
          <xdr:col>7</xdr:col>
          <xdr:colOff>523875</xdr:colOff>
          <xdr:row>88</xdr:row>
          <xdr:rowOff>123825</xdr:rowOff>
        </xdr:to>
        <xdr:sp macro="" textlink="">
          <xdr:nvSpPr>
            <xdr:cNvPr id="4034" name="Button 962" hidden="1">
              <a:extLst>
                <a:ext uri="{63B3BB69-23CF-44E3-9099-C40C66FF867C}">
                  <a14:compatExt spid="_x0000_s4034"/>
                </a:ext>
                <a:ext uri="{FF2B5EF4-FFF2-40B4-BE49-F238E27FC236}">
                  <a16:creationId xmlns:a16="http://schemas.microsoft.com/office/drawing/2014/main" id="{00000000-0008-0000-0300-0000C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Tabla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697231</xdr:colOff>
      <xdr:row>31</xdr:row>
      <xdr:rowOff>142929</xdr:rowOff>
    </xdr:from>
    <xdr:to>
      <xdr:col>35</xdr:col>
      <xdr:colOff>581250</xdr:colOff>
      <xdr:row>43</xdr:row>
      <xdr:rowOff>212743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D38863A7-3B9B-E373-52DC-2DA2672C7A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9525</xdr:rowOff>
        </xdr:from>
        <xdr:to>
          <xdr:col>12</xdr:col>
          <xdr:colOff>781050</xdr:colOff>
          <xdr:row>1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127591</xdr:colOff>
      <xdr:row>19</xdr:row>
      <xdr:rowOff>148321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67E8338-66FC-496A-815C-FC3086E379A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233362</xdr:colOff>
      <xdr:row>7</xdr:row>
      <xdr:rowOff>61912</xdr:rowOff>
    </xdr:from>
    <xdr:to>
      <xdr:col>11</xdr:col>
      <xdr:colOff>71437</xdr:colOff>
      <xdr:row>21</xdr:row>
      <xdr:rowOff>138112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1786F06-A0B1-7B42-75F8-ACE9BCC1954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209550</xdr:colOff>
      <xdr:row>22</xdr:row>
      <xdr:rowOff>95250</xdr:rowOff>
    </xdr:from>
    <xdr:to>
      <xdr:col>11</xdr:col>
      <xdr:colOff>47625</xdr:colOff>
      <xdr:row>36</xdr:row>
      <xdr:rowOff>171450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96ED1E7-02B5-4418-B516-A50076F7B47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96970</xdr:colOff>
      <xdr:row>4</xdr:row>
      <xdr:rowOff>70184</xdr:rowOff>
    </xdr:from>
    <xdr:to>
      <xdr:col>1</xdr:col>
      <xdr:colOff>1084435</xdr:colOff>
      <xdr:row>4</xdr:row>
      <xdr:rowOff>1083681</xdr:rowOff>
    </xdr:to>
    <xdr:pic>
      <xdr:nvPicPr>
        <xdr:cNvPr id="2" name="MX">
          <a:extLst>
            <a:ext uri="{FF2B5EF4-FFF2-40B4-BE49-F238E27FC236}">
              <a16:creationId xmlns:a16="http://schemas.microsoft.com/office/drawing/2014/main" id="{09633F83-1AED-4E83-9FE1-ABC154EDF7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3920" t="3915" r="3691" b="3082"/>
        <a:stretch/>
      </xdr:blipFill>
      <xdr:spPr>
        <a:xfrm>
          <a:off x="950410" y="3499184"/>
          <a:ext cx="1000800" cy="1011592"/>
        </a:xfrm>
        <a:prstGeom prst="rect">
          <a:avLst/>
        </a:prstGeom>
      </xdr:spPr>
    </xdr:pic>
    <xdr:clientData/>
  </xdr:twoCellAnchor>
  <xdr:twoCellAnchor editAs="oneCell">
    <xdr:from>
      <xdr:col>1</xdr:col>
      <xdr:colOff>95491</xdr:colOff>
      <xdr:row>6</xdr:row>
      <xdr:rowOff>98751</xdr:rowOff>
    </xdr:from>
    <xdr:to>
      <xdr:col>1</xdr:col>
      <xdr:colOff>1085335</xdr:colOff>
      <xdr:row>6</xdr:row>
      <xdr:rowOff>1088121</xdr:rowOff>
    </xdr:to>
    <xdr:pic>
      <xdr:nvPicPr>
        <xdr:cNvPr id="3" name="PGY">
          <a:extLst>
            <a:ext uri="{FF2B5EF4-FFF2-40B4-BE49-F238E27FC236}">
              <a16:creationId xmlns:a16="http://schemas.microsoft.com/office/drawing/2014/main" id="{3AE9DF2C-A7CF-4FC1-A8C1-1A13D70B1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31" y="5813751"/>
          <a:ext cx="1003179" cy="1000800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96004</xdr:colOff>
      <xdr:row>5</xdr:row>
      <xdr:rowOff>48852</xdr:rowOff>
    </xdr:from>
    <xdr:to>
      <xdr:col>1</xdr:col>
      <xdr:colOff>1089346</xdr:colOff>
      <xdr:row>5</xdr:row>
      <xdr:rowOff>1047747</xdr:rowOff>
    </xdr:to>
    <xdr:pic>
      <xdr:nvPicPr>
        <xdr:cNvPr id="4" name="PR">
          <a:extLst>
            <a:ext uri="{FF2B5EF4-FFF2-40B4-BE49-F238E27FC236}">
              <a16:creationId xmlns:a16="http://schemas.microsoft.com/office/drawing/2014/main" id="{958D67FF-E203-4DA2-975B-E14952EDA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949444" y="4620852"/>
          <a:ext cx="993342" cy="100080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1</xdr:row>
      <xdr:rowOff>57150</xdr:rowOff>
    </xdr:from>
    <xdr:to>
      <xdr:col>1</xdr:col>
      <xdr:colOff>1084620</xdr:colOff>
      <xdr:row>1</xdr:row>
      <xdr:rowOff>1066917</xdr:rowOff>
    </xdr:to>
    <xdr:pic>
      <xdr:nvPicPr>
        <xdr:cNvPr id="5" name="Picture 4" descr="A picture containing vector graphics&#10;&#10;Description automatically generated">
          <a:extLst>
            <a:ext uri="{FF2B5EF4-FFF2-40B4-BE49-F238E27FC236}">
              <a16:creationId xmlns:a16="http://schemas.microsoft.com/office/drawing/2014/main" id="{EED91D9D-8441-431F-AF2C-C28FFCC2A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4111" b="93667" l="4000" r="96111">
                      <a14:foregroundMark x1="72111" y1="28444" x2="72111" y2="28444"/>
                      <a14:foregroundMark x1="61889" y1="9111" x2="61889" y2="9111"/>
                      <a14:foregroundMark x1="59778" y1="6444" x2="59778" y2="6444"/>
                      <a14:foregroundMark x1="74778" y1="13556" x2="74778" y2="14111"/>
                      <a14:foregroundMark x1="82444" y1="23667" x2="83111" y2="24778"/>
                      <a14:foregroundMark x1="88889" y1="32556" x2="89222" y2="33667"/>
                      <a14:foregroundMark x1="94444" y1="42444" x2="94444" y2="43111"/>
                      <a14:foregroundMark x1="94222" y1="48000" x2="94222" y2="48667"/>
                      <a14:foregroundMark x1="93000" y1="50556" x2="91333" y2="50556"/>
                      <a14:foregroundMark x1="82222" y1="50222" x2="81444" y2="49444"/>
                      <a14:foregroundMark x1="79222" y1="46333" x2="78667" y2="45556"/>
                      <a14:foregroundMark x1="76889" y1="43000" x2="75889" y2="41444"/>
                      <a14:foregroundMark x1="74667" y1="37556" x2="73000" y2="34222"/>
                      <a14:foregroundMark x1="69778" y1="28000" x2="66667" y2="25000"/>
                      <a14:foregroundMark x1="60333" y1="18111" x2="59778" y2="17222"/>
                      <a14:foregroundMark x1="58111" y1="14444" x2="56889" y2="13000"/>
                      <a14:foregroundMark x1="54667" y1="12000" x2="56667" y2="30556"/>
                      <a14:foregroundMark x1="56667" y1="30556" x2="60444" y2="38111"/>
                      <a14:foregroundMark x1="60444" y1="38111" x2="60889" y2="38556"/>
                      <a14:foregroundMark x1="75000" y1="35778" x2="72556" y2="29000"/>
                      <a14:foregroundMark x1="72556" y1="29000" x2="65667" y2="24222"/>
                      <a14:foregroundMark x1="65667" y1="24222" x2="58111" y2="23111"/>
                      <a14:foregroundMark x1="58111" y1="23111" x2="52889" y2="29222"/>
                      <a14:foregroundMark x1="52889" y1="29222" x2="57333" y2="36556"/>
                      <a14:foregroundMark x1="57333" y1="36556" x2="65111" y2="39111"/>
                      <a14:foregroundMark x1="65111" y1="39111" x2="73333" y2="38778"/>
                      <a14:foregroundMark x1="73333" y1="38778" x2="78333" y2="28444"/>
                      <a14:foregroundMark x1="78333" y1="28444" x2="74444" y2="22556"/>
                      <a14:foregroundMark x1="74444" y1="22556" x2="67111" y2="17667"/>
                      <a14:foregroundMark x1="67111" y1="17667" x2="59111" y2="26000"/>
                      <a14:foregroundMark x1="59111" y1="26000" x2="58000" y2="32889"/>
                      <a14:foregroundMark x1="58000" y1="32889" x2="67111" y2="40444"/>
                      <a14:foregroundMark x1="67111" y1="40444" x2="74889" y2="31778"/>
                      <a14:foregroundMark x1="74889" y1="31778" x2="76111" y2="21333"/>
                      <a14:foregroundMark x1="76111" y1="21333" x2="74000" y2="14667"/>
                      <a14:foregroundMark x1="74000" y1="14667" x2="63556" y2="11667"/>
                      <a14:foregroundMark x1="63556" y1="11667" x2="54889" y2="17778"/>
                      <a14:foregroundMark x1="54889" y1="17778" x2="53000" y2="25889"/>
                      <a14:foregroundMark x1="53000" y1="25889" x2="54111" y2="33000"/>
                      <a14:foregroundMark x1="54111" y1="33000" x2="64556" y2="39667"/>
                      <a14:foregroundMark x1="64556" y1="39667" x2="74111" y2="33444"/>
                      <a14:foregroundMark x1="74111" y1="33444" x2="75222" y2="26000"/>
                      <a14:foregroundMark x1="75222" y1="26000" x2="65333" y2="20667"/>
                      <a14:foregroundMark x1="65333" y1="20667" x2="57111" y2="25444"/>
                      <a14:foregroundMark x1="57111" y1="25444" x2="54556" y2="39333"/>
                      <a14:foregroundMark x1="54556" y1="39333" x2="58667" y2="54444"/>
                      <a14:foregroundMark x1="58667" y1="54444" x2="65889" y2="55000"/>
                      <a14:foregroundMark x1="80778" y1="44111" x2="80778" y2="44111"/>
                      <a14:foregroundMark x1="88333" y1="44222" x2="87000" y2="40778"/>
                      <a14:foregroundMark x1="86889" y1="38667" x2="86111" y2="37778"/>
                      <a14:foregroundMark x1="82556" y1="32778" x2="72889" y2="38333"/>
                      <a14:foregroundMark x1="72889" y1="38333" x2="74000" y2="46222"/>
                      <a14:foregroundMark x1="74000" y1="46222" x2="82889" y2="45000"/>
                      <a14:foregroundMark x1="82889" y1="45000" x2="86667" y2="36889"/>
                      <a14:foregroundMark x1="86667" y1="36889" x2="82778" y2="46889"/>
                      <a14:foregroundMark x1="82778" y1="46889" x2="62667" y2="48556"/>
                      <a14:foregroundMark x1="62667" y1="48556" x2="60778" y2="47778"/>
                      <a14:foregroundMark x1="76111" y1="48333" x2="67222" y2="48222"/>
                      <a14:foregroundMark x1="67222" y1="48222" x2="78222" y2="43111"/>
                      <a14:foregroundMark x1="78222" y1="43111" x2="82556" y2="43556"/>
                      <a14:foregroundMark x1="90556" y1="46889" x2="91667" y2="39222"/>
                      <a14:foregroundMark x1="91667" y1="39222" x2="79111" y2="18667"/>
                      <a14:foregroundMark x1="79111" y1="18667" x2="66778" y2="10556"/>
                      <a14:foregroundMark x1="66778" y1="10556" x2="53667" y2="7778"/>
                      <a14:foregroundMark x1="44111" y1="6111" x2="44111" y2="6111"/>
                      <a14:foregroundMark x1="35000" y1="8333" x2="35000" y2="8333"/>
                      <a14:foregroundMark x1="28556" y1="11444" x2="27222" y2="12000"/>
                      <a14:foregroundMark x1="45000" y1="14667" x2="18444" y2="32222"/>
                      <a14:foregroundMark x1="18444" y1="32222" x2="11556" y2="41111"/>
                      <a14:foregroundMark x1="11556" y1="41111" x2="13111" y2="48111"/>
                      <a14:foregroundMark x1="13111" y1="48111" x2="27222" y2="53333"/>
                      <a14:foregroundMark x1="27222" y1="53333" x2="37111" y2="49778"/>
                      <a14:foregroundMark x1="37111" y1="49778" x2="45222" y2="41333"/>
                      <a14:foregroundMark x1="45222" y1="41333" x2="46889" y2="33556"/>
                      <a14:foregroundMark x1="46889" y1="33556" x2="45222" y2="27556"/>
                      <a14:foregroundMark x1="37222" y1="27444" x2="37222" y2="27444"/>
                      <a14:foregroundMark x1="43000" y1="24444" x2="42444" y2="24222"/>
                      <a14:foregroundMark x1="31667" y1="30778" x2="28111" y2="36778"/>
                      <a14:foregroundMark x1="28111" y1="36778" x2="27333" y2="43778"/>
                      <a14:foregroundMark x1="27333" y1="43778" x2="32667" y2="49111"/>
                      <a14:foregroundMark x1="32667" y1="49111" x2="38667" y2="45333"/>
                      <a14:foregroundMark x1="38667" y1="45333" x2="38667" y2="45333"/>
                      <a14:foregroundMark x1="46889" y1="26333" x2="35778" y2="26889"/>
                      <a14:foregroundMark x1="35778" y1="26889" x2="29444" y2="31333"/>
                      <a14:foregroundMark x1="29444" y1="31333" x2="26000" y2="41222"/>
                      <a14:foregroundMark x1="26000" y1="41222" x2="26667" y2="43000"/>
                      <a14:foregroundMark x1="49778" y1="48000" x2="43556" y2="46333"/>
                      <a14:foregroundMark x1="22556" y1="22222" x2="19222" y2="26333"/>
                      <a14:foregroundMark x1="21333" y1="15778" x2="18000" y2="18667"/>
                      <a14:foregroundMark x1="15222" y1="24667" x2="7667" y2="47778"/>
                      <a14:foregroundMark x1="7667" y1="47778" x2="8333" y2="62889"/>
                      <a14:foregroundMark x1="8333" y1="62889" x2="10667" y2="70000"/>
                      <a14:foregroundMark x1="10667" y1="70000" x2="11111" y2="70556"/>
                      <a14:foregroundMark x1="44222" y1="92556" x2="58333" y2="93667"/>
                      <a14:foregroundMark x1="93000" y1="38889" x2="86333" y2="25111"/>
                      <a14:foregroundMark x1="86333" y1="25111" x2="79444" y2="16667"/>
                      <a14:foregroundMark x1="66889" y1="9111" x2="52333" y2="5556"/>
                      <a14:foregroundMark x1="52333" y1="5556" x2="47556" y2="5556"/>
                      <a14:foregroundMark x1="12667" y1="22667" x2="12667" y2="22667"/>
                      <a14:foregroundMark x1="4222" y1="54000" x2="4556" y2="50556"/>
                      <a14:foregroundMark x1="88000" y1="24111" x2="88000" y2="24111"/>
                      <a14:foregroundMark x1="89000" y1="25333" x2="89000" y2="25333"/>
                      <a14:foregroundMark x1="75444" y1="11444" x2="75444" y2="11444"/>
                      <a14:foregroundMark x1="59111" y1="4889" x2="59111" y2="4889"/>
                      <a14:foregroundMark x1="96222" y1="49444" x2="96222" y2="49444"/>
                      <a14:foregroundMark x1="53444" y1="4111" x2="53444" y2="4111"/>
                      <a14:foregroundMark x1="44889" y1="5222" x2="44889" y2="5222"/>
                      <a14:foregroundMark x1="43000" y1="6444" x2="26444" y2="12111"/>
                      <a14:foregroundMark x1="59778" y1="5333" x2="59778" y2="5333"/>
                      <a14:foregroundMark x1="60222" y1="5222" x2="60222" y2="5222"/>
                      <a14:foregroundMark x1="76444" y1="12556" x2="76444" y2="12556"/>
                      <a14:foregroundMark x1="79444" y1="15000" x2="79444" y2="15000"/>
                      <a14:foregroundMark x1="92667" y1="33111" x2="92667" y2="33111"/>
                      <a14:foregroundMark x1="93444" y1="35000" x2="93444" y2="35000"/>
                      <a14:foregroundMark x1="93556" y1="34333" x2="93556" y2="34333"/>
                      <a14:foregroundMark x1="85556" y1="20889" x2="85556" y2="20889"/>
                      <a14:foregroundMark x1="88111" y1="23778" x2="88111" y2="23778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39165" y="57150"/>
          <a:ext cx="1000800" cy="1013577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64729</xdr:colOff>
      <xdr:row>3</xdr:row>
      <xdr:rowOff>118152</xdr:rowOff>
    </xdr:from>
    <xdr:to>
      <xdr:col>1</xdr:col>
      <xdr:colOff>1085481</xdr:colOff>
      <xdr:row>3</xdr:row>
      <xdr:rowOff>1124667</xdr:rowOff>
    </xdr:to>
    <xdr:pic>
      <xdr:nvPicPr>
        <xdr:cNvPr id="6" name="Picture 5" descr="A drawing of a cartoon character&#10;&#10;Description automatically generated">
          <a:extLst>
            <a:ext uri="{FF2B5EF4-FFF2-40B4-BE49-F238E27FC236}">
              <a16:creationId xmlns:a16="http://schemas.microsoft.com/office/drawing/2014/main" id="{FCF552A0-E971-416F-8868-1D805EFDD2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3912" t="5246" r="2975" b="1100"/>
        <a:stretch/>
      </xdr:blipFill>
      <xdr:spPr>
        <a:xfrm>
          <a:off x="918169" y="2404152"/>
          <a:ext cx="1037897" cy="1000800"/>
        </a:xfrm>
        <a:prstGeom prst="rect">
          <a:avLst/>
        </a:prstGeom>
      </xdr:spPr>
    </xdr:pic>
    <xdr:clientData/>
  </xdr:twoCellAnchor>
  <xdr:twoCellAnchor editAs="oneCell">
    <xdr:from>
      <xdr:col>1</xdr:col>
      <xdr:colOff>57331</xdr:colOff>
      <xdr:row>2</xdr:row>
      <xdr:rowOff>76703</xdr:rowOff>
    </xdr:from>
    <xdr:to>
      <xdr:col>1</xdr:col>
      <xdr:colOff>1050511</xdr:colOff>
      <xdr:row>2</xdr:row>
      <xdr:rowOff>1046474</xdr:rowOff>
    </xdr:to>
    <xdr:pic>
      <xdr:nvPicPr>
        <xdr:cNvPr id="7" name="Picture 6" descr="A picture containing clipart&#10;&#10;Description automatically generated">
          <a:extLst>
            <a:ext uri="{FF2B5EF4-FFF2-40B4-BE49-F238E27FC236}">
              <a16:creationId xmlns:a16="http://schemas.microsoft.com/office/drawing/2014/main" id="{68E9AE44-C6D4-4F73-8D21-718C76596F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7917" b="92500" l="10000" r="90000">
                      <a14:foregroundMark x1="57556" y1="8542" x2="42222" y2="7917"/>
                      <a14:foregroundMark x1="57667" y1="90417" x2="48333" y2="93750"/>
                      <a14:foregroundMark x1="48333" y1="93750" x2="43889" y2="92500"/>
                      <a14:foregroundMark x1="43889" y1="92500" x2="43556" y2="91667"/>
                    </a14:backgroundRemoval>
                  </a14:imgEffect>
                </a14:imgLayer>
              </a14:imgProps>
            </a:ext>
          </a:extLst>
        </a:blip>
        <a:srcRect l="25167" t="3907" r="25116" b="4688"/>
        <a:stretch/>
      </xdr:blipFill>
      <xdr:spPr>
        <a:xfrm>
          <a:off x="910771" y="1219703"/>
          <a:ext cx="1000800" cy="979296"/>
        </a:xfrm>
        <a:prstGeom prst="rect">
          <a:avLst/>
        </a:prstGeom>
      </xdr:spPr>
    </xdr:pic>
    <xdr:clientData/>
  </xdr:twoCellAnchor>
  <xdr:twoCellAnchor editAs="oneCell">
    <xdr:from>
      <xdr:col>1</xdr:col>
      <xdr:colOff>92996</xdr:colOff>
      <xdr:row>7</xdr:row>
      <xdr:rowOff>65183</xdr:rowOff>
    </xdr:from>
    <xdr:to>
      <xdr:col>1</xdr:col>
      <xdr:colOff>1084271</xdr:colOff>
      <xdr:row>7</xdr:row>
      <xdr:rowOff>1064078</xdr:rowOff>
    </xdr:to>
    <xdr:pic>
      <xdr:nvPicPr>
        <xdr:cNvPr id="8" name="ARG">
          <a:extLst>
            <a:ext uri="{FF2B5EF4-FFF2-40B4-BE49-F238E27FC236}">
              <a16:creationId xmlns:a16="http://schemas.microsoft.com/office/drawing/2014/main" id="{A86BA38C-14F5-4AD7-9461-A7DB894BD2E7}"/>
            </a:ext>
          </a:extLst>
        </xdr:cNvPr>
        <xdr:cNvPicPr/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2"/>
            </a:ext>
          </a:extLst>
        </a:blip>
        <a:srcRect l="16369" r="16801"/>
        <a:stretch/>
      </xdr:blipFill>
      <xdr:spPr>
        <a:xfrm>
          <a:off x="946436" y="6923183"/>
          <a:ext cx="1000800" cy="1000800"/>
        </a:xfrm>
        <a:prstGeom prst="ellipse">
          <a:avLst/>
        </a:prstGeom>
        <a:ln w="190500" cap="rnd">
          <a:noFill/>
          <a:prstDash val="solid"/>
        </a:ln>
        <a:effectLst/>
        <a:scene3d>
          <a:camera prst="perspectiveFront" fov="5400000"/>
          <a:lightRig rig="threePt" dir="t">
            <a:rot lat="0" lon="0" rev="19200000"/>
          </a:lightRig>
        </a:scene3d>
        <a:sp3d extrusionH="25400">
          <a:extrusionClr>
            <a:srgbClr val="000000"/>
          </a:extrusionClr>
        </a:sp3d>
      </xdr:spPr>
    </xdr:pic>
    <xdr:clientData/>
  </xdr:twoCellAnchor>
  <xdr:oneCellAnchor>
    <xdr:from>
      <xdr:col>5</xdr:col>
      <xdr:colOff>85725</xdr:colOff>
      <xdr:row>1</xdr:row>
      <xdr:rowOff>57150</xdr:rowOff>
    </xdr:from>
    <xdr:ext cx="998895" cy="1009767"/>
    <xdr:pic>
      <xdr:nvPicPr>
        <xdr:cNvPr id="9" name="Picture 4" descr="A picture containing vector graphics&#10;&#10;Description automatically generated">
          <a:extLst>
            <a:ext uri="{FF2B5EF4-FFF2-40B4-BE49-F238E27FC236}">
              <a16:creationId xmlns:a16="http://schemas.microsoft.com/office/drawing/2014/main" id="{4581DEE8-6B1F-403C-879A-84C1D3461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4111" b="93667" l="4000" r="96111">
                      <a14:foregroundMark x1="72111" y1="28444" x2="72111" y2="28444"/>
                      <a14:foregroundMark x1="61889" y1="9111" x2="61889" y2="9111"/>
                      <a14:foregroundMark x1="59778" y1="6444" x2="59778" y2="6444"/>
                      <a14:foregroundMark x1="74778" y1="13556" x2="74778" y2="14111"/>
                      <a14:foregroundMark x1="82444" y1="23667" x2="83111" y2="24778"/>
                      <a14:foregroundMark x1="88889" y1="32556" x2="89222" y2="33667"/>
                      <a14:foregroundMark x1="94444" y1="42444" x2="94444" y2="43111"/>
                      <a14:foregroundMark x1="94222" y1="48000" x2="94222" y2="48667"/>
                      <a14:foregroundMark x1="93000" y1="50556" x2="91333" y2="50556"/>
                      <a14:foregroundMark x1="82222" y1="50222" x2="81444" y2="49444"/>
                      <a14:foregroundMark x1="79222" y1="46333" x2="78667" y2="45556"/>
                      <a14:foregroundMark x1="76889" y1="43000" x2="75889" y2="41444"/>
                      <a14:foregroundMark x1="74667" y1="37556" x2="73000" y2="34222"/>
                      <a14:foregroundMark x1="69778" y1="28000" x2="66667" y2="25000"/>
                      <a14:foregroundMark x1="60333" y1="18111" x2="59778" y2="17222"/>
                      <a14:foregroundMark x1="58111" y1="14444" x2="56889" y2="13000"/>
                      <a14:foregroundMark x1="54667" y1="12000" x2="56667" y2="30556"/>
                      <a14:foregroundMark x1="56667" y1="30556" x2="60444" y2="38111"/>
                      <a14:foregroundMark x1="60444" y1="38111" x2="60889" y2="38556"/>
                      <a14:foregroundMark x1="75000" y1="35778" x2="72556" y2="29000"/>
                      <a14:foregroundMark x1="72556" y1="29000" x2="65667" y2="24222"/>
                      <a14:foregroundMark x1="65667" y1="24222" x2="58111" y2="23111"/>
                      <a14:foregroundMark x1="58111" y1="23111" x2="52889" y2="29222"/>
                      <a14:foregroundMark x1="52889" y1="29222" x2="57333" y2="36556"/>
                      <a14:foregroundMark x1="57333" y1="36556" x2="65111" y2="39111"/>
                      <a14:foregroundMark x1="65111" y1="39111" x2="73333" y2="38778"/>
                      <a14:foregroundMark x1="73333" y1="38778" x2="78333" y2="28444"/>
                      <a14:foregroundMark x1="78333" y1="28444" x2="74444" y2="22556"/>
                      <a14:foregroundMark x1="74444" y1="22556" x2="67111" y2="17667"/>
                      <a14:foregroundMark x1="67111" y1="17667" x2="59111" y2="26000"/>
                      <a14:foregroundMark x1="59111" y1="26000" x2="58000" y2="32889"/>
                      <a14:foregroundMark x1="58000" y1="32889" x2="67111" y2="40444"/>
                      <a14:foregroundMark x1="67111" y1="40444" x2="74889" y2="31778"/>
                      <a14:foregroundMark x1="74889" y1="31778" x2="76111" y2="21333"/>
                      <a14:foregroundMark x1="76111" y1="21333" x2="74000" y2="14667"/>
                      <a14:foregroundMark x1="74000" y1="14667" x2="63556" y2="11667"/>
                      <a14:foregroundMark x1="63556" y1="11667" x2="54889" y2="17778"/>
                      <a14:foregroundMark x1="54889" y1="17778" x2="53000" y2="25889"/>
                      <a14:foregroundMark x1="53000" y1="25889" x2="54111" y2="33000"/>
                      <a14:foregroundMark x1="54111" y1="33000" x2="64556" y2="39667"/>
                      <a14:foregroundMark x1="64556" y1="39667" x2="74111" y2="33444"/>
                      <a14:foregroundMark x1="74111" y1="33444" x2="75222" y2="26000"/>
                      <a14:foregroundMark x1="75222" y1="26000" x2="65333" y2="20667"/>
                      <a14:foregroundMark x1="65333" y1="20667" x2="57111" y2="25444"/>
                      <a14:foregroundMark x1="57111" y1="25444" x2="54556" y2="39333"/>
                      <a14:foregroundMark x1="54556" y1="39333" x2="58667" y2="54444"/>
                      <a14:foregroundMark x1="58667" y1="54444" x2="65889" y2="55000"/>
                      <a14:foregroundMark x1="80778" y1="44111" x2="80778" y2="44111"/>
                      <a14:foregroundMark x1="88333" y1="44222" x2="87000" y2="40778"/>
                      <a14:foregroundMark x1="86889" y1="38667" x2="86111" y2="37778"/>
                      <a14:foregroundMark x1="82556" y1="32778" x2="72889" y2="38333"/>
                      <a14:foregroundMark x1="72889" y1="38333" x2="74000" y2="46222"/>
                      <a14:foregroundMark x1="74000" y1="46222" x2="82889" y2="45000"/>
                      <a14:foregroundMark x1="82889" y1="45000" x2="86667" y2="36889"/>
                      <a14:foregroundMark x1="86667" y1="36889" x2="82778" y2="46889"/>
                      <a14:foregroundMark x1="82778" y1="46889" x2="62667" y2="48556"/>
                      <a14:foregroundMark x1="62667" y1="48556" x2="60778" y2="47778"/>
                      <a14:foregroundMark x1="76111" y1="48333" x2="67222" y2="48222"/>
                      <a14:foregroundMark x1="67222" y1="48222" x2="78222" y2="43111"/>
                      <a14:foregroundMark x1="78222" y1="43111" x2="82556" y2="43556"/>
                      <a14:foregroundMark x1="90556" y1="46889" x2="91667" y2="39222"/>
                      <a14:foregroundMark x1="91667" y1="39222" x2="79111" y2="18667"/>
                      <a14:foregroundMark x1="79111" y1="18667" x2="66778" y2="10556"/>
                      <a14:foregroundMark x1="66778" y1="10556" x2="53667" y2="7778"/>
                      <a14:foregroundMark x1="44111" y1="6111" x2="44111" y2="6111"/>
                      <a14:foregroundMark x1="35000" y1="8333" x2="35000" y2="8333"/>
                      <a14:foregroundMark x1="28556" y1="11444" x2="27222" y2="12000"/>
                      <a14:foregroundMark x1="45000" y1="14667" x2="18444" y2="32222"/>
                      <a14:foregroundMark x1="18444" y1="32222" x2="11556" y2="41111"/>
                      <a14:foregroundMark x1="11556" y1="41111" x2="13111" y2="48111"/>
                      <a14:foregroundMark x1="13111" y1="48111" x2="27222" y2="53333"/>
                      <a14:foregroundMark x1="27222" y1="53333" x2="37111" y2="49778"/>
                      <a14:foregroundMark x1="37111" y1="49778" x2="45222" y2="41333"/>
                      <a14:foregroundMark x1="45222" y1="41333" x2="46889" y2="33556"/>
                      <a14:foregroundMark x1="46889" y1="33556" x2="45222" y2="27556"/>
                      <a14:foregroundMark x1="37222" y1="27444" x2="37222" y2="27444"/>
                      <a14:foregroundMark x1="43000" y1="24444" x2="42444" y2="24222"/>
                      <a14:foregroundMark x1="31667" y1="30778" x2="28111" y2="36778"/>
                      <a14:foregroundMark x1="28111" y1="36778" x2="27333" y2="43778"/>
                      <a14:foregroundMark x1="27333" y1="43778" x2="32667" y2="49111"/>
                      <a14:foregroundMark x1="32667" y1="49111" x2="38667" y2="45333"/>
                      <a14:foregroundMark x1="38667" y1="45333" x2="38667" y2="45333"/>
                      <a14:foregroundMark x1="46889" y1="26333" x2="35778" y2="26889"/>
                      <a14:foregroundMark x1="35778" y1="26889" x2="29444" y2="31333"/>
                      <a14:foregroundMark x1="29444" y1="31333" x2="26000" y2="41222"/>
                      <a14:foregroundMark x1="26000" y1="41222" x2="26667" y2="43000"/>
                      <a14:foregroundMark x1="49778" y1="48000" x2="43556" y2="46333"/>
                      <a14:foregroundMark x1="22556" y1="22222" x2="19222" y2="26333"/>
                      <a14:foregroundMark x1="21333" y1="15778" x2="18000" y2="18667"/>
                      <a14:foregroundMark x1="15222" y1="24667" x2="7667" y2="47778"/>
                      <a14:foregroundMark x1="7667" y1="47778" x2="8333" y2="62889"/>
                      <a14:foregroundMark x1="8333" y1="62889" x2="10667" y2="70000"/>
                      <a14:foregroundMark x1="10667" y1="70000" x2="11111" y2="70556"/>
                      <a14:foregroundMark x1="44222" y1="92556" x2="58333" y2="93667"/>
                      <a14:foregroundMark x1="93000" y1="38889" x2="86333" y2="25111"/>
                      <a14:foregroundMark x1="86333" y1="25111" x2="79444" y2="16667"/>
                      <a14:foregroundMark x1="66889" y1="9111" x2="52333" y2="5556"/>
                      <a14:foregroundMark x1="52333" y1="5556" x2="47556" y2="5556"/>
                      <a14:foregroundMark x1="12667" y1="22667" x2="12667" y2="22667"/>
                      <a14:foregroundMark x1="4222" y1="54000" x2="4556" y2="50556"/>
                      <a14:foregroundMark x1="88000" y1="24111" x2="88000" y2="24111"/>
                      <a14:foregroundMark x1="89000" y1="25333" x2="89000" y2="25333"/>
                      <a14:foregroundMark x1="75444" y1="11444" x2="75444" y2="11444"/>
                      <a14:foregroundMark x1="59111" y1="4889" x2="59111" y2="4889"/>
                      <a14:foregroundMark x1="96222" y1="49444" x2="96222" y2="49444"/>
                      <a14:foregroundMark x1="53444" y1="4111" x2="53444" y2="4111"/>
                      <a14:foregroundMark x1="44889" y1="5222" x2="44889" y2="5222"/>
                      <a14:foregroundMark x1="43000" y1="6444" x2="26444" y2="12111"/>
                      <a14:foregroundMark x1="59778" y1="5333" x2="59778" y2="5333"/>
                      <a14:foregroundMark x1="60222" y1="5222" x2="60222" y2="5222"/>
                      <a14:foregroundMark x1="76444" y1="12556" x2="76444" y2="12556"/>
                      <a14:foregroundMark x1="79444" y1="15000" x2="79444" y2="15000"/>
                      <a14:foregroundMark x1="92667" y1="33111" x2="92667" y2="33111"/>
                      <a14:foregroundMark x1="93444" y1="35000" x2="93444" y2="35000"/>
                      <a14:foregroundMark x1="93556" y1="34333" x2="93556" y2="34333"/>
                      <a14:foregroundMark x1="85556" y1="20889" x2="85556" y2="20889"/>
                      <a14:foregroundMark x1="88111" y1="23778" x2="88111" y2="23778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39165" y="217170"/>
          <a:ext cx="998895" cy="1009767"/>
        </a:xfrm>
        <a:prstGeom prst="rect">
          <a:avLst/>
        </a:prstGeom>
        <a:effectLst/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tconline.sharepoint.com/:v:/r/sites/LATAM_SISO/Herramientas%20de%20Dise%C3%B1o/Respaldo%20hojas%20de%20c%C3%A1lculo%20LATAM/Cimentaciones%20TIA-H/Fundaciones%20FEM/Explicaci%C3%B3n/Versi%C3%B3n%201.6%20FEM-20251215.mp4?csf=1&amp;web=1&amp;e=M7FbHS" TargetMode="External"/><Relationship Id="rId1" Type="http://schemas.openxmlformats.org/officeDocument/2006/relationships/hyperlink" Target="https://atconline.sharepoint.com/:v:/s/LATAM_SISO/EZa90LfQ4dlGpfHQ473H7qgBY_WDqzbtxxEQjyx5h8aaRw?e=a24YJs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juan.espinosa@americantower.com" TargetMode="Externa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256C8-D53E-418E-84EA-CDCEC01B3B12}">
  <sheetPr codeName="Hoja10">
    <pageSetUpPr fitToPage="1"/>
  </sheetPr>
  <dimension ref="B1:K30"/>
  <sheetViews>
    <sheetView showGridLines="0" workbookViewId="0">
      <selection activeCell="B24" sqref="B24:B25"/>
    </sheetView>
  </sheetViews>
  <sheetFormatPr baseColWidth="10" defaultColWidth="11.42578125" defaultRowHeight="15" x14ac:dyDescent="0.25"/>
  <cols>
    <col min="1" max="1" width="3.140625" customWidth="1"/>
    <col min="2" max="2" width="13.7109375" customWidth="1"/>
    <col min="7" max="7" width="9.85546875" customWidth="1"/>
    <col min="8" max="8" width="15.7109375" customWidth="1"/>
    <col min="9" max="9" width="12.7109375" customWidth="1"/>
    <col min="11" max="11" width="14.28515625" bestFit="1" customWidth="1"/>
  </cols>
  <sheetData>
    <row r="1" spans="2:11" ht="4.5" customHeight="1" thickBot="1" x14ac:dyDescent="0.3">
      <c r="K1" s="224">
        <v>46212.903217592589</v>
      </c>
    </row>
    <row r="2" spans="2:11" ht="15" customHeight="1" thickBot="1" x14ac:dyDescent="0.3">
      <c r="B2" s="60"/>
      <c r="C2" s="61"/>
      <c r="D2" s="279" t="s">
        <v>0</v>
      </c>
      <c r="E2" s="280"/>
      <c r="F2" s="280"/>
      <c r="G2" s="280"/>
      <c r="H2" s="281"/>
      <c r="I2" s="271" t="s">
        <v>1</v>
      </c>
    </row>
    <row r="3" spans="2:11" x14ac:dyDescent="0.25">
      <c r="B3" s="62"/>
      <c r="C3" s="63"/>
      <c r="D3" s="273" t="s">
        <v>2</v>
      </c>
      <c r="E3" s="274"/>
      <c r="F3" s="274"/>
      <c r="G3" s="274"/>
      <c r="H3" s="275"/>
      <c r="I3" s="272"/>
    </row>
    <row r="4" spans="2:11" ht="15.75" thickBot="1" x14ac:dyDescent="0.3">
      <c r="B4" s="64"/>
      <c r="C4" s="65"/>
      <c r="D4" s="276"/>
      <c r="E4" s="277"/>
      <c r="F4" s="277"/>
      <c r="G4" s="277"/>
      <c r="H4" s="278"/>
      <c r="I4" s="82" t="s">
        <v>759</v>
      </c>
    </row>
    <row r="5" spans="2:11" ht="15.75" thickBot="1" x14ac:dyDescent="0.3"/>
    <row r="6" spans="2:11" x14ac:dyDescent="0.25">
      <c r="B6" s="282" t="s">
        <v>3</v>
      </c>
      <c r="C6" s="283"/>
      <c r="D6" s="283"/>
      <c r="E6" s="283"/>
      <c r="F6" s="283"/>
      <c r="G6" s="283"/>
      <c r="H6" s="283"/>
      <c r="I6" s="284"/>
    </row>
    <row r="7" spans="2:11" ht="15.75" thickBot="1" x14ac:dyDescent="0.3">
      <c r="B7" s="285"/>
      <c r="C7" s="286"/>
      <c r="D7" s="286"/>
      <c r="E7" s="286"/>
      <c r="F7" s="286"/>
      <c r="G7" s="286"/>
      <c r="H7" s="286"/>
      <c r="I7" s="287"/>
    </row>
    <row r="8" spans="2:11" x14ac:dyDescent="0.25">
      <c r="B8" s="288" t="s">
        <v>4</v>
      </c>
      <c r="C8" s="282" t="s">
        <v>5</v>
      </c>
      <c r="D8" s="283"/>
      <c r="E8" s="283"/>
      <c r="F8" s="283"/>
      <c r="G8" s="284"/>
      <c r="H8" s="288" t="s">
        <v>6</v>
      </c>
      <c r="I8" s="288" t="s">
        <v>7</v>
      </c>
    </row>
    <row r="9" spans="2:11" ht="15.75" thickBot="1" x14ac:dyDescent="0.3">
      <c r="B9" s="289"/>
      <c r="C9" s="285"/>
      <c r="D9" s="286"/>
      <c r="E9" s="286"/>
      <c r="F9" s="286"/>
      <c r="G9" s="287"/>
      <c r="H9" s="289"/>
      <c r="I9" s="289"/>
    </row>
    <row r="10" spans="2:11" x14ac:dyDescent="0.25">
      <c r="B10" s="262" t="s">
        <v>8</v>
      </c>
      <c r="C10" s="264" t="s">
        <v>9</v>
      </c>
      <c r="D10" s="228"/>
      <c r="E10" s="228"/>
      <c r="F10" s="228"/>
      <c r="G10" s="265"/>
      <c r="H10" s="262" t="s">
        <v>10</v>
      </c>
      <c r="I10" s="269">
        <v>45658</v>
      </c>
    </row>
    <row r="11" spans="2:11" x14ac:dyDescent="0.25">
      <c r="B11" s="263"/>
      <c r="C11" s="266"/>
      <c r="D11" s="267"/>
      <c r="E11" s="267"/>
      <c r="F11" s="267"/>
      <c r="G11" s="268"/>
      <c r="H11" s="263"/>
      <c r="I11" s="270"/>
    </row>
    <row r="12" spans="2:11" x14ac:dyDescent="0.25">
      <c r="B12" s="252" t="s">
        <v>11</v>
      </c>
      <c r="C12" s="254" t="s">
        <v>12</v>
      </c>
      <c r="D12" s="255"/>
      <c r="E12" s="255"/>
      <c r="F12" s="255"/>
      <c r="G12" s="256"/>
      <c r="H12" s="252" t="s">
        <v>10</v>
      </c>
      <c r="I12" s="260">
        <v>45672</v>
      </c>
    </row>
    <row r="13" spans="2:11" x14ac:dyDescent="0.25">
      <c r="B13" s="253"/>
      <c r="C13" s="257"/>
      <c r="D13" s="258"/>
      <c r="E13" s="258"/>
      <c r="F13" s="258"/>
      <c r="G13" s="259"/>
      <c r="H13" s="253"/>
      <c r="I13" s="261"/>
    </row>
    <row r="14" spans="2:11" x14ac:dyDescent="0.25">
      <c r="B14" s="252" t="s">
        <v>13</v>
      </c>
      <c r="C14" s="254" t="s">
        <v>14</v>
      </c>
      <c r="D14" s="255"/>
      <c r="E14" s="255"/>
      <c r="F14" s="255"/>
      <c r="G14" s="256"/>
      <c r="H14" s="252" t="s">
        <v>10</v>
      </c>
      <c r="I14" s="260">
        <v>45698</v>
      </c>
    </row>
    <row r="15" spans="2:11" x14ac:dyDescent="0.25">
      <c r="B15" s="253"/>
      <c r="C15" s="257"/>
      <c r="D15" s="258"/>
      <c r="E15" s="258"/>
      <c r="F15" s="258"/>
      <c r="G15" s="259"/>
      <c r="H15" s="253"/>
      <c r="I15" s="261"/>
    </row>
    <row r="16" spans="2:11" x14ac:dyDescent="0.25">
      <c r="B16" s="252" t="s">
        <v>15</v>
      </c>
      <c r="C16" s="254" t="s">
        <v>16</v>
      </c>
      <c r="D16" s="255"/>
      <c r="E16" s="255"/>
      <c r="F16" s="255"/>
      <c r="G16" s="256"/>
      <c r="H16" s="252" t="s">
        <v>10</v>
      </c>
      <c r="I16" s="260">
        <v>45714</v>
      </c>
    </row>
    <row r="17" spans="2:9" x14ac:dyDescent="0.25">
      <c r="B17" s="253"/>
      <c r="C17" s="257"/>
      <c r="D17" s="258"/>
      <c r="E17" s="258"/>
      <c r="F17" s="258"/>
      <c r="G17" s="259"/>
      <c r="H17" s="253"/>
      <c r="I17" s="261"/>
    </row>
    <row r="18" spans="2:9" x14ac:dyDescent="0.25">
      <c r="B18" s="252" t="s">
        <v>629</v>
      </c>
      <c r="C18" s="254" t="s">
        <v>17</v>
      </c>
      <c r="D18" s="255"/>
      <c r="E18" s="255"/>
      <c r="F18" s="255"/>
      <c r="G18" s="256"/>
      <c r="H18" s="252" t="s">
        <v>10</v>
      </c>
      <c r="I18" s="260">
        <v>45802</v>
      </c>
    </row>
    <row r="19" spans="2:9" x14ac:dyDescent="0.25">
      <c r="B19" s="253"/>
      <c r="C19" s="257"/>
      <c r="D19" s="258"/>
      <c r="E19" s="258"/>
      <c r="F19" s="258"/>
      <c r="G19" s="259"/>
      <c r="H19" s="253"/>
      <c r="I19" s="261"/>
    </row>
    <row r="20" spans="2:9" x14ac:dyDescent="0.25">
      <c r="B20" s="252" t="s">
        <v>630</v>
      </c>
      <c r="C20" s="254" t="s">
        <v>18</v>
      </c>
      <c r="D20" s="255"/>
      <c r="E20" s="255"/>
      <c r="F20" s="255"/>
      <c r="G20" s="256"/>
      <c r="H20" s="252" t="s">
        <v>10</v>
      </c>
      <c r="I20" s="260">
        <v>45812</v>
      </c>
    </row>
    <row r="21" spans="2:9" x14ac:dyDescent="0.25">
      <c r="B21" s="253"/>
      <c r="C21" s="257"/>
      <c r="D21" s="258"/>
      <c r="E21" s="258"/>
      <c r="F21" s="258"/>
      <c r="G21" s="259"/>
      <c r="H21" s="253"/>
      <c r="I21" s="261"/>
    </row>
    <row r="22" spans="2:9" x14ac:dyDescent="0.25">
      <c r="B22" s="252" t="s">
        <v>631</v>
      </c>
      <c r="C22" s="254" t="s">
        <v>19</v>
      </c>
      <c r="D22" s="255"/>
      <c r="E22" s="255"/>
      <c r="F22" s="255"/>
      <c r="G22" s="256"/>
      <c r="H22" s="252" t="s">
        <v>10</v>
      </c>
      <c r="I22" s="260">
        <v>46006</v>
      </c>
    </row>
    <row r="23" spans="2:9" x14ac:dyDescent="0.25">
      <c r="B23" s="253"/>
      <c r="C23" s="257"/>
      <c r="D23" s="258"/>
      <c r="E23" s="258"/>
      <c r="F23" s="258"/>
      <c r="G23" s="259"/>
      <c r="H23" s="253"/>
      <c r="I23" s="261"/>
    </row>
    <row r="24" spans="2:9" x14ac:dyDescent="0.25">
      <c r="B24" s="252" t="s">
        <v>632</v>
      </c>
      <c r="C24" s="254" t="s">
        <v>755</v>
      </c>
      <c r="D24" s="255"/>
      <c r="E24" s="255"/>
      <c r="F24" s="255"/>
      <c r="G24" s="256"/>
      <c r="H24" s="252" t="s">
        <v>10</v>
      </c>
      <c r="I24" s="260">
        <v>46154</v>
      </c>
    </row>
    <row r="25" spans="2:9" x14ac:dyDescent="0.25">
      <c r="B25" s="253"/>
      <c r="C25" s="257"/>
      <c r="D25" s="258"/>
      <c r="E25" s="258"/>
      <c r="F25" s="258"/>
      <c r="G25" s="259"/>
      <c r="H25" s="253"/>
      <c r="I25" s="261"/>
    </row>
    <row r="26" spans="2:9" x14ac:dyDescent="0.25">
      <c r="B26" s="252" t="s">
        <v>757</v>
      </c>
      <c r="C26" s="254" t="s">
        <v>758</v>
      </c>
      <c r="D26" s="255"/>
      <c r="E26" s="255"/>
      <c r="F26" s="255"/>
      <c r="G26" s="256"/>
      <c r="H26" s="252" t="s">
        <v>10</v>
      </c>
      <c r="I26" s="260">
        <v>46218</v>
      </c>
    </row>
    <row r="27" spans="2:9" x14ac:dyDescent="0.25">
      <c r="B27" s="253"/>
      <c r="C27" s="257"/>
      <c r="D27" s="258"/>
      <c r="E27" s="258"/>
      <c r="F27" s="258"/>
      <c r="G27" s="259"/>
      <c r="H27" s="253"/>
      <c r="I27" s="261"/>
    </row>
    <row r="29" spans="2:9" x14ac:dyDescent="0.25">
      <c r="B29" t="s">
        <v>20</v>
      </c>
      <c r="C29" s="209" t="s">
        <v>21</v>
      </c>
    </row>
    <row r="30" spans="2:9" x14ac:dyDescent="0.25">
      <c r="B30" t="s">
        <v>22</v>
      </c>
      <c r="C30" s="209" t="s">
        <v>23</v>
      </c>
    </row>
  </sheetData>
  <mergeCells count="44">
    <mergeCell ref="I2:I3"/>
    <mergeCell ref="D3:H4"/>
    <mergeCell ref="D2:H2"/>
    <mergeCell ref="B6:I7"/>
    <mergeCell ref="B8:B9"/>
    <mergeCell ref="I8:I9"/>
    <mergeCell ref="H8:H9"/>
    <mergeCell ref="C8:G9"/>
    <mergeCell ref="B10:B11"/>
    <mergeCell ref="C10:G11"/>
    <mergeCell ref="H10:H11"/>
    <mergeCell ref="I10:I11"/>
    <mergeCell ref="B12:B13"/>
    <mergeCell ref="C12:G13"/>
    <mergeCell ref="H12:H13"/>
    <mergeCell ref="I12:I13"/>
    <mergeCell ref="B14:B15"/>
    <mergeCell ref="C14:G15"/>
    <mergeCell ref="H14:H15"/>
    <mergeCell ref="I14:I15"/>
    <mergeCell ref="B16:B17"/>
    <mergeCell ref="C16:G17"/>
    <mergeCell ref="H16:H17"/>
    <mergeCell ref="I16:I17"/>
    <mergeCell ref="B18:B19"/>
    <mergeCell ref="C18:G19"/>
    <mergeCell ref="H18:H19"/>
    <mergeCell ref="I18:I19"/>
    <mergeCell ref="B20:B21"/>
    <mergeCell ref="C20:G21"/>
    <mergeCell ref="H20:H21"/>
    <mergeCell ref="I20:I21"/>
    <mergeCell ref="B26:B27"/>
    <mergeCell ref="C26:G27"/>
    <mergeCell ref="H26:H27"/>
    <mergeCell ref="I26:I27"/>
    <mergeCell ref="B22:B23"/>
    <mergeCell ref="C22:G23"/>
    <mergeCell ref="H22:H23"/>
    <mergeCell ref="I22:I23"/>
    <mergeCell ref="B24:B25"/>
    <mergeCell ref="C24:G25"/>
    <mergeCell ref="H24:H25"/>
    <mergeCell ref="I24:I25"/>
  </mergeCells>
  <hyperlinks>
    <hyperlink ref="C29" r:id="rId1" xr:uid="{808B86C1-3539-4BAF-9624-EAB08251679F}"/>
    <hyperlink ref="C30" r:id="rId2" xr:uid="{E39CB8CD-A2E0-4DBC-9EC6-4EA9F18CF2C3}"/>
  </hyperlinks>
  <pageMargins left="0.7" right="0.7" top="0.75" bottom="0.75" header="0.3" footer="0.3"/>
  <pageSetup paperSize="119" scale="94" fitToHeight="0" orientation="portrait" horizontalDpi="1200" verticalDpi="12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B59E2-DD41-4C28-9923-6426598A9406}">
  <sheetPr codeName="Hoja2"/>
  <dimension ref="A2:Z32"/>
  <sheetViews>
    <sheetView showGridLines="0" zoomScale="85" zoomScaleNormal="85" workbookViewId="0">
      <selection activeCell="K6" sqref="K6:K32"/>
    </sheetView>
  </sheetViews>
  <sheetFormatPr baseColWidth="10" defaultColWidth="11.42578125" defaultRowHeight="15" x14ac:dyDescent="0.25"/>
  <cols>
    <col min="1" max="1" width="22.28515625" customWidth="1"/>
    <col min="2" max="2" width="23.7109375" hidden="1" customWidth="1"/>
    <col min="3" max="9" width="11.7109375" hidden="1" customWidth="1"/>
    <col min="10" max="10" width="11.42578125" hidden="1" customWidth="1"/>
    <col min="11" max="11" width="49.28515625" customWidth="1"/>
    <col min="12" max="12" width="18.28515625" customWidth="1"/>
    <col min="13" max="18" width="11.42578125" customWidth="1"/>
    <col min="19" max="19" width="13.140625" customWidth="1"/>
    <col min="20" max="20" width="18.7109375" customWidth="1"/>
    <col min="21" max="21" width="17.140625" hidden="1" customWidth="1"/>
    <col min="22" max="26" width="11.42578125" hidden="1" customWidth="1"/>
    <col min="27" max="27" width="11.42578125" customWidth="1"/>
  </cols>
  <sheetData>
    <row r="2" spans="1:26" x14ac:dyDescent="0.25">
      <c r="A2" s="208" t="s">
        <v>24</v>
      </c>
    </row>
    <row r="3" spans="1:26" x14ac:dyDescent="0.25">
      <c r="B3" s="116"/>
    </row>
    <row r="4" spans="1:26" x14ac:dyDescent="0.25">
      <c r="U4" s="290" t="s">
        <v>25</v>
      </c>
      <c r="V4" s="290"/>
      <c r="W4" s="290"/>
      <c r="X4" s="290" t="s">
        <v>26</v>
      </c>
      <c r="Y4" s="290"/>
      <c r="Z4" s="290"/>
    </row>
    <row r="5" spans="1:26" x14ac:dyDescent="0.25">
      <c r="B5" t="s">
        <v>27</v>
      </c>
      <c r="C5" t="s">
        <v>28</v>
      </c>
      <c r="D5" t="s">
        <v>29</v>
      </c>
      <c r="E5" t="s">
        <v>30</v>
      </c>
      <c r="F5" t="s">
        <v>31</v>
      </c>
      <c r="G5" t="s">
        <v>32</v>
      </c>
      <c r="H5" t="s">
        <v>33</v>
      </c>
      <c r="I5" t="s">
        <v>34</v>
      </c>
      <c r="L5" t="s">
        <v>27</v>
      </c>
      <c r="M5" t="s">
        <v>28</v>
      </c>
      <c r="N5" t="s">
        <v>29</v>
      </c>
      <c r="O5" t="s">
        <v>30</v>
      </c>
      <c r="P5" t="s">
        <v>31</v>
      </c>
      <c r="Q5" t="s">
        <v>32</v>
      </c>
      <c r="R5" t="s">
        <v>33</v>
      </c>
      <c r="S5" t="s">
        <v>34</v>
      </c>
      <c r="U5" t="s">
        <v>32</v>
      </c>
      <c r="V5" t="s">
        <v>33</v>
      </c>
      <c r="W5" t="s">
        <v>34</v>
      </c>
      <c r="X5" t="s">
        <v>32</v>
      </c>
      <c r="Y5" t="s">
        <v>33</v>
      </c>
      <c r="Z5" t="s">
        <v>34</v>
      </c>
    </row>
    <row r="6" spans="1:26" x14ac:dyDescent="0.25">
      <c r="B6" s="211" t="s">
        <v>35</v>
      </c>
      <c r="C6" s="215">
        <v>3.77</v>
      </c>
      <c r="D6" s="212">
        <v>0</v>
      </c>
      <c r="E6" s="213">
        <v>240</v>
      </c>
      <c r="F6" s="214" t="s">
        <v>36</v>
      </c>
      <c r="G6" s="215">
        <v>-2.94</v>
      </c>
      <c r="H6" s="215">
        <v>-30.04</v>
      </c>
      <c r="I6" s="216">
        <v>-1.35</v>
      </c>
      <c r="K6" s="207" t="s">
        <v>760</v>
      </c>
      <c r="L6" t="str">
        <f>MID(K6,1,FIND("g",K6,1))</f>
        <v>1.0D + 1.0W Service 90 deg</v>
      </c>
      <c r="M6" t="str">
        <f>MID(RIGHT(K6,LEN(K6)-LEN(L6)-1),1,FIND(" ",RIGHT(K6,LEN(K6)-LEN(L6)-1),1)-1)</f>
        <v>2.97</v>
      </c>
      <c r="N6" t="str">
        <f>MID(RIGHT(K6,LEN(K6)-LEN(L6)-LEN(M6)-2),1,FIND(" ",RIGHT(K6,LEN(K6)-LEN(L6)-LEN(M6)-2),1)-1)</f>
        <v>00.00</v>
      </c>
      <c r="O6" t="str">
        <f>MID(RIGHT(K6,LEN(K6)-LEN(L6)-LEN(M6)-LEN(N6)-3),1,FIND(" ",RIGHT(K6,LEN(K6)-LEN(L6)-LEN(M6)-LEN(N6)-3),1)-1)</f>
        <v>240</v>
      </c>
      <c r="P6" t="str">
        <f>MID(RIGHT(K6,LEN(K6)-LEN(L6)-LEN(M6)-LEN(N6)-LEN(O6)-4),1,FIND(" ",RIGHT(K6,LEN(K6)-LEN(L6)-LEN(M6)-LEN(N6)-LEN(O6)-4),1)-1)</f>
        <v>1b</v>
      </c>
      <c r="Q6" t="str">
        <f>MID(RIGHT(K6,LEN(K6)-LEN(L6)-LEN(M6)-LEN(N6)-LEN(O6)-LEN(P6)-5),1,FIND(" ",RIGHT(K6,LEN(K6)-LEN(L6)-LEN(M6)-LEN(N6)-LEN(O6)-LEN(P6)-5),1)-1)</f>
        <v>-1.00</v>
      </c>
      <c r="R6" t="str">
        <f>MID(RIGHT(K6,LEN(K6)-LEN(L6)-LEN(M6)-LEN(N6)-LEN(O6)-LEN(P6)-LEN(Q6)-6),1,FIND(" ",RIGHT(K6,LEN(K6)-LEN(L6)-LEN(M6)-LEN(N6)-LEN(O6)-LEN(P6)-LEN(Q6)-6),1)-1)</f>
        <v>-8.50</v>
      </c>
      <c r="S6" t="str">
        <f>RIGHT(K6,LEN(K6)-FIND(R6,K6,1)-LEN(R6))</f>
        <v>-0.48</v>
      </c>
      <c r="U6" s="117">
        <f>IF($A$2="Recuadro Azul",G15,VALUE(Q15))</f>
        <v>-6.62</v>
      </c>
      <c r="V6" s="117">
        <f t="shared" ref="V6:W6" si="0">IF($A$2="Recuadro Azul",H15,VALUE(R15))</f>
        <v>-62.73</v>
      </c>
      <c r="W6" s="117">
        <f t="shared" si="0"/>
        <v>-3.24</v>
      </c>
      <c r="X6">
        <f>IF($A$2="Recuadro Azul",G6,VALUE(Q6))</f>
        <v>-1</v>
      </c>
      <c r="Y6">
        <f t="shared" ref="Y6:Z6" si="1">IF($A$2="Recuadro Azul",H6,VALUE(R6))</f>
        <v>-8.5</v>
      </c>
      <c r="Z6">
        <f t="shared" si="1"/>
        <v>-0.48</v>
      </c>
    </row>
    <row r="7" spans="1:26" x14ac:dyDescent="0.25">
      <c r="B7" s="210"/>
      <c r="C7" s="215">
        <v>3.77</v>
      </c>
      <c r="D7" s="212">
        <v>0</v>
      </c>
      <c r="E7" s="213">
        <v>120</v>
      </c>
      <c r="F7" s="214" t="s">
        <v>37</v>
      </c>
      <c r="G7" s="215">
        <v>-3.26</v>
      </c>
      <c r="H7" s="215">
        <v>37.909999999999997</v>
      </c>
      <c r="I7" s="216">
        <v>1.47</v>
      </c>
      <c r="K7" s="206" t="s">
        <v>769</v>
      </c>
      <c r="L7" s="3"/>
      <c r="M7" t="str">
        <f>MID(RIGHT(K7,LEN(K7)),1,FIND(" ",RIGHT(K7,LEN(K7)),1)-1)</f>
        <v>2.97</v>
      </c>
      <c r="N7" t="str">
        <f>MID(RIGHT(K7,LEN(K7)-LEN(M7)-1),1,FIND(" ",RIGHT(K7,LEN(K7)-LEN(M7)-1),1)-1)</f>
        <v>00.00</v>
      </c>
      <c r="O7" t="str">
        <f>MID(RIGHT(K7,LEN(K7)-LEN(M7)-LEN(N7)-2),1,FIND(" ",RIGHT(K7,LEN(K7)-LEN(M7)-LEN(N7)-2),1)-1)</f>
        <v>120</v>
      </c>
      <c r="P7" t="str">
        <f>MID(RIGHT(K7,LEN(K7)-LEN(M7)-LEN(N7)-LEN(O7)-3),1,FIND(" ",RIGHT(K7,LEN(K7)-LEN(M7)-LEN(N7)-LEN(O7)-3),1)-1)</f>
        <v>1a</v>
      </c>
      <c r="Q7" t="str">
        <f>MID(RIGHT(K7,LEN(K7)-LEN(M7)-LEN(N7)-LEN(O7)-LEN(P7)-4),1,FIND(" ",RIGHT(K7,LEN(K7)-LEN(M7)-LEN(N7)-LEN(O7)-LEN(P7)-4),1)-1)</f>
        <v>-1.32</v>
      </c>
      <c r="R7" t="str">
        <f>MID(RIGHT(K7,LEN(K7)-LEN(M7)-LEN(N7)-LEN(O7)-LEN(P7)-LEN(Q7)-5),1,FIND(" ",RIGHT(K7,LEN(K7)-LEN(M7)-LEN(N7)-LEN(O7)-LEN(P7)-LEN(Q7)-5),1)-1)</f>
        <v>13.98</v>
      </c>
      <c r="S7" t="str">
        <f>RIGHT(K7,LEN(K7)-FIND(R7,K7,1)-LEN(R7))</f>
        <v>0.66</v>
      </c>
      <c r="U7" s="117">
        <f t="shared" ref="U7:U23" si="2">IF($A$2="Recuadro Azul",G16,VALUE(Q16))</f>
        <v>-6.85</v>
      </c>
      <c r="V7" s="117">
        <f t="shared" ref="V7:V23" si="3">IF($A$2="Recuadro Azul",H16,VALUE(R16))</f>
        <v>67.67</v>
      </c>
      <c r="W7" s="117">
        <f t="shared" ref="W7:W23" si="4">IF($A$2="Recuadro Azul",I16,VALUE(S16))</f>
        <v>3.36</v>
      </c>
      <c r="X7">
        <f t="shared" ref="X7:X14" si="5">IF($A$2="Recuadro Azul",G7,VALUE(Q7))</f>
        <v>-1.32</v>
      </c>
      <c r="Y7">
        <f t="shared" ref="Y7:Y14" si="6">IF($A$2="Recuadro Azul",H7,VALUE(R7))</f>
        <v>13.98</v>
      </c>
      <c r="Z7">
        <f t="shared" ref="Z7:Z14" si="7">IF($A$2="Recuadro Azul",I7,VALUE(S7))</f>
        <v>0.66</v>
      </c>
    </row>
    <row r="8" spans="1:26" x14ac:dyDescent="0.25">
      <c r="B8" s="210"/>
      <c r="C8" s="215">
        <v>3.77</v>
      </c>
      <c r="D8" s="212">
        <v>0</v>
      </c>
      <c r="E8" s="213">
        <v>0</v>
      </c>
      <c r="F8" s="217">
        <v>1</v>
      </c>
      <c r="G8" s="215">
        <v>-0.66</v>
      </c>
      <c r="H8" s="215">
        <v>3.93</v>
      </c>
      <c r="I8" s="216">
        <v>-0.13</v>
      </c>
      <c r="K8" s="206" t="s">
        <v>770</v>
      </c>
      <c r="L8" s="210"/>
      <c r="M8" t="str">
        <f>MID(RIGHT(K8,LEN(K8)),1,FIND(" ",RIGHT(K8,LEN(K8)),1)-1)</f>
        <v>2.97</v>
      </c>
      <c r="N8" t="str">
        <f>MID(RIGHT(K8,LEN(K8)-LEN(M8)-1),1,FIND(" ",RIGHT(K8,LEN(K8)-LEN(M8)-1),1)-1)</f>
        <v>00.00</v>
      </c>
      <c r="O8" t="str">
        <f>MID(RIGHT(K8,LEN(K8)-LEN(M8)-LEN(N8)-2),1,FIND(" ",RIGHT(K8,LEN(K8)-LEN(M8)-LEN(N8)-2),1)-1)</f>
        <v>0</v>
      </c>
      <c r="P8" t="str">
        <f>MID(RIGHT(K8,LEN(K8)-LEN(M8)-LEN(N8)-LEN(O8)-3),1,FIND(" ",RIGHT(K8,LEN(K8)-LEN(M8)-LEN(N8)-LEN(O8)-3),1)-1)</f>
        <v>1</v>
      </c>
      <c r="Q8" t="str">
        <f>MID(RIGHT(K8,LEN(K8)-LEN(M8)-LEN(N8)-LEN(O8)-LEN(P8)-4),1,FIND(" ",RIGHT(K8,LEN(K8)-LEN(M8)-LEN(N8)-LEN(O8)-LEN(P8)-4),1)-1)</f>
        <v>-0.18</v>
      </c>
      <c r="R8" t="str">
        <f>MID(RIGHT(K8,LEN(K8)-LEN(M8)-LEN(N8)-LEN(O8)-LEN(P8)-LEN(Q8)-5),1,FIND(" ",RIGHT(K8,LEN(K8)-LEN(M8)-LEN(N8)-LEN(O8)-LEN(P8)-LEN(Q8)-5),1)-1)</f>
        <v>2.74</v>
      </c>
      <c r="S8" t="str">
        <f>RIGHT(K8,LEN(K8)-FIND(R8,K8,1)-LEN(R8))</f>
        <v>-0.18</v>
      </c>
      <c r="U8" s="117">
        <f t="shared" si="2"/>
        <v>-1.02</v>
      </c>
      <c r="V8" s="117">
        <f t="shared" si="3"/>
        <v>2.4700000000000002</v>
      </c>
      <c r="W8" s="117">
        <f t="shared" si="4"/>
        <v>-0.13</v>
      </c>
      <c r="X8">
        <f t="shared" si="5"/>
        <v>-0.18</v>
      </c>
      <c r="Y8">
        <f t="shared" si="6"/>
        <v>2.74</v>
      </c>
      <c r="Z8">
        <f t="shared" si="7"/>
        <v>-0.18</v>
      </c>
    </row>
    <row r="9" spans="1:26" x14ac:dyDescent="0.25">
      <c r="B9" s="211" t="s">
        <v>38</v>
      </c>
      <c r="C9" s="215">
        <v>3.77</v>
      </c>
      <c r="D9" s="212">
        <v>0</v>
      </c>
      <c r="E9" s="213">
        <v>240</v>
      </c>
      <c r="F9" s="214" t="s">
        <v>36</v>
      </c>
      <c r="G9" s="215">
        <v>-3.13</v>
      </c>
      <c r="H9" s="215">
        <v>-33.94</v>
      </c>
      <c r="I9" s="216">
        <v>-1.79</v>
      </c>
      <c r="K9" s="206" t="s">
        <v>761</v>
      </c>
      <c r="L9" t="str">
        <f>MID(K9,1,FIND("g",K9,1))</f>
        <v>1.0D + 1.0W Service 60 deg</v>
      </c>
      <c r="M9" t="str">
        <f>MID(RIGHT(K9,LEN(K9)-LEN(L9)-1),1,FIND(" ",RIGHT(K9,LEN(K9)-LEN(L9)-1),1)-1)</f>
        <v>2.97</v>
      </c>
      <c r="N9" t="str">
        <f>MID(RIGHT(K9,LEN(K9)-LEN(L9)-LEN(M9)-2),1,FIND(" ",RIGHT(K9,LEN(K9)-LEN(L9)-LEN(M9)-2),1)-1)</f>
        <v>00.00</v>
      </c>
      <c r="O9" t="str">
        <f>MID(RIGHT(K9,LEN(K9)-LEN(L9)-LEN(M9)-LEN(N9)-3),1,FIND(" ",RIGHT(K9,LEN(K9)-LEN(L9)-LEN(M9)-LEN(N9)-3),1)-1)</f>
        <v>240</v>
      </c>
      <c r="P9" t="str">
        <f>MID(RIGHT(K9,LEN(K9)-LEN(L9)-LEN(M9)-LEN(N9)-LEN(O9)-4),1,FIND(" ",RIGHT(K9,LEN(K9)-LEN(L9)-LEN(M9)-LEN(N9)-LEN(O9)-4),1)-1)</f>
        <v>1b</v>
      </c>
      <c r="Q9" t="str">
        <f>MID(RIGHT(K9,LEN(K9)-LEN(L9)-LEN(M9)-LEN(N9)-LEN(O9)-LEN(P9)-5),1,FIND(" ",RIGHT(K9,LEN(K9)-LEN(L9)-LEN(M9)-LEN(N9)-LEN(O9)-LEN(P9)-5),1)-1)</f>
        <v>-1.09</v>
      </c>
      <c r="R9" t="str">
        <f>MID(RIGHT(K9,LEN(K9)-LEN(L9)-LEN(M9)-LEN(N9)-LEN(O9)-LEN(P9)-LEN(Q9)-6),1,FIND(" ",RIGHT(K9,LEN(K9)-LEN(L9)-LEN(M9)-LEN(N9)-LEN(O9)-LEN(P9)-LEN(Q9)-6),1)-1)</f>
        <v>-9.87</v>
      </c>
      <c r="S9" t="str">
        <f>RIGHT(K9,LEN(K9)-FIND(R9,K9,1)-LEN(R9))</f>
        <v>-0.63</v>
      </c>
      <c r="U9" s="117">
        <f t="shared" si="2"/>
        <v>-7.13</v>
      </c>
      <c r="V9" s="117">
        <f t="shared" si="3"/>
        <v>-70.72</v>
      </c>
      <c r="W9" s="117">
        <f t="shared" si="4"/>
        <v>-4.12</v>
      </c>
      <c r="X9">
        <f t="shared" si="5"/>
        <v>-1.0900000000000001</v>
      </c>
      <c r="Y9">
        <f t="shared" si="6"/>
        <v>-9.8699999999999992</v>
      </c>
      <c r="Z9">
        <f t="shared" si="7"/>
        <v>-0.63</v>
      </c>
    </row>
    <row r="10" spans="1:26" x14ac:dyDescent="0.25">
      <c r="B10" s="210"/>
      <c r="C10" s="215">
        <v>3.77</v>
      </c>
      <c r="D10" s="212">
        <v>0</v>
      </c>
      <c r="E10" s="213">
        <v>120</v>
      </c>
      <c r="F10" s="214" t="s">
        <v>37</v>
      </c>
      <c r="G10" s="215">
        <v>-2.02</v>
      </c>
      <c r="H10" s="215">
        <v>22.86</v>
      </c>
      <c r="I10" s="216">
        <v>0.52</v>
      </c>
      <c r="K10" s="206" t="s">
        <v>771</v>
      </c>
      <c r="L10" s="3"/>
      <c r="M10" t="str">
        <f t="shared" ref="M10:M11" si="8">MID(RIGHT(K10,LEN(K10)),1,FIND(" ",RIGHT(K10,LEN(K10)),1)-1)</f>
        <v>2.97</v>
      </c>
      <c r="N10" t="str">
        <f t="shared" ref="N10:N11" si="9">MID(RIGHT(K10,LEN(K10)-LEN(M10)-1),1,FIND(" ",RIGHT(K10,LEN(K10)-LEN(M10)-1),1)-1)</f>
        <v>00.00</v>
      </c>
      <c r="O10" t="str">
        <f t="shared" ref="O10:O11" si="10">MID(RIGHT(K10,LEN(K10)-LEN(M10)-LEN(N10)-2),1,FIND(" ",RIGHT(K10,LEN(K10)-LEN(M10)-LEN(N10)-2),1)-1)</f>
        <v>120</v>
      </c>
      <c r="P10" t="str">
        <f t="shared" ref="P10:P11" si="11">MID(RIGHT(K10,LEN(K10)-LEN(M10)-LEN(N10)-LEN(O10)-3),1,FIND(" ",RIGHT(K10,LEN(K10)-LEN(M10)-LEN(N10)-LEN(O10)-3),1)-1)</f>
        <v>1a</v>
      </c>
      <c r="Q10" t="str">
        <f t="shared" ref="Q10:Q11" si="12">MID(RIGHT(K10,LEN(K10)-LEN(M10)-LEN(N10)-LEN(O10)-LEN(P10)-4),1,FIND(" ",RIGHT(K10,LEN(K10)-LEN(M10)-LEN(N10)-LEN(O10)-LEN(P10)-4),1)-1)</f>
        <v>-0.86</v>
      </c>
      <c r="R10" t="str">
        <f t="shared" ref="R10:R11" si="13">MID(RIGHT(K10,LEN(K10)-LEN(M10)-LEN(N10)-LEN(O10)-LEN(P10)-LEN(Q10)-5),1,FIND(" ",RIGHT(K10,LEN(K10)-LEN(M10)-LEN(N10)-LEN(O10)-LEN(P10)-LEN(Q10)-5),1)-1)</f>
        <v>9.05</v>
      </c>
      <c r="S10" t="str">
        <f t="shared" ref="S10:S11" si="14">RIGHT(K10,LEN(K10)-FIND(R10,K10,1)-LEN(R10))</f>
        <v>0.32</v>
      </c>
      <c r="U10" s="117">
        <f t="shared" si="2"/>
        <v>-4.16</v>
      </c>
      <c r="V10" s="117">
        <f t="shared" si="3"/>
        <v>39.06</v>
      </c>
      <c r="W10" s="117">
        <f t="shared" si="4"/>
        <v>1.42</v>
      </c>
      <c r="X10">
        <f t="shared" si="5"/>
        <v>-0.86</v>
      </c>
      <c r="Y10">
        <f t="shared" si="6"/>
        <v>9.0500000000000007</v>
      </c>
      <c r="Z10">
        <f t="shared" si="7"/>
        <v>0.32</v>
      </c>
    </row>
    <row r="11" spans="1:26" x14ac:dyDescent="0.25">
      <c r="B11" s="210"/>
      <c r="C11" s="215">
        <v>3.77</v>
      </c>
      <c r="D11" s="212">
        <v>0</v>
      </c>
      <c r="E11" s="213">
        <v>0</v>
      </c>
      <c r="F11" s="217">
        <v>1</v>
      </c>
      <c r="G11" s="215">
        <v>-0.56999999999999995</v>
      </c>
      <c r="H11" s="215">
        <v>22.88</v>
      </c>
      <c r="I11" s="216">
        <v>-2.04</v>
      </c>
      <c r="K11" s="206" t="s">
        <v>772</v>
      </c>
      <c r="L11" s="3"/>
      <c r="M11" t="str">
        <f t="shared" si="8"/>
        <v>2.97</v>
      </c>
      <c r="N11" t="str">
        <f t="shared" si="9"/>
        <v>00.00</v>
      </c>
      <c r="O11" t="str">
        <f t="shared" si="10"/>
        <v>0</v>
      </c>
      <c r="P11" t="str">
        <f t="shared" si="11"/>
        <v>1</v>
      </c>
      <c r="Q11" t="str">
        <f t="shared" si="12"/>
        <v>-0.15</v>
      </c>
      <c r="R11" t="str">
        <f t="shared" si="13"/>
        <v>9.05</v>
      </c>
      <c r="S11" t="str">
        <f t="shared" si="14"/>
        <v>-0.90</v>
      </c>
      <c r="U11" s="117">
        <f t="shared" si="2"/>
        <v>-0.85</v>
      </c>
      <c r="V11" s="117">
        <f t="shared" si="3"/>
        <v>39.07</v>
      </c>
      <c r="W11" s="117">
        <f t="shared" si="4"/>
        <v>-4.3099999999999996</v>
      </c>
      <c r="X11">
        <f t="shared" si="5"/>
        <v>-0.15</v>
      </c>
      <c r="Y11">
        <f t="shared" si="6"/>
        <v>9.0500000000000007</v>
      </c>
      <c r="Z11">
        <f t="shared" si="7"/>
        <v>-0.9</v>
      </c>
    </row>
    <row r="12" spans="1:26" x14ac:dyDescent="0.25">
      <c r="B12" s="211" t="s">
        <v>39</v>
      </c>
      <c r="C12" s="215">
        <v>3.77</v>
      </c>
      <c r="D12" s="212">
        <v>0</v>
      </c>
      <c r="E12" s="213">
        <v>240</v>
      </c>
      <c r="F12" s="214" t="s">
        <v>36</v>
      </c>
      <c r="G12" s="215">
        <v>-1.47</v>
      </c>
      <c r="H12" s="215">
        <v>-17.61</v>
      </c>
      <c r="I12" s="216">
        <v>-1.54</v>
      </c>
      <c r="K12" s="206" t="s">
        <v>762</v>
      </c>
      <c r="L12" t="str">
        <f>MID(K12,1,FIND("l",K12,1))</f>
        <v>1.0D + 1.0W Service Normal</v>
      </c>
      <c r="M12" t="str">
        <f>MID(RIGHT(K12,LEN(K12)-LEN(L12)-1),1,FIND(" ",RIGHT(K12,LEN(K12)-LEN(L12)-1),1)-1)</f>
        <v>2.97</v>
      </c>
      <c r="N12" t="str">
        <f>MID(RIGHT(K12,LEN(K12)-LEN(L12)-LEN(M12)-2),1,FIND(" ",RIGHT(K12,LEN(K12)-LEN(L12)-LEN(M12)-2),1)-1)</f>
        <v>00.00</v>
      </c>
      <c r="O12" t="str">
        <f>MID(RIGHT(K12,LEN(K12)-LEN(L12)-LEN(M12)-LEN(N12)-3),1,FIND(" ",RIGHT(K12,LEN(K12)-LEN(L12)-LEN(M12)-LEN(N12)-3),1)-1)</f>
        <v>240</v>
      </c>
      <c r="P12" t="str">
        <f>MID(RIGHT(K12,LEN(K12)-LEN(L12)-LEN(M12)-LEN(N12)-LEN(O12)-4),1,FIND(" ",RIGHT(K12,LEN(K12)-LEN(L12)-LEN(M12)-LEN(N12)-LEN(O12)-4),1)-1)</f>
        <v>1b</v>
      </c>
      <c r="Q12" t="str">
        <f>MID(RIGHT(K12,LEN(K12)-LEN(L12)-LEN(M12)-LEN(N12)-LEN(O12)-LEN(P12)-5),1,FIND(" ",RIGHT(K12,LEN(K12)-LEN(L12)-LEN(M12)-LEN(N12)-LEN(O12)-LEN(P12)-5),1)-1)</f>
        <v>-0.46</v>
      </c>
      <c r="R12" t="str">
        <f>MID(RIGHT(K12,LEN(K12)-LEN(L12)-LEN(M12)-LEN(N12)-LEN(O12)-LEN(P12)-LEN(Q12)-6),1,FIND(" ",RIGHT(K12,LEN(K12)-LEN(L12)-LEN(M12)-LEN(N12)-LEN(O12)-LEN(P12)-LEN(Q12)-6),1)-1)</f>
        <v>-4.29</v>
      </c>
      <c r="S12" t="str">
        <f>RIGHT(K12,LEN(K12)-FIND(R12,K12,1)-LEN(R12))</f>
        <v>-0.46</v>
      </c>
      <c r="U12" s="117">
        <f t="shared" si="2"/>
        <v>-3.49</v>
      </c>
      <c r="V12" s="117">
        <f t="shared" si="3"/>
        <v>-38.33</v>
      </c>
      <c r="W12" s="117">
        <f t="shared" si="4"/>
        <v>-3.14</v>
      </c>
      <c r="X12">
        <f t="shared" si="5"/>
        <v>-0.46</v>
      </c>
      <c r="Y12">
        <f t="shared" si="6"/>
        <v>-4.29</v>
      </c>
      <c r="Z12">
        <f t="shared" si="7"/>
        <v>-0.46</v>
      </c>
    </row>
    <row r="13" spans="1:26" x14ac:dyDescent="0.25">
      <c r="B13" s="210"/>
      <c r="C13" s="215">
        <v>3.77</v>
      </c>
      <c r="D13" s="212">
        <v>0</v>
      </c>
      <c r="E13" s="213">
        <v>120</v>
      </c>
      <c r="F13" s="214" t="s">
        <v>37</v>
      </c>
      <c r="G13" s="215">
        <v>1.47</v>
      </c>
      <c r="H13" s="215">
        <v>-17.61</v>
      </c>
      <c r="I13" s="216">
        <v>-1.54</v>
      </c>
      <c r="K13" s="206" t="s">
        <v>773</v>
      </c>
      <c r="L13" s="3"/>
      <c r="M13" t="str">
        <f t="shared" ref="M13:M14" si="15">MID(RIGHT(K13,LEN(K13)),1,FIND(" ",RIGHT(K13,LEN(K13)),1)-1)</f>
        <v>2.97</v>
      </c>
      <c r="N13" t="str">
        <f t="shared" ref="N13:N14" si="16">MID(RIGHT(K13,LEN(K13)-LEN(M13)-1),1,FIND(" ",RIGHT(K13,LEN(K13)-LEN(M13)-1),1)-1)</f>
        <v>00.00</v>
      </c>
      <c r="O13" t="str">
        <f t="shared" ref="O13:O14" si="17">MID(RIGHT(K13,LEN(K13)-LEN(M13)-LEN(N13)-2),1,FIND(" ",RIGHT(K13,LEN(K13)-LEN(M13)-LEN(N13)-2),1)-1)</f>
        <v>120</v>
      </c>
      <c r="P13" t="str">
        <f t="shared" ref="P13:P14" si="18">MID(RIGHT(K13,LEN(K13)-LEN(M13)-LEN(N13)-LEN(O13)-3),1,FIND(" ",RIGHT(K13,LEN(K13)-LEN(M13)-LEN(N13)-LEN(O13)-3),1)-1)</f>
        <v>1a</v>
      </c>
      <c r="Q13" t="str">
        <f t="shared" ref="Q13:Q14" si="19">MID(RIGHT(K13,LEN(K13)-LEN(M13)-LEN(N13)-LEN(O13)-LEN(P13)-4),1,FIND(" ",RIGHT(K13,LEN(K13)-LEN(M13)-LEN(N13)-LEN(O13)-LEN(P13)-4),1)-1)</f>
        <v>0.46</v>
      </c>
      <c r="R13" t="str">
        <f t="shared" ref="R13:R14" si="20">MID(RIGHT(K13,LEN(K13)-LEN(M13)-LEN(N13)-LEN(O13)-LEN(P13)-LEN(Q13)-5),1,FIND(" ",RIGHT(K13,LEN(K13)-LEN(M13)-LEN(N13)-LEN(O13)-LEN(P13)-LEN(Q13)-5),1)-1)</f>
        <v>-4.29</v>
      </c>
      <c r="S13" t="str">
        <f t="shared" ref="S13:S14" si="21">RIGHT(K13,LEN(K13)-FIND(R13,K13,1)-LEN(R13))</f>
        <v>-0.46</v>
      </c>
      <c r="U13" s="117">
        <f t="shared" si="2"/>
        <v>3.49</v>
      </c>
      <c r="V13" s="117">
        <f t="shared" si="3"/>
        <v>-38.33</v>
      </c>
      <c r="W13" s="117">
        <f t="shared" si="4"/>
        <v>-3.14</v>
      </c>
      <c r="X13">
        <f t="shared" si="5"/>
        <v>0.46</v>
      </c>
      <c r="Y13">
        <f t="shared" si="6"/>
        <v>-4.29</v>
      </c>
      <c r="Z13">
        <f t="shared" si="7"/>
        <v>-0.46</v>
      </c>
    </row>
    <row r="14" spans="1:26" x14ac:dyDescent="0.25">
      <c r="B14" s="210"/>
      <c r="C14" s="215">
        <v>3.77</v>
      </c>
      <c r="D14" s="212">
        <v>0</v>
      </c>
      <c r="E14" s="213">
        <v>0</v>
      </c>
      <c r="F14" s="217">
        <v>1</v>
      </c>
      <c r="G14" s="215">
        <v>0</v>
      </c>
      <c r="H14" s="215">
        <v>47.03</v>
      </c>
      <c r="I14" s="216">
        <v>-4.53</v>
      </c>
      <c r="K14" s="206" t="s">
        <v>774</v>
      </c>
      <c r="L14" s="3"/>
      <c r="M14" t="str">
        <f t="shared" si="15"/>
        <v>2.97</v>
      </c>
      <c r="N14" t="str">
        <f t="shared" si="16"/>
        <v>00.00</v>
      </c>
      <c r="O14" t="str">
        <f t="shared" si="17"/>
        <v>0</v>
      </c>
      <c r="P14" t="str">
        <f t="shared" si="18"/>
        <v>1</v>
      </c>
      <c r="Q14" t="str">
        <f t="shared" si="19"/>
        <v>0.00</v>
      </c>
      <c r="R14" t="str">
        <f t="shared" si="20"/>
        <v>16.81</v>
      </c>
      <c r="S14" t="str">
        <f t="shared" si="21"/>
        <v>-1.81</v>
      </c>
      <c r="U14" s="117">
        <f t="shared" si="2"/>
        <v>0</v>
      </c>
      <c r="V14" s="117">
        <f t="shared" si="3"/>
        <v>84.07</v>
      </c>
      <c r="W14" s="117">
        <f t="shared" si="4"/>
        <v>-9.56</v>
      </c>
      <c r="X14">
        <f t="shared" si="5"/>
        <v>0</v>
      </c>
      <c r="Y14">
        <f t="shared" si="6"/>
        <v>16.809999999999999</v>
      </c>
      <c r="Z14">
        <f t="shared" si="7"/>
        <v>-1.81</v>
      </c>
    </row>
    <row r="15" spans="1:26" x14ac:dyDescent="0.25">
      <c r="B15" s="211" t="s">
        <v>40</v>
      </c>
      <c r="C15" s="215">
        <v>3.77</v>
      </c>
      <c r="D15" s="212">
        <v>0</v>
      </c>
      <c r="E15" s="213">
        <v>240</v>
      </c>
      <c r="F15" s="214" t="s">
        <v>36</v>
      </c>
      <c r="G15" s="215">
        <v>-5.2</v>
      </c>
      <c r="H15" s="215">
        <v>-54.73</v>
      </c>
      <c r="I15" s="216">
        <v>-2.41</v>
      </c>
      <c r="K15" s="206" t="s">
        <v>763</v>
      </c>
      <c r="L15" t="str">
        <f>MID(K15,1,FIND("g",K15,1))</f>
        <v>0.9D + 1.0W 90 deg</v>
      </c>
      <c r="M15" t="str">
        <f>MID(RIGHT(K15,LEN(K15)-LEN(L15)-1),1,FIND(" ",RIGHT(K15,LEN(K15)-LEN(L15)-1),1)-1)</f>
        <v>2.97</v>
      </c>
      <c r="N15" t="str">
        <f>MID(RIGHT(K15,LEN(K15)-LEN(L15)-LEN(M15)-2),1,FIND(" ",RIGHT(K15,LEN(K15)-LEN(L15)-LEN(M15)-2),1)-1)</f>
        <v>00.00</v>
      </c>
      <c r="O15" t="str">
        <f>MID(RIGHT(K15,LEN(K15)-LEN(L15)-LEN(M15)-LEN(N15)-3),1,FIND(" ",RIGHT(K15,LEN(K15)-LEN(L15)-LEN(M15)-LEN(N15)-3),1)-1)</f>
        <v>240</v>
      </c>
      <c r="P15" t="str">
        <f>MID(RIGHT(K15,LEN(K15)-LEN(L15)-LEN(M15)-LEN(N15)-LEN(O15)-4),1,FIND(" ",RIGHT(K15,LEN(K15)-LEN(L15)-LEN(M15)-LEN(N15)-LEN(O15)-4),1)-1)</f>
        <v>1b</v>
      </c>
      <c r="Q15" t="str">
        <f>MID(RIGHT(K15,LEN(K15)-LEN(L15)-LEN(M15)-LEN(N15)-LEN(O15)-LEN(P15)-5),1,FIND(" ",RIGHT(K15,LEN(K15)-LEN(L15)-LEN(M15)-LEN(N15)-LEN(O15)-LEN(P15)-5),1)-1)</f>
        <v>-6.62</v>
      </c>
      <c r="R15" t="str">
        <f>MID(RIGHT(K15,LEN(K15)-LEN(L15)-LEN(M15)-LEN(N15)-LEN(O15)-LEN(P15)-LEN(Q15)-6),1,FIND(" ",RIGHT(K15,LEN(K15)-LEN(L15)-LEN(M15)-LEN(N15)-LEN(O15)-LEN(P15)-LEN(Q15)-6),1)-1)</f>
        <v>-62.73</v>
      </c>
      <c r="S15" t="str">
        <f>RIGHT(K15,LEN(K15)-FIND(R15,K15,1)-LEN(R15))</f>
        <v>-3.24</v>
      </c>
      <c r="U15" s="117">
        <f t="shared" si="2"/>
        <v>-6.57</v>
      </c>
      <c r="V15" s="117">
        <f t="shared" si="3"/>
        <v>-61.98</v>
      </c>
      <c r="W15" s="117">
        <f t="shared" si="4"/>
        <v>-3.21</v>
      </c>
    </row>
    <row r="16" spans="1:26" x14ac:dyDescent="0.25">
      <c r="B16" s="210"/>
      <c r="C16" s="215">
        <v>3.77</v>
      </c>
      <c r="D16" s="212">
        <v>0</v>
      </c>
      <c r="E16" s="213">
        <v>120</v>
      </c>
      <c r="F16" s="214" t="s">
        <v>37</v>
      </c>
      <c r="G16" s="215">
        <v>-5.44</v>
      </c>
      <c r="H16" s="215">
        <v>61.82</v>
      </c>
      <c r="I16" s="216">
        <v>2.41</v>
      </c>
      <c r="K16" s="206" t="s">
        <v>775</v>
      </c>
      <c r="L16" s="3"/>
      <c r="M16" t="str">
        <f>MID(RIGHT(K16,LEN(K16)),1,FIND(" ",RIGHT(K16,LEN(K16)),1)-1)</f>
        <v>2.97</v>
      </c>
      <c r="N16" t="str">
        <f>MID(RIGHT(K16,LEN(K16)-LEN(M16)-1),1,FIND(" ",RIGHT(K16,LEN(K16)-LEN(M16)-1),1)-1)</f>
        <v>00.00</v>
      </c>
      <c r="O16" t="str">
        <f>MID(RIGHT(K16,LEN(K16)-LEN(M16)-LEN(N16)-2),1,FIND(" ",RIGHT(K16,LEN(K16)-LEN(M16)-LEN(N16)-2),1)-1)</f>
        <v>120</v>
      </c>
      <c r="P16" t="str">
        <f>MID(RIGHT(K16,LEN(K16)-LEN(M16)-LEN(N16)-LEN(O16)-3),1,FIND(" ",RIGHT(K16,LEN(K16)-LEN(M16)-LEN(N16)-LEN(O16)-3),1)-1)</f>
        <v>1a</v>
      </c>
      <c r="Q16" t="str">
        <f>MID(RIGHT(K16,LEN(K16)-LEN(M16)-LEN(N16)-LEN(O16)-LEN(P16)-4),1,FIND(" ",RIGHT(K16,LEN(K16)-LEN(M16)-LEN(N16)-LEN(O16)-LEN(P16)-4),1)-1)</f>
        <v>-6.85</v>
      </c>
      <c r="R16" t="str">
        <f>MID(RIGHT(K16,LEN(K16)-LEN(M16)-LEN(N16)-LEN(O16)-LEN(P16)-LEN(Q16)-5),1,FIND(" ",RIGHT(K16,LEN(K16)-LEN(M16)-LEN(N16)-LEN(O16)-LEN(P16)-LEN(Q16)-5),1)-1)</f>
        <v>67.67</v>
      </c>
      <c r="S16" t="str">
        <f>RIGHT(K16,LEN(K16)-FIND(R16,K16,1)-LEN(R16))</f>
        <v>3.36</v>
      </c>
      <c r="U16" s="117">
        <f t="shared" si="2"/>
        <v>-6.9</v>
      </c>
      <c r="V16" s="117">
        <f t="shared" si="3"/>
        <v>68.569999999999993</v>
      </c>
      <c r="W16" s="117">
        <f t="shared" si="4"/>
        <v>3.39</v>
      </c>
    </row>
    <row r="17" spans="2:23" x14ac:dyDescent="0.25">
      <c r="B17" s="210"/>
      <c r="C17" s="215">
        <v>3.77</v>
      </c>
      <c r="D17" s="212">
        <v>0</v>
      </c>
      <c r="E17" s="213">
        <v>0</v>
      </c>
      <c r="F17" s="217">
        <v>1</v>
      </c>
      <c r="G17" s="215">
        <v>-1.1399999999999999</v>
      </c>
      <c r="H17" s="215">
        <v>3.54</v>
      </c>
      <c r="I17" s="216">
        <v>0</v>
      </c>
      <c r="K17" s="206" t="s">
        <v>776</v>
      </c>
      <c r="L17" s="210"/>
      <c r="M17" t="str">
        <f>MID(RIGHT(K17,LEN(K17)),1,FIND(" ",RIGHT(K17,LEN(K17)),1)-1)</f>
        <v>2.97</v>
      </c>
      <c r="N17" t="str">
        <f>MID(RIGHT(K17,LEN(K17)-LEN(M17)-1),1,FIND(" ",RIGHT(K17,LEN(K17)-LEN(M17)-1),1)-1)</f>
        <v>00.00</v>
      </c>
      <c r="O17" t="str">
        <f>MID(RIGHT(K17,LEN(K17)-LEN(M17)-LEN(N17)-2),1,FIND(" ",RIGHT(K17,LEN(K17)-LEN(M17)-LEN(N17)-2),1)-1)</f>
        <v>0</v>
      </c>
      <c r="P17" t="str">
        <f>MID(RIGHT(K17,LEN(K17)-LEN(M17)-LEN(N17)-LEN(O17)-3),1,FIND(" ",RIGHT(K17,LEN(K17)-LEN(M17)-LEN(N17)-LEN(O17)-3),1)-1)</f>
        <v>1</v>
      </c>
      <c r="Q17" t="str">
        <f>MID(RIGHT(K17,LEN(K17)-LEN(M17)-LEN(N17)-LEN(O17)-LEN(P17)-4),1,FIND(" ",RIGHT(K17,LEN(K17)-LEN(M17)-LEN(N17)-LEN(O17)-LEN(P17)-4),1)-1)</f>
        <v>-1.02</v>
      </c>
      <c r="R17" t="str">
        <f>MID(RIGHT(K17,LEN(K17)-LEN(M17)-LEN(N17)-LEN(O17)-LEN(P17)-LEN(Q17)-5),1,FIND(" ",RIGHT(K17,LEN(K17)-LEN(M17)-LEN(N17)-LEN(O17)-LEN(P17)-LEN(Q17)-5),1)-1)</f>
        <v>2.47</v>
      </c>
      <c r="S17" t="str">
        <f>RIGHT(K17,LEN(K17)-FIND(R17,K17,1)-LEN(R17))</f>
        <v>-0.13</v>
      </c>
      <c r="U17" s="117">
        <f t="shared" si="2"/>
        <v>-1.02</v>
      </c>
      <c r="V17" s="117">
        <f t="shared" si="3"/>
        <v>3.29</v>
      </c>
      <c r="W17" s="117">
        <f t="shared" si="4"/>
        <v>-0.18</v>
      </c>
    </row>
    <row r="18" spans="2:23" x14ac:dyDescent="0.25">
      <c r="B18" s="211" t="s">
        <v>41</v>
      </c>
      <c r="C18" s="215">
        <v>3.77</v>
      </c>
      <c r="D18" s="212">
        <v>0</v>
      </c>
      <c r="E18" s="213">
        <v>240</v>
      </c>
      <c r="F18" s="214" t="s">
        <v>36</v>
      </c>
      <c r="G18" s="215">
        <v>-5.51</v>
      </c>
      <c r="H18" s="215">
        <v>-61.42</v>
      </c>
      <c r="I18" s="216">
        <v>-3.16</v>
      </c>
      <c r="K18" s="206" t="s">
        <v>764</v>
      </c>
      <c r="L18" t="str">
        <f>MID(K18,1,FIND("g",K18,1))</f>
        <v>0.9D + 1.0W 60 deg</v>
      </c>
      <c r="M18" t="str">
        <f>MID(RIGHT(K18,LEN(K18)-LEN(L18)-1),1,FIND(" ",RIGHT(K18,LEN(K18)-LEN(L18)-1),1)-1)</f>
        <v>2.97</v>
      </c>
      <c r="N18" t="str">
        <f>MID(RIGHT(K18,LEN(K18)-LEN(L18)-LEN(M18)-2),1,FIND(" ",RIGHT(K18,LEN(K18)-LEN(L18)-LEN(M18)-2),1)-1)</f>
        <v>00.00</v>
      </c>
      <c r="O18" t="str">
        <f>MID(RIGHT(K18,LEN(K18)-LEN(L18)-LEN(M18)-LEN(N18)-3),1,FIND(" ",RIGHT(K18,LEN(K18)-LEN(L18)-LEN(M18)-LEN(N18)-3),1)-1)</f>
        <v>240</v>
      </c>
      <c r="P18" t="str">
        <f>MID(RIGHT(K18,LEN(K18)-LEN(L18)-LEN(M18)-LEN(N18)-LEN(O18)-4),1,FIND(" ",RIGHT(K18,LEN(K18)-LEN(L18)-LEN(M18)-LEN(N18)-LEN(O18)-4),1)-1)</f>
        <v>1b</v>
      </c>
      <c r="Q18" t="str">
        <f>MID(RIGHT(K18,LEN(K18)-LEN(L18)-LEN(M18)-LEN(N18)-LEN(O18)-LEN(P18)-5),1,FIND(" ",RIGHT(K18,LEN(K18)-LEN(L18)-LEN(M18)-LEN(N18)-LEN(O18)-LEN(P18)-5),1)-1)</f>
        <v>-7.13</v>
      </c>
      <c r="R18" t="str">
        <f>MID(RIGHT(K18,LEN(K18)-LEN(L18)-LEN(M18)-LEN(N18)-LEN(O18)-LEN(P18)-LEN(Q18)-6),1,FIND(" ",RIGHT(K18,LEN(K18)-LEN(L18)-LEN(M18)-LEN(N18)-LEN(O18)-LEN(P18)-LEN(Q18)-6),1)-1)</f>
        <v>-70.72</v>
      </c>
      <c r="S18" t="str">
        <f>RIGHT(K18,LEN(K18)-FIND(R18,K18,1)-LEN(R18))</f>
        <v>-4.12</v>
      </c>
      <c r="U18" s="117">
        <f t="shared" si="2"/>
        <v>-7.08</v>
      </c>
      <c r="V18" s="117">
        <f t="shared" si="3"/>
        <v>-69.98</v>
      </c>
      <c r="W18" s="117">
        <f t="shared" si="4"/>
        <v>-4.09</v>
      </c>
    </row>
    <row r="19" spans="2:23" x14ac:dyDescent="0.25">
      <c r="B19" s="210"/>
      <c r="C19" s="215">
        <v>3.77</v>
      </c>
      <c r="D19" s="212">
        <v>0</v>
      </c>
      <c r="E19" s="213">
        <v>120</v>
      </c>
      <c r="F19" s="214" t="s">
        <v>37</v>
      </c>
      <c r="G19" s="215">
        <v>-3.31</v>
      </c>
      <c r="H19" s="215">
        <v>36.01</v>
      </c>
      <c r="I19" s="216">
        <v>0.77</v>
      </c>
      <c r="K19" s="206" t="s">
        <v>777</v>
      </c>
      <c r="L19" s="3"/>
      <c r="M19" t="str">
        <f t="shared" ref="M19:M20" si="22">MID(RIGHT(K19,LEN(K19)),1,FIND(" ",RIGHT(K19,LEN(K19)),1)-1)</f>
        <v>2.97</v>
      </c>
      <c r="N19" t="str">
        <f t="shared" ref="N19:N20" si="23">MID(RIGHT(K19,LEN(K19)-LEN(M19)-1),1,FIND(" ",RIGHT(K19,LEN(K19)-LEN(M19)-1),1)-1)</f>
        <v>00.00</v>
      </c>
      <c r="O19" t="str">
        <f t="shared" ref="O19:O20" si="24">MID(RIGHT(K19,LEN(K19)-LEN(M19)-LEN(N19)-2),1,FIND(" ",RIGHT(K19,LEN(K19)-LEN(M19)-LEN(N19)-2),1)-1)</f>
        <v>120</v>
      </c>
      <c r="P19" t="str">
        <f t="shared" ref="P19:P20" si="25">MID(RIGHT(K19,LEN(K19)-LEN(M19)-LEN(N19)-LEN(O19)-3),1,FIND(" ",RIGHT(K19,LEN(K19)-LEN(M19)-LEN(N19)-LEN(O19)-3),1)-1)</f>
        <v>1a</v>
      </c>
      <c r="Q19" t="str">
        <f t="shared" ref="Q19:Q20" si="26">MID(RIGHT(K19,LEN(K19)-LEN(M19)-LEN(N19)-LEN(O19)-LEN(P19)-4),1,FIND(" ",RIGHT(K19,LEN(K19)-LEN(M19)-LEN(N19)-LEN(O19)-LEN(P19)-4),1)-1)</f>
        <v>-4.16</v>
      </c>
      <c r="R19" t="str">
        <f t="shared" ref="R19:R20" si="27">MID(RIGHT(K19,LEN(K19)-LEN(M19)-LEN(N19)-LEN(O19)-LEN(P19)-LEN(Q19)-5),1,FIND(" ",RIGHT(K19,LEN(K19)-LEN(M19)-LEN(N19)-LEN(O19)-LEN(P19)-LEN(Q19)-5),1)-1)</f>
        <v>39.06</v>
      </c>
      <c r="S19" t="str">
        <f t="shared" ref="S19:S20" si="28">RIGHT(K19,LEN(K19)-FIND(R19,K19,1)-LEN(R19))</f>
        <v>1.42</v>
      </c>
      <c r="U19" s="117">
        <f t="shared" si="2"/>
        <v>-4.21</v>
      </c>
      <c r="V19" s="117">
        <f t="shared" si="3"/>
        <v>39.92</v>
      </c>
      <c r="W19" s="117">
        <f t="shared" si="4"/>
        <v>1.45</v>
      </c>
    </row>
    <row r="20" spans="2:23" x14ac:dyDescent="0.25">
      <c r="B20" s="210"/>
      <c r="C20" s="215">
        <v>3.77</v>
      </c>
      <c r="D20" s="212">
        <v>0</v>
      </c>
      <c r="E20" s="213">
        <v>0</v>
      </c>
      <c r="F20" s="217">
        <v>1</v>
      </c>
      <c r="G20" s="215">
        <v>-1.01</v>
      </c>
      <c r="H20" s="215">
        <v>36.04</v>
      </c>
      <c r="I20" s="216">
        <v>-3.28</v>
      </c>
      <c r="K20" s="206" t="s">
        <v>778</v>
      </c>
      <c r="L20" s="3"/>
      <c r="M20" t="str">
        <f t="shared" si="22"/>
        <v>2.97</v>
      </c>
      <c r="N20" t="str">
        <f t="shared" si="23"/>
        <v>00.00</v>
      </c>
      <c r="O20" t="str">
        <f t="shared" si="24"/>
        <v>0</v>
      </c>
      <c r="P20" t="str">
        <f t="shared" si="25"/>
        <v>1</v>
      </c>
      <c r="Q20" t="str">
        <f t="shared" si="26"/>
        <v>-0.85</v>
      </c>
      <c r="R20" t="str">
        <f t="shared" si="27"/>
        <v>39.07</v>
      </c>
      <c r="S20" t="str">
        <f t="shared" si="28"/>
        <v>-4.31</v>
      </c>
      <c r="U20" s="117">
        <f t="shared" si="2"/>
        <v>-0.85</v>
      </c>
      <c r="V20" s="117">
        <f t="shared" si="3"/>
        <v>39.93</v>
      </c>
      <c r="W20" s="117">
        <f t="shared" si="4"/>
        <v>-4.37</v>
      </c>
    </row>
    <row r="21" spans="2:23" x14ac:dyDescent="0.25">
      <c r="B21" s="211" t="s">
        <v>42</v>
      </c>
      <c r="C21" s="215">
        <v>3.77</v>
      </c>
      <c r="D21" s="212">
        <v>0</v>
      </c>
      <c r="E21" s="213">
        <v>240</v>
      </c>
      <c r="F21" s="214" t="s">
        <v>36</v>
      </c>
      <c r="G21" s="215">
        <v>-2.7</v>
      </c>
      <c r="H21" s="215">
        <v>-33.46</v>
      </c>
      <c r="I21" s="216">
        <v>-2.73</v>
      </c>
      <c r="K21" s="206" t="s">
        <v>765</v>
      </c>
      <c r="L21" t="str">
        <f>MID(K21,1,FIND("l",K21,1))</f>
        <v>0.9D + 1.0W Normal</v>
      </c>
      <c r="M21" t="str">
        <f>MID(RIGHT(K21,LEN(K21)-LEN(L21)-1),1,FIND(" ",RIGHT(K21,LEN(K21)-LEN(L21)-1),1)-1)</f>
        <v>2.97</v>
      </c>
      <c r="N21" t="str">
        <f>MID(RIGHT(K21,LEN(K21)-LEN(L21)-LEN(M21)-2),1,FIND(" ",RIGHT(K21,LEN(K21)-LEN(L21)-LEN(M21)-2),1)-1)</f>
        <v>00.00</v>
      </c>
      <c r="O21" t="str">
        <f>MID(RIGHT(K21,LEN(K21)-LEN(L21)-LEN(M21)-LEN(N21)-3),1,FIND(" ",RIGHT(K21,LEN(K21)-LEN(L21)-LEN(M21)-LEN(N21)-3),1)-1)</f>
        <v>240</v>
      </c>
      <c r="P21" t="str">
        <f>MID(RIGHT(K21,LEN(K21)-LEN(L21)-LEN(M21)-LEN(N21)-LEN(O21)-4),1,FIND(" ",RIGHT(K21,LEN(K21)-LEN(L21)-LEN(M21)-LEN(N21)-LEN(O21)-4),1)-1)</f>
        <v>1b</v>
      </c>
      <c r="Q21" t="str">
        <f>MID(RIGHT(K21,LEN(K21)-LEN(L21)-LEN(M21)-LEN(N21)-LEN(O21)-LEN(P21)-5),1,FIND(" ",RIGHT(K21,LEN(K21)-LEN(L21)-LEN(M21)-LEN(N21)-LEN(O21)-LEN(P21)-5),1)-1)</f>
        <v>-3.49</v>
      </c>
      <c r="R21" t="str">
        <f>MID(RIGHT(K21,LEN(K21)-LEN(L21)-LEN(M21)-LEN(N21)-LEN(O21)-LEN(P21)-LEN(Q21)-6),1,FIND(" ",RIGHT(K21,LEN(K21)-LEN(L21)-LEN(M21)-LEN(N21)-LEN(O21)-LEN(P21)-LEN(Q21)-6),1)-1)</f>
        <v>-38.33</v>
      </c>
      <c r="S21" t="str">
        <f>RIGHT(K21,LEN(K21)-FIND(R21,K21,1)-LEN(R21))</f>
        <v>-3.14</v>
      </c>
      <c r="U21" s="117">
        <f t="shared" si="2"/>
        <v>-3.44</v>
      </c>
      <c r="V21" s="117">
        <f t="shared" si="3"/>
        <v>-37.549999999999997</v>
      </c>
      <c r="W21" s="117">
        <f t="shared" si="4"/>
        <v>-3.12</v>
      </c>
    </row>
    <row r="22" spans="2:23" x14ac:dyDescent="0.25">
      <c r="B22" s="210"/>
      <c r="C22" s="215">
        <v>3.77</v>
      </c>
      <c r="D22" s="212">
        <v>0</v>
      </c>
      <c r="E22" s="213">
        <v>120</v>
      </c>
      <c r="F22" s="214" t="s">
        <v>37</v>
      </c>
      <c r="G22" s="215">
        <v>2.7</v>
      </c>
      <c r="H22" s="215">
        <v>-33.46</v>
      </c>
      <c r="I22" s="216">
        <v>-2.73</v>
      </c>
      <c r="K22" s="206" t="s">
        <v>779</v>
      </c>
      <c r="L22" s="3"/>
      <c r="M22" t="str">
        <f t="shared" ref="M22:M23" si="29">MID(RIGHT(K22,LEN(K22)),1,FIND(" ",RIGHT(K22,LEN(K22)),1)-1)</f>
        <v>2.97</v>
      </c>
      <c r="N22" t="str">
        <f t="shared" ref="N22:N23" si="30">MID(RIGHT(K22,LEN(K22)-LEN(M22)-1),1,FIND(" ",RIGHT(K22,LEN(K22)-LEN(M22)-1),1)-1)</f>
        <v>00.00</v>
      </c>
      <c r="O22" t="str">
        <f t="shared" ref="O22:O23" si="31">MID(RIGHT(K22,LEN(K22)-LEN(M22)-LEN(N22)-2),1,FIND(" ",RIGHT(K22,LEN(K22)-LEN(M22)-LEN(N22)-2),1)-1)</f>
        <v>120</v>
      </c>
      <c r="P22" t="str">
        <f t="shared" ref="P22:P23" si="32">MID(RIGHT(K22,LEN(K22)-LEN(M22)-LEN(N22)-LEN(O22)-3),1,FIND(" ",RIGHT(K22,LEN(K22)-LEN(M22)-LEN(N22)-LEN(O22)-3),1)-1)</f>
        <v>1a</v>
      </c>
      <c r="Q22" t="str">
        <f t="shared" ref="Q22:Q23" si="33">MID(RIGHT(K22,LEN(K22)-LEN(M22)-LEN(N22)-LEN(O22)-LEN(P22)-4),1,FIND(" ",RIGHT(K22,LEN(K22)-LEN(M22)-LEN(N22)-LEN(O22)-LEN(P22)-4),1)-1)</f>
        <v>3.49</v>
      </c>
      <c r="R22" t="str">
        <f t="shared" ref="R22:R23" si="34">MID(RIGHT(K22,LEN(K22)-LEN(M22)-LEN(N22)-LEN(O22)-LEN(P22)-LEN(Q22)-5),1,FIND(" ",RIGHT(K22,LEN(K22)-LEN(M22)-LEN(N22)-LEN(O22)-LEN(P22)-LEN(Q22)-5),1)-1)</f>
        <v>-38.33</v>
      </c>
      <c r="S22" t="str">
        <f t="shared" ref="S22:S23" si="35">RIGHT(K22,LEN(K22)-FIND(R22,K22,1)-LEN(R22))</f>
        <v>-3.14</v>
      </c>
      <c r="U22" s="117">
        <f t="shared" si="2"/>
        <v>3.44</v>
      </c>
      <c r="V22" s="117">
        <f t="shared" si="3"/>
        <v>-37.549999999999997</v>
      </c>
      <c r="W22" s="117">
        <f t="shared" si="4"/>
        <v>-3.12</v>
      </c>
    </row>
    <row r="23" spans="2:23" x14ac:dyDescent="0.25">
      <c r="B23" s="210"/>
      <c r="C23" s="215">
        <v>3.77</v>
      </c>
      <c r="D23" s="212">
        <v>0</v>
      </c>
      <c r="E23" s="213">
        <v>0</v>
      </c>
      <c r="F23" s="217">
        <v>1</v>
      </c>
      <c r="G23" s="215">
        <v>0</v>
      </c>
      <c r="H23" s="215">
        <v>77.53</v>
      </c>
      <c r="I23" s="216">
        <v>-7.6</v>
      </c>
      <c r="K23" s="206" t="s">
        <v>780</v>
      </c>
      <c r="L23" s="3"/>
      <c r="M23" t="str">
        <f t="shared" si="29"/>
        <v>2.97</v>
      </c>
      <c r="N23" t="str">
        <f t="shared" si="30"/>
        <v>00.00</v>
      </c>
      <c r="O23" t="str">
        <f t="shared" si="31"/>
        <v>0</v>
      </c>
      <c r="P23" t="str">
        <f t="shared" si="32"/>
        <v>1</v>
      </c>
      <c r="Q23" t="str">
        <f t="shared" si="33"/>
        <v>0.00</v>
      </c>
      <c r="R23" t="str">
        <f t="shared" si="34"/>
        <v>84.07</v>
      </c>
      <c r="S23" t="str">
        <f t="shared" si="35"/>
        <v>-9.56</v>
      </c>
      <c r="U23" s="117">
        <f t="shared" si="2"/>
        <v>0</v>
      </c>
      <c r="V23" s="117">
        <f t="shared" si="3"/>
        <v>84.98</v>
      </c>
      <c r="W23" s="117">
        <f t="shared" si="4"/>
        <v>-9.6199999999999992</v>
      </c>
    </row>
    <row r="24" spans="2:23" x14ac:dyDescent="0.25">
      <c r="B24" s="211" t="s">
        <v>43</v>
      </c>
      <c r="C24" s="215">
        <v>3.77</v>
      </c>
      <c r="D24" s="212">
        <v>0</v>
      </c>
      <c r="E24" s="213">
        <v>240</v>
      </c>
      <c r="F24" s="214" t="s">
        <v>36</v>
      </c>
      <c r="G24" s="215">
        <v>-5.13</v>
      </c>
      <c r="H24" s="215">
        <v>-53.64</v>
      </c>
      <c r="I24" s="216">
        <v>-2.37</v>
      </c>
      <c r="K24" s="206" t="s">
        <v>766</v>
      </c>
      <c r="L24" t="str">
        <f>MID(K24,1,FIND("g",K24,1))</f>
        <v>1.2D + 1.0W 90 deg</v>
      </c>
      <c r="M24" t="str">
        <f>MID(RIGHT(K24,LEN(K24)-LEN(L24)-1),1,FIND(" ",RIGHT(K24,LEN(K24)-LEN(L24)-1),1)-1)</f>
        <v>2.97</v>
      </c>
      <c r="N24" t="str">
        <f>MID(RIGHT(K24,LEN(K24)-LEN(L24)-LEN(M24)-2),1,FIND(" ",RIGHT(K24,LEN(K24)-LEN(L24)-LEN(M24)-2),1)-1)</f>
        <v>00.00</v>
      </c>
      <c r="O24" t="str">
        <f>MID(RIGHT(K24,LEN(K24)-LEN(L24)-LEN(M24)-LEN(N24)-3),1,FIND(" ",RIGHT(K24,LEN(K24)-LEN(L24)-LEN(M24)-LEN(N24)-3),1)-1)</f>
        <v>240</v>
      </c>
      <c r="P24" t="str">
        <f>MID(RIGHT(K24,LEN(K24)-LEN(L24)-LEN(M24)-LEN(N24)-LEN(O24)-4),1,FIND(" ",RIGHT(K24,LEN(K24)-LEN(L24)-LEN(M24)-LEN(N24)-LEN(O24)-4),1)-1)</f>
        <v>1b</v>
      </c>
      <c r="Q24" t="str">
        <f>MID(RIGHT(K24,LEN(K24)-LEN(L24)-LEN(M24)-LEN(N24)-LEN(O24)-LEN(P24)-5),1,FIND(" ",RIGHT(K24,LEN(K24)-LEN(L24)-LEN(M24)-LEN(N24)-LEN(O24)-LEN(P24)-5),1)-1)</f>
        <v>-6.57</v>
      </c>
      <c r="R24" t="str">
        <f>MID(RIGHT(K24,LEN(K24)-LEN(L24)-LEN(M24)-LEN(N24)-LEN(O24)-LEN(P24)-LEN(Q24)-6),1,FIND(" ",RIGHT(K24,LEN(K24)-LEN(L24)-LEN(M24)-LEN(N24)-LEN(O24)-LEN(P24)-LEN(Q24)-6),1)-1)</f>
        <v>-61.98</v>
      </c>
      <c r="S24" t="str">
        <f>RIGHT(K24,LEN(K24)-FIND(R24,K24,1)-LEN(R24))</f>
        <v>-3.21</v>
      </c>
    </row>
    <row r="25" spans="2:23" x14ac:dyDescent="0.25">
      <c r="B25" s="210"/>
      <c r="C25" s="215">
        <v>3.77</v>
      </c>
      <c r="D25" s="212">
        <v>0</v>
      </c>
      <c r="E25" s="213">
        <v>120</v>
      </c>
      <c r="F25" s="214" t="s">
        <v>37</v>
      </c>
      <c r="G25" s="215">
        <v>-5.5</v>
      </c>
      <c r="H25" s="215">
        <v>63.09</v>
      </c>
      <c r="I25" s="216">
        <v>2.4500000000000002</v>
      </c>
      <c r="K25" s="206" t="s">
        <v>781</v>
      </c>
      <c r="L25" s="3"/>
      <c r="M25" t="str">
        <f t="shared" ref="M25:M26" si="36">MID(RIGHT(K25,LEN(K25)),1,FIND(" ",RIGHT(K25,LEN(K25)),1)-1)</f>
        <v>2.97</v>
      </c>
      <c r="N25" t="str">
        <f t="shared" ref="N25:N26" si="37">MID(RIGHT(K25,LEN(K25)-LEN(M25)-1),1,FIND(" ",RIGHT(K25,LEN(K25)-LEN(M25)-1),1)-1)</f>
        <v>00.00</v>
      </c>
      <c r="O25" t="str">
        <f t="shared" ref="O25:O26" si="38">MID(RIGHT(K25,LEN(K25)-LEN(M25)-LEN(N25)-2),1,FIND(" ",RIGHT(K25,LEN(K25)-LEN(M25)-LEN(N25)-2),1)-1)</f>
        <v>120</v>
      </c>
      <c r="P25" t="str">
        <f t="shared" ref="P25:P26" si="39">MID(RIGHT(K25,LEN(K25)-LEN(M25)-LEN(N25)-LEN(O25)-3),1,FIND(" ",RIGHT(K25,LEN(K25)-LEN(M25)-LEN(N25)-LEN(O25)-3),1)-1)</f>
        <v>1a</v>
      </c>
      <c r="Q25" t="str">
        <f t="shared" ref="Q25:Q26" si="40">MID(RIGHT(K25,LEN(K25)-LEN(M25)-LEN(N25)-LEN(O25)-LEN(P25)-4),1,FIND(" ",RIGHT(K25,LEN(K25)-LEN(M25)-LEN(N25)-LEN(O25)-LEN(P25)-4),1)-1)</f>
        <v>-6.90</v>
      </c>
      <c r="R25" t="str">
        <f t="shared" ref="R25:R26" si="41">MID(RIGHT(K25,LEN(K25)-LEN(M25)-LEN(N25)-LEN(O25)-LEN(P25)-LEN(Q25)-5),1,FIND(" ",RIGHT(K25,LEN(K25)-LEN(M25)-LEN(N25)-LEN(O25)-LEN(P25)-LEN(Q25)-5),1)-1)</f>
        <v>68.57</v>
      </c>
      <c r="S25" t="str">
        <f t="shared" ref="S25:S26" si="42">RIGHT(K25,LEN(K25)-FIND(R25,K25,1)-LEN(R25))</f>
        <v>3.39</v>
      </c>
    </row>
    <row r="26" spans="2:23" x14ac:dyDescent="0.25">
      <c r="B26" s="210"/>
      <c r="C26" s="215">
        <v>3.77</v>
      </c>
      <c r="D26" s="212">
        <v>0</v>
      </c>
      <c r="E26" s="213">
        <v>0</v>
      </c>
      <c r="F26" s="217">
        <v>1</v>
      </c>
      <c r="G26" s="215">
        <v>-1.1499999999999999</v>
      </c>
      <c r="H26" s="215">
        <v>4.72</v>
      </c>
      <c r="I26" s="216">
        <v>-7.0000000000000007E-2</v>
      </c>
      <c r="K26" s="206" t="s">
        <v>782</v>
      </c>
      <c r="L26" s="3"/>
      <c r="M26" t="str">
        <f t="shared" si="36"/>
        <v>2.97</v>
      </c>
      <c r="N26" t="str">
        <f t="shared" si="37"/>
        <v>00.00</v>
      </c>
      <c r="O26" t="str">
        <f t="shared" si="38"/>
        <v>0</v>
      </c>
      <c r="P26" t="str">
        <f t="shared" si="39"/>
        <v>1</v>
      </c>
      <c r="Q26" t="str">
        <f t="shared" si="40"/>
        <v>-1.02</v>
      </c>
      <c r="R26" t="str">
        <f t="shared" si="41"/>
        <v>3.29</v>
      </c>
      <c r="S26" t="str">
        <f t="shared" si="42"/>
        <v>-0.18</v>
      </c>
    </row>
    <row r="27" spans="2:23" x14ac:dyDescent="0.25">
      <c r="B27" s="211" t="s">
        <v>44</v>
      </c>
      <c r="C27" s="215">
        <v>3.77</v>
      </c>
      <c r="D27" s="212">
        <v>0</v>
      </c>
      <c r="E27" s="213">
        <v>240</v>
      </c>
      <c r="F27" s="214" t="s">
        <v>36</v>
      </c>
      <c r="G27" s="215">
        <v>-5.44</v>
      </c>
      <c r="H27" s="215">
        <v>-60.34</v>
      </c>
      <c r="I27" s="216">
        <v>-3.12</v>
      </c>
      <c r="K27" s="206" t="s">
        <v>767</v>
      </c>
      <c r="L27" t="str">
        <f>MID(K27,1,FIND("g",K27,1))</f>
        <v>1.2D + 1.0W 60 deg</v>
      </c>
      <c r="M27" t="str">
        <f>MID(RIGHT(K27,LEN(K27)-LEN(L27)-1),1,FIND(" ",RIGHT(K27,LEN(K27)-LEN(L27)-1),1)-1)</f>
        <v>2.97</v>
      </c>
      <c r="N27" t="str">
        <f>MID(RIGHT(K27,LEN(K27)-LEN(L27)-LEN(M27)-2),1,FIND(" ",RIGHT(K27,LEN(K27)-LEN(L27)-LEN(M27)-2),1)-1)</f>
        <v>00.00</v>
      </c>
      <c r="O27" t="str">
        <f>MID(RIGHT(K27,LEN(K27)-LEN(L27)-LEN(M27)-LEN(N27)-3),1,FIND(" ",RIGHT(K27,LEN(K27)-LEN(L27)-LEN(M27)-LEN(N27)-3),1)-1)</f>
        <v>240</v>
      </c>
      <c r="P27" t="str">
        <f>MID(RIGHT(K27,LEN(K27)-LEN(L27)-LEN(M27)-LEN(N27)-LEN(O27)-4),1,FIND(" ",RIGHT(K27,LEN(K27)-LEN(L27)-LEN(M27)-LEN(N27)-LEN(O27)-4),1)-1)</f>
        <v>1b</v>
      </c>
      <c r="Q27" t="str">
        <f>MID(RIGHT(K27,LEN(K27)-LEN(L27)-LEN(M27)-LEN(N27)-LEN(O27)-LEN(P27)-5),1,FIND(" ",RIGHT(K27,LEN(K27)-LEN(L27)-LEN(M27)-LEN(N27)-LEN(O27)-LEN(P27)-5),1)-1)</f>
        <v>-7.08</v>
      </c>
      <c r="R27" t="str">
        <f>MID(RIGHT(K27,LEN(K27)-LEN(L27)-LEN(M27)-LEN(N27)-LEN(O27)-LEN(P27)-LEN(Q27)-6),1,FIND(" ",RIGHT(K27,LEN(K27)-LEN(L27)-LEN(M27)-LEN(N27)-LEN(O27)-LEN(P27)-LEN(Q27)-6),1)-1)</f>
        <v>-69.98</v>
      </c>
      <c r="S27" t="str">
        <f>RIGHT(K27,LEN(K27)-FIND(R27,K27,1)-LEN(R27))</f>
        <v>-4.09</v>
      </c>
    </row>
    <row r="28" spans="2:23" x14ac:dyDescent="0.25">
      <c r="B28" s="210"/>
      <c r="C28" s="215">
        <v>3.77</v>
      </c>
      <c r="D28" s="212">
        <v>0</v>
      </c>
      <c r="E28" s="213">
        <v>120</v>
      </c>
      <c r="F28" s="214" t="s">
        <v>37</v>
      </c>
      <c r="G28" s="215">
        <v>-3.37</v>
      </c>
      <c r="H28" s="215">
        <v>37.24</v>
      </c>
      <c r="I28" s="216">
        <v>0.8</v>
      </c>
      <c r="K28" s="206" t="s">
        <v>783</v>
      </c>
      <c r="L28" s="3"/>
      <c r="M28" t="str">
        <f t="shared" ref="M28:M29" si="43">MID(RIGHT(K28,LEN(K28)),1,FIND(" ",RIGHT(K28,LEN(K28)),1)-1)</f>
        <v>2.97</v>
      </c>
      <c r="N28" t="str">
        <f t="shared" ref="N28:N29" si="44">MID(RIGHT(K28,LEN(K28)-LEN(M28)-1),1,FIND(" ",RIGHT(K28,LEN(K28)-LEN(M28)-1),1)-1)</f>
        <v>00.00</v>
      </c>
      <c r="O28" t="str">
        <f t="shared" ref="O28:O29" si="45">MID(RIGHT(K28,LEN(K28)-LEN(M28)-LEN(N28)-2),1,FIND(" ",RIGHT(K28,LEN(K28)-LEN(M28)-LEN(N28)-2),1)-1)</f>
        <v>120</v>
      </c>
      <c r="P28" t="str">
        <f t="shared" ref="P28:P29" si="46">MID(RIGHT(K28,LEN(K28)-LEN(M28)-LEN(N28)-LEN(O28)-3),1,FIND(" ",RIGHT(K28,LEN(K28)-LEN(M28)-LEN(N28)-LEN(O28)-3),1)-1)</f>
        <v>1a</v>
      </c>
      <c r="Q28" t="str">
        <f t="shared" ref="Q28:Q29" si="47">MID(RIGHT(K28,LEN(K28)-LEN(M28)-LEN(N28)-LEN(O28)-LEN(P28)-4),1,FIND(" ",RIGHT(K28,LEN(K28)-LEN(M28)-LEN(N28)-LEN(O28)-LEN(P28)-4),1)-1)</f>
        <v>-4.21</v>
      </c>
      <c r="R28" t="str">
        <f t="shared" ref="R28:R29" si="48">MID(RIGHT(K28,LEN(K28)-LEN(M28)-LEN(N28)-LEN(O28)-LEN(P28)-LEN(Q28)-5),1,FIND(" ",RIGHT(K28,LEN(K28)-LEN(M28)-LEN(N28)-LEN(O28)-LEN(P28)-LEN(Q28)-5),1)-1)</f>
        <v>39.92</v>
      </c>
      <c r="S28" t="str">
        <f t="shared" ref="S28:S29" si="49">RIGHT(K28,LEN(K28)-FIND(R28,K28,1)-LEN(R28))</f>
        <v>1.45</v>
      </c>
    </row>
    <row r="29" spans="2:23" x14ac:dyDescent="0.25">
      <c r="B29" s="210"/>
      <c r="C29" s="215">
        <v>3.77</v>
      </c>
      <c r="D29" s="212">
        <v>0</v>
      </c>
      <c r="E29" s="213">
        <v>0</v>
      </c>
      <c r="F29" s="217">
        <v>1</v>
      </c>
      <c r="G29" s="215">
        <v>-1.01</v>
      </c>
      <c r="H29" s="215">
        <v>37.270000000000003</v>
      </c>
      <c r="I29" s="216">
        <v>-3.35</v>
      </c>
      <c r="K29" s="206" t="s">
        <v>784</v>
      </c>
      <c r="L29" s="3"/>
      <c r="M29" t="str">
        <f t="shared" si="43"/>
        <v>2.97</v>
      </c>
      <c r="N29" t="str">
        <f t="shared" si="44"/>
        <v>00.00</v>
      </c>
      <c r="O29" t="str">
        <f t="shared" si="45"/>
        <v>0</v>
      </c>
      <c r="P29" t="str">
        <f t="shared" si="46"/>
        <v>1</v>
      </c>
      <c r="Q29" t="str">
        <f t="shared" si="47"/>
        <v>-0.85</v>
      </c>
      <c r="R29" t="str">
        <f t="shared" si="48"/>
        <v>39.93</v>
      </c>
      <c r="S29" t="str">
        <f t="shared" si="49"/>
        <v>-4.37</v>
      </c>
    </row>
    <row r="30" spans="2:23" x14ac:dyDescent="0.25">
      <c r="B30" s="211" t="s">
        <v>45</v>
      </c>
      <c r="C30" s="215">
        <v>3.77</v>
      </c>
      <c r="D30" s="212">
        <v>0</v>
      </c>
      <c r="E30" s="213">
        <v>240</v>
      </c>
      <c r="F30" s="214" t="s">
        <v>36</v>
      </c>
      <c r="G30" s="215">
        <v>-2.64</v>
      </c>
      <c r="H30" s="215">
        <v>-32.33</v>
      </c>
      <c r="I30" s="216">
        <v>-2.7</v>
      </c>
      <c r="K30" s="206" t="s">
        <v>768</v>
      </c>
      <c r="L30" t="str">
        <f>MID(K30,1,FIND("l",K30,1))</f>
        <v>1.2D + 1.0W Normal</v>
      </c>
      <c r="M30" t="str">
        <f>MID(RIGHT(K30,LEN(K30)-LEN(L30)-1),1,FIND(" ",RIGHT(K30,LEN(K30)-LEN(L30)-1),1)-1)</f>
        <v>2.97</v>
      </c>
      <c r="N30" t="str">
        <f>MID(RIGHT(K30,LEN(K30)-LEN(L30)-LEN(M30)-2),1,FIND(" ",RIGHT(K30,LEN(K30)-LEN(L30)-LEN(M30)-2),1)-1)</f>
        <v>00.00</v>
      </c>
      <c r="O30" t="str">
        <f>MID(RIGHT(K30,LEN(K30)-LEN(L30)-LEN(M30)-LEN(N30)-3),1,FIND(" ",RIGHT(K30,LEN(K30)-LEN(L30)-LEN(M30)-LEN(N30)-3),1)-1)</f>
        <v>240</v>
      </c>
      <c r="P30" t="str">
        <f>MID(RIGHT(K30,LEN(K30)-LEN(L30)-LEN(M30)-LEN(N30)-LEN(O30)-4),1,FIND(" ",RIGHT(K30,LEN(K30)-LEN(L30)-LEN(M30)-LEN(N30)-LEN(O30)-4),1)-1)</f>
        <v>1b</v>
      </c>
      <c r="Q30" t="str">
        <f>MID(RIGHT(K30,LEN(K30)-LEN(L30)-LEN(M30)-LEN(N30)-LEN(O30)-LEN(P30)-5),1,FIND(" ",RIGHT(K30,LEN(K30)-LEN(L30)-LEN(M30)-LEN(N30)-LEN(O30)-LEN(P30)-5),1)-1)</f>
        <v>-3.44</v>
      </c>
      <c r="R30" t="str">
        <f>MID(RIGHT(K30,LEN(K30)-LEN(L30)-LEN(M30)-LEN(N30)-LEN(O30)-LEN(P30)-LEN(Q30)-6),1,FIND(" ",RIGHT(K30,LEN(K30)-LEN(L30)-LEN(M30)-LEN(N30)-LEN(O30)-LEN(P30)-LEN(Q30)-6),1)-1)</f>
        <v>-37.55</v>
      </c>
      <c r="S30" t="str">
        <f>RIGHT(K30,LEN(K30)-FIND(R30,K30,1)-LEN(R30))</f>
        <v>-3.12</v>
      </c>
    </row>
    <row r="31" spans="2:23" x14ac:dyDescent="0.25">
      <c r="B31" s="210"/>
      <c r="C31" s="215">
        <v>3.77</v>
      </c>
      <c r="D31" s="212">
        <v>0</v>
      </c>
      <c r="E31" s="213">
        <v>120</v>
      </c>
      <c r="F31" s="214" t="s">
        <v>37</v>
      </c>
      <c r="G31" s="215">
        <v>2.64</v>
      </c>
      <c r="H31" s="215">
        <v>-32.33</v>
      </c>
      <c r="I31" s="216">
        <v>-2.7</v>
      </c>
      <c r="K31" s="206" t="s">
        <v>785</v>
      </c>
      <c r="L31" s="3"/>
      <c r="M31" t="str">
        <f t="shared" ref="M31:M32" si="50">MID(RIGHT(K31,LEN(K31)),1,FIND(" ",RIGHT(K31,LEN(K31)),1)-1)</f>
        <v>2.97</v>
      </c>
      <c r="N31" t="str">
        <f t="shared" ref="N31:N32" si="51">MID(RIGHT(K31,LEN(K31)-LEN(M31)-1),1,FIND(" ",RIGHT(K31,LEN(K31)-LEN(M31)-1),1)-1)</f>
        <v>00.00</v>
      </c>
      <c r="O31" t="str">
        <f t="shared" ref="O31:O32" si="52">MID(RIGHT(K31,LEN(K31)-LEN(M31)-LEN(N31)-2),1,FIND(" ",RIGHT(K31,LEN(K31)-LEN(M31)-LEN(N31)-2),1)-1)</f>
        <v>120</v>
      </c>
      <c r="P31" t="str">
        <f t="shared" ref="P31:P32" si="53">MID(RIGHT(K31,LEN(K31)-LEN(M31)-LEN(N31)-LEN(O31)-3),1,FIND(" ",RIGHT(K31,LEN(K31)-LEN(M31)-LEN(N31)-LEN(O31)-3),1)-1)</f>
        <v>1a</v>
      </c>
      <c r="Q31" t="str">
        <f t="shared" ref="Q31:Q32" si="54">MID(RIGHT(K31,LEN(K31)-LEN(M31)-LEN(N31)-LEN(O31)-LEN(P31)-4),1,FIND(" ",RIGHT(K31,LEN(K31)-LEN(M31)-LEN(N31)-LEN(O31)-LEN(P31)-4),1)-1)</f>
        <v>3.44</v>
      </c>
      <c r="R31" t="str">
        <f t="shared" ref="R31:R32" si="55">MID(RIGHT(K31,LEN(K31)-LEN(M31)-LEN(N31)-LEN(O31)-LEN(P31)-LEN(Q31)-5),1,FIND(" ",RIGHT(K31,LEN(K31)-LEN(M31)-LEN(N31)-LEN(O31)-LEN(P31)-LEN(Q31)-5),1)-1)</f>
        <v>-37.55</v>
      </c>
      <c r="S31" t="str">
        <f t="shared" ref="S31:S32" si="56">RIGHT(K31,LEN(K31)-FIND(R31,K31,1)-LEN(R31))</f>
        <v>-3.12</v>
      </c>
    </row>
    <row r="32" spans="2:23" x14ac:dyDescent="0.25">
      <c r="B32" s="218"/>
      <c r="C32" s="215">
        <v>3.77</v>
      </c>
      <c r="D32" s="212">
        <v>0</v>
      </c>
      <c r="E32" s="213">
        <v>0</v>
      </c>
      <c r="F32" s="217">
        <v>1</v>
      </c>
      <c r="G32" s="215">
        <v>0</v>
      </c>
      <c r="H32" s="215">
        <v>78.83</v>
      </c>
      <c r="I32" s="216">
        <v>-7.67</v>
      </c>
      <c r="K32" s="206" t="s">
        <v>786</v>
      </c>
      <c r="L32" s="4"/>
      <c r="M32" t="str">
        <f t="shared" si="50"/>
        <v>2.97</v>
      </c>
      <c r="N32" t="str">
        <f t="shared" si="51"/>
        <v>00.00</v>
      </c>
      <c r="O32" t="str">
        <f t="shared" si="52"/>
        <v>0</v>
      </c>
      <c r="P32" t="str">
        <f t="shared" si="53"/>
        <v>1</v>
      </c>
      <c r="Q32" t="str">
        <f t="shared" si="54"/>
        <v>0.00</v>
      </c>
      <c r="R32" t="str">
        <f t="shared" si="55"/>
        <v>84.98</v>
      </c>
      <c r="S32" t="str">
        <f t="shared" si="56"/>
        <v>-9.62</v>
      </c>
    </row>
  </sheetData>
  <sheetProtection selectLockedCells="1"/>
  <mergeCells count="2">
    <mergeCell ref="U4:W4"/>
    <mergeCell ref="X4:Z4"/>
  </mergeCells>
  <dataValidations count="1">
    <dataValidation type="list" allowBlank="1" showInputMessage="1" showErrorMessage="1" sqref="B3 A2" xr:uid="{6787CB7D-B2CB-49FA-8BB8-9AD0363B3621}">
      <formula1>"Recuadro Azul,Selección"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Reacciones.Reacciones">
                <anchor moveWithCells="1" sizeWithCells="1">
                  <from>
                    <xdr:col>0</xdr:col>
                    <xdr:colOff>66675</xdr:colOff>
                    <xdr:row>3</xdr:row>
                    <xdr:rowOff>19050</xdr:rowOff>
                  </from>
                  <to>
                    <xdr:col>0</xdr:col>
                    <xdr:colOff>1276350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EC79E-C45E-437E-8CCF-021F34FEEEB7}">
  <sheetPr codeName="Hoja9"/>
  <dimension ref="C1:Q67"/>
  <sheetViews>
    <sheetView showGridLines="0" zoomScaleNormal="100" workbookViewId="0">
      <selection activeCell="M26" sqref="M26"/>
    </sheetView>
  </sheetViews>
  <sheetFormatPr baseColWidth="10" defaultColWidth="11.5703125" defaultRowHeight="15" x14ac:dyDescent="0.25"/>
  <cols>
    <col min="1" max="2" width="11.5703125" style="2"/>
    <col min="3" max="3" width="14.42578125" style="2" bestFit="1" customWidth="1"/>
    <col min="4" max="5" width="14.28515625" style="2" bestFit="1" customWidth="1"/>
    <col min="6" max="6" width="5" style="2" customWidth="1"/>
    <col min="7" max="7" width="11.5703125" style="2"/>
    <col min="8" max="8" width="14.42578125" style="2" bestFit="1" customWidth="1"/>
    <col min="9" max="10" width="14.28515625" style="2" bestFit="1" customWidth="1"/>
    <col min="11" max="11" width="11.5703125" style="2"/>
    <col min="12" max="12" width="14.28515625" style="2" customWidth="1"/>
    <col min="13" max="13" width="14.7109375" style="2" customWidth="1"/>
    <col min="14" max="16" width="11.5703125" style="2"/>
    <col min="17" max="17" width="6" style="2" customWidth="1"/>
    <col min="18" max="18" width="5" style="2" customWidth="1"/>
    <col min="19" max="19" width="14.42578125" style="2" bestFit="1" customWidth="1"/>
    <col min="20" max="21" width="14.28515625" style="2" bestFit="1" customWidth="1"/>
    <col min="22" max="22" width="14.28515625" style="2" customWidth="1"/>
    <col min="23" max="23" width="5.42578125" style="2" customWidth="1"/>
    <col min="24" max="24" width="4.85546875" style="2" customWidth="1"/>
    <col min="25" max="25" width="14.42578125" style="2" bestFit="1" customWidth="1"/>
    <col min="26" max="27" width="14.28515625" style="2" bestFit="1" customWidth="1"/>
    <col min="28" max="16384" width="11.5703125" style="2"/>
  </cols>
  <sheetData>
    <row r="1" spans="3:10" x14ac:dyDescent="0.25">
      <c r="C1" s="2" t="s">
        <v>46</v>
      </c>
      <c r="D1" s="2" t="s">
        <v>47</v>
      </c>
      <c r="E1" s="2" t="s">
        <v>48</v>
      </c>
      <c r="G1" s="2" t="s">
        <v>49</v>
      </c>
      <c r="H1" s="2" t="s">
        <v>46</v>
      </c>
      <c r="I1" s="2" t="s">
        <v>47</v>
      </c>
      <c r="J1" s="2" t="s">
        <v>48</v>
      </c>
    </row>
    <row r="2" spans="3:10" x14ac:dyDescent="0.25">
      <c r="C2" s="225">
        <v>-4.8659999999999997</v>
      </c>
      <c r="D2" s="116">
        <v>-1.6547000000000001</v>
      </c>
      <c r="E2">
        <v>0</v>
      </c>
      <c r="H2" s="48"/>
      <c r="I2" s="46"/>
      <c r="J2" s="46"/>
    </row>
    <row r="3" spans="3:10" x14ac:dyDescent="0.25">
      <c r="C3" s="116">
        <v>-3.8660000000000001</v>
      </c>
      <c r="D3" s="116">
        <v>-3.3868</v>
      </c>
      <c r="E3">
        <v>0</v>
      </c>
      <c r="H3" s="46"/>
      <c r="I3" s="46"/>
      <c r="J3" s="46"/>
    </row>
    <row r="4" spans="3:10" x14ac:dyDescent="0.25">
      <c r="C4" s="116">
        <v>3.8660000000000001</v>
      </c>
      <c r="D4" s="116">
        <v>-3.3868</v>
      </c>
      <c r="E4">
        <v>0</v>
      </c>
      <c r="H4" s="46"/>
      <c r="I4" s="46"/>
      <c r="J4" s="46"/>
    </row>
    <row r="5" spans="3:10" x14ac:dyDescent="0.25">
      <c r="C5" s="116">
        <v>4.8659999999999997</v>
      </c>
      <c r="D5" s="116">
        <v>-1.6547000000000001</v>
      </c>
      <c r="E5">
        <v>0</v>
      </c>
      <c r="H5" s="46"/>
      <c r="I5" s="46"/>
      <c r="J5" s="46"/>
    </row>
    <row r="6" spans="3:10" x14ac:dyDescent="0.25">
      <c r="C6" s="116">
        <v>1</v>
      </c>
      <c r="D6" s="116">
        <v>5.0415000000000001</v>
      </c>
      <c r="E6">
        <v>0</v>
      </c>
      <c r="H6" s="46"/>
      <c r="I6" s="46"/>
      <c r="J6" s="46"/>
    </row>
    <row r="7" spans="3:10" x14ac:dyDescent="0.25">
      <c r="C7" s="116">
        <v>-1</v>
      </c>
      <c r="D7" s="116">
        <v>5.0415000000000001</v>
      </c>
      <c r="E7">
        <v>0</v>
      </c>
      <c r="H7" s="46"/>
      <c r="I7" s="46"/>
      <c r="J7" s="46"/>
    </row>
    <row r="8" spans="3:10" x14ac:dyDescent="0.25">
      <c r="C8" s="116">
        <v>-4.8659999999999997</v>
      </c>
      <c r="D8" s="116">
        <v>-1.6547000000000001</v>
      </c>
      <c r="E8">
        <v>0</v>
      </c>
      <c r="H8" s="46"/>
      <c r="I8" s="46"/>
      <c r="J8" s="46"/>
    </row>
    <row r="9" spans="3:10" x14ac:dyDescent="0.25">
      <c r="C9" s="116"/>
      <c r="D9" s="116"/>
      <c r="E9" s="116">
        <v>0</v>
      </c>
      <c r="H9" s="46"/>
      <c r="I9" s="46"/>
      <c r="J9" s="46"/>
    </row>
    <row r="10" spans="3:10" x14ac:dyDescent="0.25">
      <c r="C10" s="116"/>
      <c r="D10" s="116"/>
      <c r="E10" s="116">
        <v>0</v>
      </c>
      <c r="H10" s="46"/>
      <c r="I10" s="46"/>
      <c r="J10" s="46"/>
    </row>
    <row r="11" spans="3:10" x14ac:dyDescent="0.25">
      <c r="C11" s="116"/>
      <c r="D11" s="116"/>
      <c r="E11" s="116">
        <v>0</v>
      </c>
      <c r="H11" s="46"/>
      <c r="I11" s="46"/>
      <c r="J11" s="46"/>
    </row>
    <row r="12" spans="3:10" x14ac:dyDescent="0.25">
      <c r="C12" s="116"/>
      <c r="D12" s="116"/>
      <c r="E12" s="116"/>
      <c r="H12" s="46"/>
      <c r="I12" s="46"/>
      <c r="J12" s="46"/>
    </row>
    <row r="13" spans="3:10" x14ac:dyDescent="0.25">
      <c r="C13" s="116"/>
      <c r="D13" s="116"/>
      <c r="E13" s="116"/>
      <c r="H13" s="46"/>
      <c r="I13" s="46"/>
      <c r="J13" s="46"/>
    </row>
    <row r="14" spans="3:10" x14ac:dyDescent="0.25">
      <c r="C14" s="116"/>
      <c r="D14" s="116"/>
      <c r="E14" s="116"/>
      <c r="H14" s="46"/>
      <c r="I14" s="46"/>
      <c r="J14" s="46"/>
    </row>
    <row r="15" spans="3:10" x14ac:dyDescent="0.25">
      <c r="C15" s="116"/>
      <c r="D15" s="116"/>
      <c r="E15" s="116"/>
      <c r="H15" s="46"/>
      <c r="I15" s="46"/>
      <c r="J15" s="46"/>
    </row>
    <row r="16" spans="3:10" x14ac:dyDescent="0.25">
      <c r="C16" s="116"/>
      <c r="D16" s="116"/>
      <c r="E16" s="116"/>
      <c r="H16" s="46"/>
      <c r="I16" s="46"/>
      <c r="J16" s="46"/>
    </row>
    <row r="17" spans="3:16" x14ac:dyDescent="0.25">
      <c r="C17" s="116"/>
      <c r="D17" s="116"/>
      <c r="E17" s="116"/>
      <c r="H17" s="46"/>
      <c r="I17" s="46"/>
      <c r="J17" s="46"/>
    </row>
    <row r="18" spans="3:16" x14ac:dyDescent="0.25">
      <c r="C18" s="116"/>
      <c r="D18" s="116"/>
      <c r="E18" s="116"/>
      <c r="H18" s="46"/>
      <c r="I18" s="46"/>
      <c r="J18" s="46"/>
    </row>
    <row r="19" spans="3:16" x14ac:dyDescent="0.25">
      <c r="C19" s="116"/>
      <c r="D19" s="116"/>
      <c r="E19" s="116"/>
      <c r="H19" s="46"/>
      <c r="I19" s="46"/>
      <c r="J19" s="46"/>
    </row>
    <row r="20" spans="3:16" x14ac:dyDescent="0.25">
      <c r="C20" s="116"/>
      <c r="D20" s="116"/>
      <c r="E20" s="116"/>
      <c r="H20" s="46"/>
      <c r="I20" s="46"/>
      <c r="J20" s="46"/>
    </row>
    <row r="21" spans="3:16" x14ac:dyDescent="0.25">
      <c r="C21" s="116"/>
      <c r="D21" s="116"/>
      <c r="E21" s="116"/>
      <c r="H21" s="46"/>
      <c r="I21" s="46"/>
      <c r="J21" s="46"/>
    </row>
    <row r="22" spans="3:16" x14ac:dyDescent="0.25">
      <c r="C22" s="116"/>
      <c r="D22" s="116"/>
      <c r="E22" s="116"/>
      <c r="H22" s="46"/>
      <c r="I22" s="46"/>
      <c r="J22" s="46"/>
      <c r="L22" s="291" t="s">
        <v>50</v>
      </c>
      <c r="M22" s="291"/>
      <c r="N22" s="291"/>
      <c r="O22" s="291"/>
      <c r="P22" s="291"/>
    </row>
    <row r="23" spans="3:16" x14ac:dyDescent="0.25">
      <c r="C23" s="116"/>
      <c r="D23" s="116"/>
      <c r="E23" s="116"/>
      <c r="H23" s="46"/>
      <c r="I23" s="46"/>
      <c r="J23" s="46"/>
      <c r="K23" s="58"/>
      <c r="L23" s="220" t="s">
        <v>51</v>
      </c>
      <c r="N23" s="244"/>
      <c r="O23" s="244"/>
    </row>
    <row r="24" spans="3:16" x14ac:dyDescent="0.25">
      <c r="C24" s="116"/>
      <c r="D24" s="116"/>
      <c r="E24" s="116"/>
      <c r="H24" s="46"/>
      <c r="I24" s="46"/>
      <c r="J24" s="46"/>
      <c r="L24" t="s">
        <v>52</v>
      </c>
      <c r="M24" s="24" t="s">
        <v>789</v>
      </c>
      <c r="N24" s="24">
        <f>LEFT(M24,FIND("cm",M24,1)-2)/100</f>
        <v>8.427999999999999</v>
      </c>
    </row>
    <row r="25" spans="3:16" x14ac:dyDescent="0.25">
      <c r="C25" s="116"/>
      <c r="D25" s="116"/>
      <c r="E25" s="116"/>
      <c r="H25" s="46"/>
      <c r="I25" s="46"/>
      <c r="J25" s="46"/>
      <c r="L25" t="s">
        <v>53</v>
      </c>
      <c r="M25" s="24" t="s">
        <v>790</v>
      </c>
      <c r="N25" s="24">
        <f>LEFT(M25,FIND("cm",M25,1)-2)/100</f>
        <v>9.7320000000000011</v>
      </c>
    </row>
    <row r="26" spans="3:16" x14ac:dyDescent="0.25">
      <c r="C26" s="116"/>
      <c r="D26" s="116"/>
      <c r="E26" s="116"/>
      <c r="H26" s="46"/>
      <c r="I26" s="46"/>
      <c r="J26" s="46"/>
      <c r="L26" t="s">
        <v>54</v>
      </c>
      <c r="M26" s="24" t="s">
        <v>635</v>
      </c>
      <c r="N26" s="24"/>
    </row>
    <row r="27" spans="3:16" x14ac:dyDescent="0.25">
      <c r="C27" s="116"/>
      <c r="D27" s="116"/>
      <c r="E27" s="116"/>
      <c r="H27" s="46"/>
      <c r="I27" s="46"/>
      <c r="J27" s="46"/>
      <c r="L27" t="s">
        <v>55</v>
      </c>
      <c r="M27" s="24" t="s">
        <v>636</v>
      </c>
      <c r="N27" s="24"/>
    </row>
    <row r="28" spans="3:16" x14ac:dyDescent="0.25">
      <c r="C28" s="116"/>
      <c r="D28" s="116"/>
      <c r="E28" s="116"/>
      <c r="H28" s="46"/>
      <c r="I28" s="46"/>
      <c r="J28" s="46"/>
      <c r="L28" t="s">
        <v>56</v>
      </c>
      <c r="M28" s="24"/>
      <c r="N28" s="24"/>
    </row>
    <row r="29" spans="3:16" x14ac:dyDescent="0.25">
      <c r="C29" s="116"/>
      <c r="D29" s="116"/>
      <c r="E29" s="116"/>
      <c r="H29" s="46"/>
      <c r="I29" s="46"/>
      <c r="J29" s="46"/>
      <c r="L29" t="s">
        <v>57</v>
      </c>
      <c r="M29" s="24" t="s">
        <v>787</v>
      </c>
      <c r="N29" s="24">
        <f>LEFT(M29,FIND("cm2",M29,1)-2)/10000</f>
        <v>54.404200000000003</v>
      </c>
    </row>
    <row r="30" spans="3:16" x14ac:dyDescent="0.25">
      <c r="C30" s="116"/>
      <c r="D30" s="116"/>
      <c r="E30" s="116"/>
      <c r="H30" s="46"/>
      <c r="I30" s="46"/>
      <c r="J30" s="46"/>
      <c r="L30" t="s">
        <v>58</v>
      </c>
      <c r="M30" s="24" t="s">
        <v>788</v>
      </c>
      <c r="N30" s="24">
        <f>LEFT(M30,FIND("cm4",M30,1)-2)/100000000</f>
        <v>258.92059999999998</v>
      </c>
    </row>
    <row r="31" spans="3:16" x14ac:dyDescent="0.25">
      <c r="C31" s="116"/>
      <c r="D31" s="116"/>
      <c r="E31" s="116"/>
      <c r="H31" s="46"/>
      <c r="I31" s="46"/>
      <c r="J31" s="46"/>
      <c r="L31" t="s">
        <v>59</v>
      </c>
      <c r="M31" s="24" t="s">
        <v>788</v>
      </c>
      <c r="N31" s="24">
        <f>LEFT(M31,FIND("cm4",M31,1)-2)/100000000</f>
        <v>258.92059999999998</v>
      </c>
    </row>
    <row r="32" spans="3:16" x14ac:dyDescent="0.25">
      <c r="C32" s="116"/>
      <c r="D32" s="116"/>
      <c r="E32" s="116"/>
      <c r="H32" s="46"/>
      <c r="I32" s="46"/>
      <c r="J32" s="46"/>
      <c r="L32" t="s">
        <v>60</v>
      </c>
      <c r="M32" s="24" t="s">
        <v>619</v>
      </c>
      <c r="N32" s="24"/>
    </row>
    <row r="33" spans="3:14" x14ac:dyDescent="0.25">
      <c r="C33" s="116"/>
      <c r="D33" s="116"/>
      <c r="E33" s="116"/>
      <c r="H33" s="46"/>
      <c r="I33" s="46"/>
      <c r="J33" s="46"/>
      <c r="L33" t="s">
        <v>61</v>
      </c>
      <c r="M33" s="24" t="s">
        <v>638</v>
      </c>
      <c r="N33" s="24"/>
    </row>
    <row r="34" spans="3:14" x14ac:dyDescent="0.25">
      <c r="C34" s="116"/>
      <c r="D34" s="116"/>
      <c r="E34" s="116"/>
      <c r="H34" s="46"/>
      <c r="I34" s="46"/>
      <c r="J34" s="46"/>
      <c r="L34" t="s">
        <v>62</v>
      </c>
      <c r="M34" s="24" t="s">
        <v>638</v>
      </c>
      <c r="N34" s="24"/>
    </row>
    <row r="35" spans="3:14" x14ac:dyDescent="0.25">
      <c r="C35" s="46"/>
      <c r="D35" s="46"/>
      <c r="E35" s="46"/>
      <c r="H35" s="46"/>
      <c r="I35" s="46"/>
      <c r="J35" s="46"/>
      <c r="L35" t="s">
        <v>63</v>
      </c>
      <c r="M35" s="219" t="s">
        <v>639</v>
      </c>
      <c r="N35" s="24"/>
    </row>
    <row r="36" spans="3:14" x14ac:dyDescent="0.25">
      <c r="C36" s="46"/>
      <c r="D36" s="46"/>
      <c r="E36" s="46"/>
      <c r="H36" s="46"/>
      <c r="I36" s="46"/>
      <c r="J36" s="46"/>
      <c r="L36" t="s">
        <v>64</v>
      </c>
      <c r="M36" s="219" t="s">
        <v>640</v>
      </c>
      <c r="N36" s="24"/>
    </row>
    <row r="37" spans="3:14" x14ac:dyDescent="0.25">
      <c r="C37" s="46"/>
      <c r="D37" s="46"/>
      <c r="E37" s="46"/>
      <c r="H37" s="46"/>
      <c r="I37" s="46"/>
      <c r="J37" s="46"/>
      <c r="L37" t="s">
        <v>65</v>
      </c>
      <c r="M37" s="219" t="s">
        <v>641</v>
      </c>
      <c r="N37" s="24"/>
    </row>
    <row r="38" spans="3:14" x14ac:dyDescent="0.25">
      <c r="C38" s="46"/>
      <c r="D38" s="46"/>
      <c r="E38" s="46"/>
      <c r="H38" s="46"/>
      <c r="I38" s="46"/>
      <c r="J38" s="46"/>
      <c r="L38" t="s">
        <v>66</v>
      </c>
      <c r="M38" s="219" t="s">
        <v>641</v>
      </c>
      <c r="N38" s="24"/>
    </row>
    <row r="39" spans="3:14" x14ac:dyDescent="0.25">
      <c r="L39" t="s">
        <v>67</v>
      </c>
      <c r="M39" s="219" t="s">
        <v>68</v>
      </c>
      <c r="N39" s="24">
        <f>LEFT(M39,FIND("cm",M39,1)-2)/100</f>
        <v>0</v>
      </c>
    </row>
    <row r="40" spans="3:14" x14ac:dyDescent="0.25">
      <c r="L40" t="s">
        <v>69</v>
      </c>
      <c r="M40" s="24" t="s">
        <v>68</v>
      </c>
      <c r="N40" s="24">
        <f>LEFT(M40,FIND("cm",M40,1)-2)/100</f>
        <v>0</v>
      </c>
    </row>
    <row r="41" spans="3:14" x14ac:dyDescent="0.25">
      <c r="L41" t="s">
        <v>70</v>
      </c>
      <c r="M41" s="24"/>
      <c r="N41" s="24"/>
    </row>
    <row r="42" spans="3:14" x14ac:dyDescent="0.25">
      <c r="L42" t="s">
        <v>71</v>
      </c>
      <c r="M42" s="24" t="s">
        <v>637</v>
      </c>
    </row>
    <row r="43" spans="3:14" x14ac:dyDescent="0.25">
      <c r="L43" t="s">
        <v>72</v>
      </c>
      <c r="M43" s="24" t="s">
        <v>637</v>
      </c>
    </row>
    <row r="44" spans="3:14" x14ac:dyDescent="0.25">
      <c r="L44" t="s">
        <v>73</v>
      </c>
      <c r="M44" s="24" t="s">
        <v>642</v>
      </c>
    </row>
    <row r="45" spans="3:14" x14ac:dyDescent="0.25">
      <c r="L45" t="s">
        <v>74</v>
      </c>
      <c r="M45" s="24" t="s">
        <v>638</v>
      </c>
    </row>
    <row r="46" spans="3:14" x14ac:dyDescent="0.25">
      <c r="L46" t="s">
        <v>75</v>
      </c>
      <c r="M46" s="24" t="s">
        <v>638</v>
      </c>
    </row>
    <row r="47" spans="3:14" x14ac:dyDescent="0.25">
      <c r="L47" t="s">
        <v>76</v>
      </c>
      <c r="M47" s="219" t="s">
        <v>643</v>
      </c>
    </row>
    <row r="48" spans="3:14" x14ac:dyDescent="0.25">
      <c r="L48" t="s">
        <v>77</v>
      </c>
      <c r="M48" s="219" t="s">
        <v>644</v>
      </c>
    </row>
    <row r="49" spans="12:17" x14ac:dyDescent="0.25">
      <c r="L49" t="s">
        <v>78</v>
      </c>
      <c r="M49" s="219" t="s">
        <v>643</v>
      </c>
    </row>
    <row r="50" spans="12:17" x14ac:dyDescent="0.25">
      <c r="L50" t="s">
        <v>79</v>
      </c>
      <c r="M50" s="219" t="s">
        <v>644</v>
      </c>
    </row>
    <row r="51" spans="12:17" x14ac:dyDescent="0.25">
      <c r="L51" t="s">
        <v>80</v>
      </c>
      <c r="M51" s="219"/>
    </row>
    <row r="52" spans="12:17" x14ac:dyDescent="0.25">
      <c r="L52" t="s">
        <v>81</v>
      </c>
      <c r="M52" s="24" t="s">
        <v>645</v>
      </c>
    </row>
    <row r="53" spans="12:17" x14ac:dyDescent="0.25">
      <c r="L53" t="s">
        <v>82</v>
      </c>
      <c r="M53" s="24" t="s">
        <v>646</v>
      </c>
    </row>
    <row r="54" spans="12:17" x14ac:dyDescent="0.25">
      <c r="L54" t="s">
        <v>83</v>
      </c>
      <c r="M54" s="24"/>
    </row>
    <row r="55" spans="12:17" x14ac:dyDescent="0.25">
      <c r="L55" t="s">
        <v>84</v>
      </c>
      <c r="M55" s="219" t="s">
        <v>647</v>
      </c>
    </row>
    <row r="56" spans="12:17" x14ac:dyDescent="0.25">
      <c r="L56" t="s">
        <v>85</v>
      </c>
      <c r="M56" s="219" t="s">
        <v>647</v>
      </c>
    </row>
    <row r="57" spans="12:17" x14ac:dyDescent="0.25">
      <c r="L57" t="s">
        <v>86</v>
      </c>
      <c r="M57" s="219" t="s">
        <v>68</v>
      </c>
    </row>
    <row r="58" spans="12:17" x14ac:dyDescent="0.25">
      <c r="L58" t="s">
        <v>87</v>
      </c>
      <c r="M58" s="24" t="s">
        <v>648</v>
      </c>
    </row>
    <row r="60" spans="12:17" x14ac:dyDescent="0.25">
      <c r="L60" s="291"/>
      <c r="M60" s="291"/>
      <c r="N60" s="291"/>
      <c r="O60" s="291"/>
      <c r="P60" s="291"/>
      <c r="Q60" s="56"/>
    </row>
    <row r="61" spans="12:17" x14ac:dyDescent="0.25">
      <c r="L61" s="47"/>
    </row>
    <row r="67" spans="14:14" x14ac:dyDescent="0.25">
      <c r="N67" s="24"/>
    </row>
  </sheetData>
  <mergeCells count="3">
    <mergeCell ref="L22:P22"/>
    <mergeCell ref="N23:O23"/>
    <mergeCell ref="L60:P6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brirCAD">
                <anchor moveWithCells="1" sizeWithCells="1">
                  <from>
                    <xdr:col>0</xdr:col>
                    <xdr:colOff>171450</xdr:colOff>
                    <xdr:row>2</xdr:row>
                    <xdr:rowOff>9525</xdr:rowOff>
                  </from>
                  <to>
                    <xdr:col>1</xdr:col>
                    <xdr:colOff>552450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C7901-C0F8-441D-9424-B65934A29C3C}">
  <sheetPr codeName="Hoja4">
    <pageSetUpPr fitToPage="1"/>
  </sheetPr>
  <dimension ref="B2:BP310"/>
  <sheetViews>
    <sheetView showGridLines="0" tabSelected="1" view="pageBreakPreview" topLeftCell="A176" zoomScaleNormal="85" zoomScaleSheetLayoutView="100" workbookViewId="0">
      <selection activeCell="C200" sqref="C200"/>
    </sheetView>
  </sheetViews>
  <sheetFormatPr baseColWidth="10" defaultColWidth="11.42578125" defaultRowHeight="15" x14ac:dyDescent="0.25"/>
  <cols>
    <col min="1" max="1" width="4.28515625" style="116" customWidth="1"/>
    <col min="2" max="2" width="16.7109375" style="116" customWidth="1"/>
    <col min="3" max="3" width="14.140625" style="116" customWidth="1"/>
    <col min="4" max="5" width="12.5703125" style="116" customWidth="1"/>
    <col min="6" max="11" width="13.7109375" style="116" customWidth="1"/>
    <col min="12" max="12" width="14.28515625" style="116" customWidth="1"/>
    <col min="13" max="15" width="13.7109375" style="116" customWidth="1"/>
    <col min="16" max="19" width="4.28515625" style="116" customWidth="1"/>
    <col min="20" max="20" width="11.28515625" style="116" customWidth="1"/>
    <col min="21" max="24" width="11.42578125" style="116"/>
    <col min="25" max="25" width="12.42578125" style="116" bestFit="1" customWidth="1"/>
    <col min="26" max="27" width="11.42578125" style="116"/>
    <col min="28" max="28" width="14.85546875" style="116" bestFit="1" customWidth="1"/>
    <col min="29" max="36" width="11.42578125" style="116"/>
    <col min="37" max="37" width="12.140625" style="116" bestFit="1" customWidth="1"/>
    <col min="38" max="42" width="12.5703125" style="116" bestFit="1" customWidth="1"/>
    <col min="43" max="45" width="11.42578125" style="116" bestFit="1" customWidth="1"/>
    <col min="46" max="68" width="12.42578125" style="116" bestFit="1" customWidth="1"/>
    <col min="69" max="16384" width="11.42578125" style="116"/>
  </cols>
  <sheetData>
    <row r="2" spans="2:68" ht="17.25" thickBot="1" x14ac:dyDescent="0.3">
      <c r="N2" s="221"/>
      <c r="AK2" s="2" t="s">
        <v>88</v>
      </c>
      <c r="AL2" s="2" t="s">
        <v>88</v>
      </c>
      <c r="AM2" s="2" t="s">
        <v>88</v>
      </c>
      <c r="AN2" s="2" t="s">
        <v>88</v>
      </c>
      <c r="AO2" s="2" t="s">
        <v>88</v>
      </c>
      <c r="AP2" s="2" t="s">
        <v>88</v>
      </c>
      <c r="AQ2" s="2" t="s">
        <v>88</v>
      </c>
      <c r="AR2" s="2" t="s">
        <v>88</v>
      </c>
      <c r="AS2" s="2" t="s">
        <v>88</v>
      </c>
      <c r="AT2" s="2" t="s">
        <v>88</v>
      </c>
      <c r="AU2" s="2" t="s">
        <v>88</v>
      </c>
      <c r="AV2" s="2" t="s">
        <v>88</v>
      </c>
      <c r="AW2" s="2" t="s">
        <v>88</v>
      </c>
      <c r="AX2" s="2" t="s">
        <v>88</v>
      </c>
      <c r="AY2" s="2" t="s">
        <v>88</v>
      </c>
      <c r="AZ2" s="2" t="s">
        <v>88</v>
      </c>
      <c r="BA2" s="2" t="s">
        <v>88</v>
      </c>
      <c r="BB2" s="2" t="s">
        <v>88</v>
      </c>
      <c r="BC2" s="2" t="s">
        <v>88</v>
      </c>
      <c r="BD2" s="2" t="s">
        <v>88</v>
      </c>
      <c r="BE2" s="2" t="s">
        <v>88</v>
      </c>
      <c r="BF2" s="2" t="s">
        <v>88</v>
      </c>
      <c r="BG2" s="2" t="s">
        <v>88</v>
      </c>
      <c r="BH2" s="2" t="s">
        <v>88</v>
      </c>
      <c r="BI2" s="2" t="s">
        <v>88</v>
      </c>
      <c r="BJ2" s="2" t="s">
        <v>88</v>
      </c>
      <c r="BK2" s="2" t="s">
        <v>88</v>
      </c>
      <c r="BL2" s="2" t="s">
        <v>88</v>
      </c>
      <c r="BM2" s="2" t="s">
        <v>88</v>
      </c>
      <c r="BN2" s="2" t="s">
        <v>88</v>
      </c>
      <c r="BO2" s="2" t="s">
        <v>88</v>
      </c>
      <c r="BP2" s="2" t="s">
        <v>88</v>
      </c>
    </row>
    <row r="3" spans="2:68" ht="14.45" customHeight="1" thickBot="1" x14ac:dyDescent="0.3">
      <c r="B3" s="125"/>
      <c r="C3" s="126"/>
      <c r="D3" s="126"/>
      <c r="E3" s="247" t="s">
        <v>89</v>
      </c>
      <c r="F3" s="247"/>
      <c r="G3" s="247"/>
      <c r="H3" s="247"/>
      <c r="I3" s="247"/>
      <c r="J3" s="247"/>
      <c r="K3" s="9"/>
      <c r="L3" s="126"/>
      <c r="M3" s="10" t="s">
        <v>90</v>
      </c>
      <c r="N3" s="250">
        <v>156453</v>
      </c>
      <c r="O3" s="251"/>
      <c r="P3" s="95" t="str">
        <f>_xlfn.CONCAT(N3," ",N4)</f>
        <v>156453 PRUEBA_2</v>
      </c>
      <c r="Q3" s="222"/>
      <c r="R3" s="95"/>
      <c r="S3" s="95"/>
      <c r="T3" s="127" t="s">
        <v>91</v>
      </c>
      <c r="U3" s="84" t="s">
        <v>92</v>
      </c>
      <c r="V3" s="128" t="s">
        <v>93</v>
      </c>
      <c r="W3" s="2"/>
      <c r="X3" s="127" t="s">
        <v>94</v>
      </c>
      <c r="Y3" s="84" t="s">
        <v>92</v>
      </c>
      <c r="Z3" s="128" t="s">
        <v>93</v>
      </c>
      <c r="AE3" s="129" t="s">
        <v>95</v>
      </c>
      <c r="AF3" s="130"/>
      <c r="AH3" s="227" t="s">
        <v>96</v>
      </c>
      <c r="AI3" s="229"/>
      <c r="AK3" s="131" t="s">
        <v>97</v>
      </c>
      <c r="AL3" s="131" t="s">
        <v>98</v>
      </c>
      <c r="AM3" s="131" t="s">
        <v>99</v>
      </c>
      <c r="AN3" s="131" t="s">
        <v>100</v>
      </c>
      <c r="AO3" s="131" t="s">
        <v>101</v>
      </c>
      <c r="AP3" s="131" t="s">
        <v>102</v>
      </c>
      <c r="AQ3" s="131" t="s">
        <v>103</v>
      </c>
      <c r="AR3" s="131" t="s">
        <v>104</v>
      </c>
      <c r="AS3" s="131" t="s">
        <v>105</v>
      </c>
      <c r="AT3" s="131" t="s">
        <v>106</v>
      </c>
      <c r="AU3" s="131" t="s">
        <v>107</v>
      </c>
      <c r="AV3" s="131" t="s">
        <v>108</v>
      </c>
      <c r="AW3" s="131" t="s">
        <v>109</v>
      </c>
      <c r="AX3" s="131" t="s">
        <v>110</v>
      </c>
      <c r="AY3" s="131" t="s">
        <v>111</v>
      </c>
      <c r="AZ3" s="131" t="s">
        <v>112</v>
      </c>
      <c r="BA3" s="131" t="s">
        <v>113</v>
      </c>
      <c r="BB3" s="131" t="s">
        <v>114</v>
      </c>
      <c r="BC3" s="131" t="s">
        <v>115</v>
      </c>
      <c r="BD3" s="131" t="s">
        <v>116</v>
      </c>
      <c r="BE3" s="131" t="s">
        <v>117</v>
      </c>
      <c r="BF3" s="131" t="s">
        <v>118</v>
      </c>
      <c r="BG3" s="131" t="s">
        <v>119</v>
      </c>
      <c r="BH3" s="131" t="s">
        <v>120</v>
      </c>
      <c r="BI3" s="131" t="s">
        <v>121</v>
      </c>
      <c r="BJ3" s="131" t="s">
        <v>122</v>
      </c>
      <c r="BK3" s="131" t="s">
        <v>123</v>
      </c>
      <c r="BL3" s="131" t="s">
        <v>124</v>
      </c>
      <c r="BM3" s="131" t="s">
        <v>125</v>
      </c>
      <c r="BN3" s="131" t="s">
        <v>126</v>
      </c>
      <c r="BO3" s="131" t="s">
        <v>127</v>
      </c>
      <c r="BP3" s="132" t="s">
        <v>128</v>
      </c>
    </row>
    <row r="4" spans="2:68" ht="14.45" customHeight="1" x14ac:dyDescent="0.25">
      <c r="B4" s="133"/>
      <c r="D4" s="11"/>
      <c r="E4" s="248"/>
      <c r="F4" s="248"/>
      <c r="G4" s="248"/>
      <c r="H4" s="248"/>
      <c r="I4" s="248"/>
      <c r="J4" s="248"/>
      <c r="K4" s="11"/>
      <c r="M4" s="6" t="s">
        <v>129</v>
      </c>
      <c r="N4" s="234" t="s">
        <v>622</v>
      </c>
      <c r="O4" s="235"/>
      <c r="Q4" s="223" t="s">
        <v>620</v>
      </c>
      <c r="S4" s="95"/>
      <c r="T4" s="134">
        <f>Codigo!Q3</f>
        <v>1</v>
      </c>
      <c r="U4" s="116">
        <f>IF(T4&lt;&gt;"",Vértices!C2,"")</f>
        <v>-4.8659999999999997</v>
      </c>
      <c r="V4" s="135">
        <f>IF(T4&lt;&gt;"",Vértices!D2,"")</f>
        <v>-1.6547000000000001</v>
      </c>
      <c r="W4" s="136"/>
      <c r="X4" s="134" t="s">
        <v>626</v>
      </c>
      <c r="Y4" s="136">
        <f>AF4-(E40)/2+E46</f>
        <v>-2.5</v>
      </c>
      <c r="Z4" s="137">
        <f>AF5-TAN(RADIANS(30))*(E40)/2+E45</f>
        <v>-1.4433756729740643</v>
      </c>
      <c r="AE4" s="134" t="s">
        <v>130</v>
      </c>
      <c r="AF4" s="137">
        <f>Vértices!N39</f>
        <v>0</v>
      </c>
      <c r="AH4" s="138" t="s">
        <v>92</v>
      </c>
      <c r="AI4" s="139" t="s">
        <v>93</v>
      </c>
      <c r="AK4" s="140" t="str">
        <f>_xlfn.CONCAT(ROUND(G95,4),"Tn/m2")</f>
        <v>13.5162Tn/m2</v>
      </c>
      <c r="AL4" s="141" t="str">
        <f>IF(H95&lt;&gt;"",_xlfn.CONCAT(ROUND(H95,4)," Tn/m2"),"")</f>
        <v>12.0442 Tn/m2</v>
      </c>
      <c r="AM4" s="141" t="str">
        <f t="shared" ref="AM4:AS4" si="0">IF(I95&lt;&gt;"",_xlfn.CONCAT(ROUND(I95,4)," Tn/m2"),"")</f>
        <v>0.6647 Tn/m2</v>
      </c>
      <c r="AN4" s="141" t="str">
        <f t="shared" si="0"/>
        <v>-0.8067 Tn/m2</v>
      </c>
      <c r="AO4" s="141" t="str">
        <f t="shared" si="0"/>
        <v>4.884 Tn/m2</v>
      </c>
      <c r="AP4" s="141" t="str">
        <f t="shared" si="0"/>
        <v>7.8274 Tn/m2</v>
      </c>
      <c r="AQ4" s="141" t="str">
        <f t="shared" si="0"/>
        <v/>
      </c>
      <c r="AR4" s="141" t="str">
        <f t="shared" si="0"/>
        <v/>
      </c>
      <c r="AS4" s="141" t="str">
        <f t="shared" si="0"/>
        <v/>
      </c>
      <c r="AT4" s="141" t="str">
        <f>IF(D101&lt;&gt;"",_xlfn.CONCAT(ROUND(D101,4)," Tn/m2"),"")</f>
        <v/>
      </c>
      <c r="AU4" s="141" t="str">
        <f t="shared" ref="AU4:BE4" si="1">IF(E101&lt;&gt;"",_xlfn.CONCAT(ROUND(E101,4)," Tn/m2"),"")</f>
        <v/>
      </c>
      <c r="AV4" s="141" t="str">
        <f t="shared" si="1"/>
        <v/>
      </c>
      <c r="AW4" s="141" t="str">
        <f t="shared" si="1"/>
        <v/>
      </c>
      <c r="AX4" s="141" t="str">
        <f t="shared" si="1"/>
        <v/>
      </c>
      <c r="AY4" s="141" t="str">
        <f t="shared" si="1"/>
        <v/>
      </c>
      <c r="AZ4" s="141" t="str">
        <f t="shared" si="1"/>
        <v/>
      </c>
      <c r="BA4" s="141" t="str">
        <f t="shared" si="1"/>
        <v/>
      </c>
      <c r="BB4" s="141" t="str">
        <f t="shared" si="1"/>
        <v/>
      </c>
      <c r="BC4" s="141" t="str">
        <f t="shared" si="1"/>
        <v/>
      </c>
      <c r="BD4" s="141" t="str">
        <f t="shared" si="1"/>
        <v/>
      </c>
      <c r="BE4" s="141" t="str">
        <f t="shared" si="1"/>
        <v/>
      </c>
      <c r="BF4" s="141" t="str">
        <f t="shared" ref="BF4:BO4" si="2">IF(D107&lt;&gt;"",_xlfn.CONCAT(ROUND(D107,4)," Tn/m2"),"")</f>
        <v/>
      </c>
      <c r="BG4" s="141" t="str">
        <f t="shared" si="2"/>
        <v/>
      </c>
      <c r="BH4" s="141" t="str">
        <f t="shared" si="2"/>
        <v/>
      </c>
      <c r="BI4" s="141" t="str">
        <f t="shared" si="2"/>
        <v/>
      </c>
      <c r="BJ4" s="141" t="str">
        <f t="shared" si="2"/>
        <v/>
      </c>
      <c r="BK4" s="141" t="str">
        <f t="shared" si="2"/>
        <v/>
      </c>
      <c r="BL4" s="141" t="str">
        <f t="shared" si="2"/>
        <v/>
      </c>
      <c r="BM4" s="141" t="str">
        <f t="shared" si="2"/>
        <v/>
      </c>
      <c r="BN4" s="141" t="str">
        <f t="shared" si="2"/>
        <v/>
      </c>
      <c r="BO4" s="141" t="str">
        <f t="shared" si="2"/>
        <v/>
      </c>
      <c r="BP4" s="142" t="str">
        <f>IF(N107&lt;&gt;"",_xlfn.CONCAT(ROUND(N107,4)," Tn/m2"),"")</f>
        <v/>
      </c>
    </row>
    <row r="5" spans="2:68" ht="14.45" customHeight="1" thickBot="1" x14ac:dyDescent="0.3">
      <c r="B5" s="133"/>
      <c r="C5" s="12"/>
      <c r="D5" s="11"/>
      <c r="E5" s="248"/>
      <c r="F5" s="248"/>
      <c r="G5" s="248"/>
      <c r="H5" s="248"/>
      <c r="I5" s="248"/>
      <c r="J5" s="248"/>
      <c r="K5" s="11"/>
      <c r="M5" s="6" t="s">
        <v>131</v>
      </c>
      <c r="N5" s="234" t="s">
        <v>132</v>
      </c>
      <c r="O5" s="235"/>
      <c r="Q5" s="222" t="str">
        <f>"Análisis FEM, sitio: "&amp;N3</f>
        <v>Análisis FEM, sitio: 156453</v>
      </c>
      <c r="S5" s="95"/>
      <c r="T5" s="134">
        <f>Codigo!Q4</f>
        <v>2</v>
      </c>
      <c r="U5" s="116">
        <f>IF(T5&lt;&gt;"",Vértices!C3,"")</f>
        <v>-3.8660000000000001</v>
      </c>
      <c r="V5" s="135">
        <f>IF(T5&lt;&gt;"",Vértices!D3,"")</f>
        <v>-3.3868</v>
      </c>
      <c r="W5" s="136"/>
      <c r="X5" s="134" t="s">
        <v>627</v>
      </c>
      <c r="Y5" s="136">
        <f>AF4+(E40)/2+E46</f>
        <v>2.5</v>
      </c>
      <c r="Z5" s="137">
        <f>Z4</f>
        <v>-1.4433756729740643</v>
      </c>
      <c r="AE5" s="143" t="s">
        <v>133</v>
      </c>
      <c r="AF5" s="144">
        <f>Vértices!N40</f>
        <v>0</v>
      </c>
      <c r="AH5" s="134">
        <f>0.1</f>
        <v>0.1</v>
      </c>
      <c r="AI5" s="145">
        <f>-E41</f>
        <v>-3.5</v>
      </c>
      <c r="AK5" s="146" t="str">
        <f>_xlfn.CONCAT(ROUND(G96,4),"Tn/m2")</f>
        <v>11.1967Tn/m2</v>
      </c>
      <c r="AL5" s="136" t="str">
        <f>IF(H96&lt;&gt;"",_xlfn.CONCAT(ROUND(H96,4)," Tn/m2"),"")</f>
        <v>8.7202 Tn/m2</v>
      </c>
      <c r="AM5" s="136" t="str">
        <f t="shared" ref="AM5:AS6" si="3">IF(I96&lt;&gt;"",_xlfn.CONCAT(ROUND(I96,4)," Tn/m2"),"")</f>
        <v>-0.8532 Tn/m2</v>
      </c>
      <c r="AN5" s="136" t="str">
        <f t="shared" si="3"/>
        <v>-0.8529 Tn/m2</v>
      </c>
      <c r="AO5" s="136" t="str">
        <f t="shared" si="3"/>
        <v>8.7213 Tn/m2</v>
      </c>
      <c r="AP5" s="136" t="str">
        <f t="shared" si="3"/>
        <v>11.1976 Tn/m2</v>
      </c>
      <c r="AQ5" s="136" t="str">
        <f t="shared" si="3"/>
        <v/>
      </c>
      <c r="AR5" s="136" t="str">
        <f t="shared" si="3"/>
        <v/>
      </c>
      <c r="AS5" s="136" t="str">
        <f t="shared" si="3"/>
        <v/>
      </c>
      <c r="AT5" s="136" t="str">
        <f>IF(D102&lt;&gt;"",_xlfn.CONCAT(ROUND(D102,4)," Tn/m2"),"")</f>
        <v/>
      </c>
      <c r="AU5" s="136" t="str">
        <f t="shared" ref="AU5:BE6" si="4">IF(E102&lt;&gt;"",_xlfn.CONCAT(ROUND(E102,4)," Tn/m2"),"")</f>
        <v/>
      </c>
      <c r="AV5" s="136" t="str">
        <f t="shared" si="4"/>
        <v/>
      </c>
      <c r="AW5" s="136" t="str">
        <f t="shared" si="4"/>
        <v/>
      </c>
      <c r="AX5" s="136" t="str">
        <f t="shared" si="4"/>
        <v/>
      </c>
      <c r="AY5" s="136" t="str">
        <f t="shared" si="4"/>
        <v/>
      </c>
      <c r="AZ5" s="136" t="str">
        <f t="shared" si="4"/>
        <v/>
      </c>
      <c r="BA5" s="136" t="str">
        <f t="shared" si="4"/>
        <v/>
      </c>
      <c r="BB5" s="136" t="str">
        <f t="shared" si="4"/>
        <v/>
      </c>
      <c r="BC5" s="136" t="str">
        <f t="shared" si="4"/>
        <v/>
      </c>
      <c r="BD5" s="136" t="str">
        <f t="shared" si="4"/>
        <v/>
      </c>
      <c r="BE5" s="136" t="str">
        <f t="shared" si="4"/>
        <v/>
      </c>
      <c r="BF5" s="136" t="str">
        <f t="shared" ref="BF5:BO6" si="5">IF(D108&lt;&gt;"",_xlfn.CONCAT(ROUND(D108,4)," Tn/m2"),"")</f>
        <v/>
      </c>
      <c r="BG5" s="136" t="str">
        <f t="shared" si="5"/>
        <v/>
      </c>
      <c r="BH5" s="136" t="str">
        <f t="shared" si="5"/>
        <v/>
      </c>
      <c r="BI5" s="136" t="str">
        <f t="shared" si="5"/>
        <v/>
      </c>
      <c r="BJ5" s="136" t="str">
        <f t="shared" si="5"/>
        <v/>
      </c>
      <c r="BK5" s="136" t="str">
        <f t="shared" si="5"/>
        <v/>
      </c>
      <c r="BL5" s="136" t="str">
        <f t="shared" si="5"/>
        <v/>
      </c>
      <c r="BM5" s="136" t="str">
        <f t="shared" si="5"/>
        <v/>
      </c>
      <c r="BN5" s="136" t="str">
        <f t="shared" si="5"/>
        <v/>
      </c>
      <c r="BO5" s="136" t="str">
        <f t="shared" si="5"/>
        <v/>
      </c>
      <c r="BP5" s="137" t="str">
        <f>IF(N108&lt;&gt;"",_xlfn.CONCAT(ROUND(N108,4)," Tn/m2"),"")</f>
        <v/>
      </c>
    </row>
    <row r="6" spans="2:68" ht="14.45" customHeight="1" thickBot="1" x14ac:dyDescent="0.3">
      <c r="B6" s="133"/>
      <c r="C6" s="12"/>
      <c r="D6" s="11"/>
      <c r="E6" s="248"/>
      <c r="F6" s="248"/>
      <c r="G6" s="248"/>
      <c r="H6" s="248"/>
      <c r="I6" s="248"/>
      <c r="J6" s="248"/>
      <c r="K6" s="11"/>
      <c r="M6" s="6" t="s">
        <v>134</v>
      </c>
      <c r="N6" s="242" t="s">
        <v>623</v>
      </c>
      <c r="O6" s="243"/>
      <c r="Q6" s="222" t="s">
        <v>621</v>
      </c>
      <c r="S6" s="95"/>
      <c r="T6" s="134">
        <f>Codigo!Q5</f>
        <v>3</v>
      </c>
      <c r="U6" s="116">
        <f>IF(T6&lt;&gt;"",Vértices!C4,"")</f>
        <v>3.8660000000000001</v>
      </c>
      <c r="V6" s="135">
        <f>IF(T6&lt;&gt;"",Vértices!D4,"")</f>
        <v>-3.3868</v>
      </c>
      <c r="W6" s="136"/>
      <c r="X6" s="134" t="s">
        <v>628</v>
      </c>
      <c r="Y6" s="136">
        <f>AF4+E46</f>
        <v>0</v>
      </c>
      <c r="Z6" s="137">
        <f>Z4+TAN(RADIANS(60))*(E40)/2</f>
        <v>2.8867513459481273</v>
      </c>
      <c r="AH6" s="147">
        <f>E38+AH5</f>
        <v>9.8320000000000007</v>
      </c>
      <c r="AI6" s="145">
        <f>AI5</f>
        <v>-3.5</v>
      </c>
      <c r="AK6" s="148" t="str">
        <f>_xlfn.CONCAT(ROUND(G97,4),"Tn/m2")</f>
        <v>3.7122Tn/m2</v>
      </c>
      <c r="AL6" s="149" t="str">
        <f>IF(H97&lt;&gt;"",_xlfn.CONCAT(ROUND(H97,4)," Tn/m2"),"")</f>
        <v>0.9458 Tn/m2</v>
      </c>
      <c r="AM6" s="149" t="str">
        <f t="shared" si="3"/>
        <v>0.9458 Tn/m2</v>
      </c>
      <c r="AN6" s="149" t="str">
        <f t="shared" si="3"/>
        <v>3.7122 Tn/m2</v>
      </c>
      <c r="AO6" s="149" t="str">
        <f t="shared" si="3"/>
        <v>14.4069 Tn/m2</v>
      </c>
      <c r="AP6" s="149" t="str">
        <f t="shared" si="3"/>
        <v>14.4069 Tn/m2</v>
      </c>
      <c r="AQ6" s="149" t="str">
        <f t="shared" si="3"/>
        <v/>
      </c>
      <c r="AR6" s="149" t="str">
        <f t="shared" si="3"/>
        <v/>
      </c>
      <c r="AS6" s="149" t="str">
        <f t="shared" si="3"/>
        <v/>
      </c>
      <c r="AT6" s="149" t="str">
        <f>IF(D103&lt;&gt;"",_xlfn.CONCAT(ROUND(D103,4)," Tn/m2"),"")</f>
        <v/>
      </c>
      <c r="AU6" s="149" t="str">
        <f t="shared" si="4"/>
        <v/>
      </c>
      <c r="AV6" s="149" t="str">
        <f t="shared" si="4"/>
        <v/>
      </c>
      <c r="AW6" s="149" t="str">
        <f t="shared" si="4"/>
        <v/>
      </c>
      <c r="AX6" s="149" t="str">
        <f t="shared" si="4"/>
        <v/>
      </c>
      <c r="AY6" s="149" t="str">
        <f t="shared" si="4"/>
        <v/>
      </c>
      <c r="AZ6" s="149" t="str">
        <f t="shared" si="4"/>
        <v/>
      </c>
      <c r="BA6" s="149" t="str">
        <f t="shared" si="4"/>
        <v/>
      </c>
      <c r="BB6" s="149" t="str">
        <f t="shared" si="4"/>
        <v/>
      </c>
      <c r="BC6" s="149" t="str">
        <f t="shared" si="4"/>
        <v/>
      </c>
      <c r="BD6" s="149" t="str">
        <f t="shared" si="4"/>
        <v/>
      </c>
      <c r="BE6" s="149" t="str">
        <f t="shared" si="4"/>
        <v/>
      </c>
      <c r="BF6" s="149" t="str">
        <f t="shared" si="5"/>
        <v/>
      </c>
      <c r="BG6" s="149" t="str">
        <f t="shared" si="5"/>
        <v/>
      </c>
      <c r="BH6" s="149" t="str">
        <f t="shared" si="5"/>
        <v/>
      </c>
      <c r="BI6" s="149" t="str">
        <f t="shared" si="5"/>
        <v/>
      </c>
      <c r="BJ6" s="149" t="str">
        <f t="shared" si="5"/>
        <v/>
      </c>
      <c r="BK6" s="149" t="str">
        <f t="shared" si="5"/>
        <v/>
      </c>
      <c r="BL6" s="149" t="str">
        <f t="shared" si="5"/>
        <v/>
      </c>
      <c r="BM6" s="149" t="str">
        <f t="shared" si="5"/>
        <v/>
      </c>
      <c r="BN6" s="149" t="str">
        <f t="shared" si="5"/>
        <v/>
      </c>
      <c r="BO6" s="149" t="str">
        <f t="shared" si="5"/>
        <v/>
      </c>
      <c r="BP6" s="144" t="str">
        <f>IF(N109&lt;&gt;"",_xlfn.CONCAT(ROUND(N109,4)," Tn/m2"),"")</f>
        <v/>
      </c>
    </row>
    <row r="7" spans="2:68" ht="14.45" customHeight="1" thickBot="1" x14ac:dyDescent="0.3">
      <c r="B7" s="133"/>
      <c r="D7" s="11"/>
      <c r="E7" s="248"/>
      <c r="F7" s="248"/>
      <c r="G7" s="248"/>
      <c r="H7" s="248"/>
      <c r="I7" s="248"/>
      <c r="J7" s="248"/>
      <c r="K7" s="11"/>
      <c r="M7" s="6" t="s">
        <v>135</v>
      </c>
      <c r="N7" s="242" t="s">
        <v>136</v>
      </c>
      <c r="O7" s="243"/>
      <c r="S7" s="95"/>
      <c r="T7" s="134">
        <f>Codigo!Q6</f>
        <v>4</v>
      </c>
      <c r="U7" s="116">
        <f>IF(T7&lt;&gt;"",Vértices!C5,"")</f>
        <v>4.8659999999999997</v>
      </c>
      <c r="V7" s="135">
        <f>IF(T7&lt;&gt;"",Vértices!D5,"")</f>
        <v>-1.6547000000000001</v>
      </c>
      <c r="W7" s="136"/>
      <c r="X7" s="143"/>
      <c r="Y7" s="149">
        <f>Y4</f>
        <v>-2.5</v>
      </c>
      <c r="Z7" s="144">
        <f>Z4</f>
        <v>-1.4433756729740643</v>
      </c>
      <c r="AE7" s="129" t="s">
        <v>137</v>
      </c>
      <c r="AF7" s="130"/>
      <c r="AH7" s="147">
        <f>AH6</f>
        <v>9.8320000000000007</v>
      </c>
      <c r="AI7" s="145">
        <f>AI6+E39</f>
        <v>-2.8</v>
      </c>
      <c r="AL7" s="136"/>
    </row>
    <row r="8" spans="2:68" ht="18.75" thickBot="1" x14ac:dyDescent="0.3">
      <c r="B8" s="150"/>
      <c r="C8" s="151"/>
      <c r="D8" s="151"/>
      <c r="E8" s="249"/>
      <c r="F8" s="249"/>
      <c r="G8" s="249"/>
      <c r="H8" s="249"/>
      <c r="I8" s="249"/>
      <c r="J8" s="249"/>
      <c r="K8" s="151"/>
      <c r="L8" s="151"/>
      <c r="M8" s="13" t="s">
        <v>138</v>
      </c>
      <c r="N8" s="245" t="s">
        <v>139</v>
      </c>
      <c r="O8" s="246"/>
      <c r="S8" s="95"/>
      <c r="T8" s="134">
        <f>Codigo!Q7</f>
        <v>5</v>
      </c>
      <c r="U8" s="116">
        <f>IF(T8&lt;&gt;"",Vértices!C6,"")</f>
        <v>1</v>
      </c>
      <c r="V8" s="135">
        <f>IF(T8&lt;&gt;"",Vértices!D6,"")</f>
        <v>5.0415000000000001</v>
      </c>
      <c r="W8" s="136"/>
      <c r="AE8" s="134" t="s">
        <v>140</v>
      </c>
      <c r="AF8" s="135">
        <f>Vértices!N30</f>
        <v>258.92059999999998</v>
      </c>
      <c r="AH8" s="147">
        <f>AH5+E38-(E38-(E40+E42))/2</f>
        <v>7.766</v>
      </c>
      <c r="AI8" s="145">
        <f>AI7</f>
        <v>-2.8</v>
      </c>
      <c r="AL8" s="136"/>
    </row>
    <row r="9" spans="2:68" ht="18.75" thickBot="1" x14ac:dyDescent="0.3">
      <c r="F9" s="6"/>
      <c r="S9" s="95"/>
      <c r="T9" s="134">
        <f>Codigo!Q8</f>
        <v>6</v>
      </c>
      <c r="U9" s="116">
        <f>IF(T9&lt;&gt;"",Vértices!C7,"")</f>
        <v>-1</v>
      </c>
      <c r="V9" s="135">
        <f>IF(T9&lt;&gt;"",Vértices!D7,"")</f>
        <v>5.0415000000000001</v>
      </c>
      <c r="W9" s="136"/>
      <c r="X9" s="227" t="s">
        <v>141</v>
      </c>
      <c r="Y9" s="228"/>
      <c r="Z9" s="228" t="s">
        <v>142</v>
      </c>
      <c r="AA9" s="228"/>
      <c r="AB9" s="228" t="s">
        <v>143</v>
      </c>
      <c r="AC9" s="229"/>
      <c r="AE9" s="143" t="s">
        <v>144</v>
      </c>
      <c r="AF9" s="152">
        <f>Vértices!N31</f>
        <v>258.92059999999998</v>
      </c>
      <c r="AH9" s="147">
        <f>AH8</f>
        <v>7.766</v>
      </c>
      <c r="AI9" s="145">
        <f>E44</f>
        <v>0.3</v>
      </c>
      <c r="AK9" s="227" t="s">
        <v>141</v>
      </c>
      <c r="AL9" s="228"/>
      <c r="AM9" s="228" t="s">
        <v>142</v>
      </c>
      <c r="AN9" s="228"/>
      <c r="AO9" s="228" t="s">
        <v>143</v>
      </c>
      <c r="AP9" s="229"/>
    </row>
    <row r="10" spans="2:68" ht="15.75" x14ac:dyDescent="0.25">
      <c r="B10" s="96" t="s">
        <v>145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S10" s="95"/>
      <c r="T10" s="134">
        <f>Codigo!Q9</f>
        <v>7</v>
      </c>
      <c r="U10" s="116">
        <f>IF(T10&lt;&gt;"",Vértices!C8,"")</f>
        <v>-4.8659999999999997</v>
      </c>
      <c r="V10" s="135">
        <f>IF(T10&lt;&gt;"",Vértices!D8,"")</f>
        <v>-1.6547000000000001</v>
      </c>
      <c r="W10" s="136"/>
      <c r="X10" s="138" t="s">
        <v>92</v>
      </c>
      <c r="Y10" s="2" t="s">
        <v>93</v>
      </c>
      <c r="Z10" s="2" t="s">
        <v>92</v>
      </c>
      <c r="AA10" s="2" t="s">
        <v>93</v>
      </c>
      <c r="AB10" s="2" t="s">
        <v>92</v>
      </c>
      <c r="AC10" s="139" t="s">
        <v>93</v>
      </c>
      <c r="AH10" s="147">
        <f>AH9-E42</f>
        <v>7.1660000000000004</v>
      </c>
      <c r="AI10" s="145">
        <f>AI9</f>
        <v>0.3</v>
      </c>
      <c r="AK10" s="138" t="s">
        <v>92</v>
      </c>
      <c r="AL10" s="2" t="s">
        <v>93</v>
      </c>
      <c r="AM10" s="2" t="s">
        <v>92</v>
      </c>
      <c r="AN10" s="2" t="s">
        <v>93</v>
      </c>
      <c r="AO10" s="2" t="s">
        <v>92</v>
      </c>
      <c r="AP10" s="139" t="s">
        <v>93</v>
      </c>
    </row>
    <row r="11" spans="2:68" ht="15.75" x14ac:dyDescent="0.25">
      <c r="B11" s="96"/>
      <c r="C11" s="17"/>
      <c r="D11" s="17"/>
      <c r="E11" s="17"/>
      <c r="F11" s="17"/>
      <c r="G11" s="17"/>
      <c r="H11" s="17"/>
      <c r="I11" s="17"/>
      <c r="J11" s="17"/>
      <c r="K11" s="17"/>
      <c r="L11" s="17"/>
      <c r="S11" s="95"/>
      <c r="T11" s="134" t="str">
        <f>Codigo!Q10</f>
        <v/>
      </c>
      <c r="U11" s="116" t="str">
        <f>IF(T11&lt;&gt;"",Vértices!C9,"")</f>
        <v/>
      </c>
      <c r="V11" s="135" t="str">
        <f>IF(T11&lt;&gt;"",Vértices!D9,"")</f>
        <v/>
      </c>
      <c r="W11" s="136"/>
      <c r="X11" s="134">
        <f>Y4-(E42/2)</f>
        <v>-2.8</v>
      </c>
      <c r="Y11" s="153">
        <f>Z4-(E42/2)</f>
        <v>-1.7433756729740644</v>
      </c>
      <c r="Z11" s="116">
        <f>Y5-(E42/2)</f>
        <v>2.2000000000000002</v>
      </c>
      <c r="AA11" s="153">
        <f>Z5-(E42/2)</f>
        <v>-1.7433756729740644</v>
      </c>
      <c r="AB11" s="116">
        <f>Y6-(E42/2)</f>
        <v>-0.3</v>
      </c>
      <c r="AC11" s="145">
        <f>Z6-(E42/2)</f>
        <v>2.5867513459481275</v>
      </c>
      <c r="AH11" s="147">
        <f>AH10</f>
        <v>7.1660000000000004</v>
      </c>
      <c r="AI11" s="145">
        <f>AI8</f>
        <v>-2.8</v>
      </c>
      <c r="AK11" s="134">
        <f>$X$11+(($E$42/5)*1)</f>
        <v>-2.6799999999999997</v>
      </c>
      <c r="AL11" s="153">
        <f>$Y$11</f>
        <v>-1.7433756729740644</v>
      </c>
      <c r="AM11" s="116">
        <f>$Z$11+(($E$42/5)*1)</f>
        <v>2.3200000000000003</v>
      </c>
      <c r="AN11" s="153">
        <f>$AA$11</f>
        <v>-1.7433756729740644</v>
      </c>
      <c r="AO11" s="116">
        <f>$AB$11+(($E$42/5)*1)</f>
        <v>-0.18</v>
      </c>
      <c r="AP11" s="145">
        <f>$AC$11</f>
        <v>2.5867513459481275</v>
      </c>
    </row>
    <row r="12" spans="2:68" ht="15.75" x14ac:dyDescent="0.25">
      <c r="B12" s="96"/>
      <c r="C12" s="96" t="s">
        <v>146</v>
      </c>
      <c r="D12" s="17"/>
      <c r="E12" s="17"/>
      <c r="F12" s="17"/>
      <c r="G12" s="17"/>
      <c r="H12" s="17"/>
      <c r="I12" s="17"/>
      <c r="J12" s="17"/>
      <c r="K12" s="17"/>
      <c r="L12" s="17"/>
      <c r="S12" s="95"/>
      <c r="T12" s="134" t="str">
        <f>Codigo!Q11</f>
        <v/>
      </c>
      <c r="U12" s="116" t="str">
        <f>IF(T12&lt;&gt;"",Vértices!C10,"")</f>
        <v/>
      </c>
      <c r="V12" s="135" t="str">
        <f>IF(T12&lt;&gt;"",Vértices!D10,"")</f>
        <v/>
      </c>
      <c r="W12" s="136"/>
      <c r="X12" s="147">
        <f>E42+X11</f>
        <v>-2.1999999999999997</v>
      </c>
      <c r="Y12" s="153">
        <f>Y11</f>
        <v>-1.7433756729740644</v>
      </c>
      <c r="Z12" s="153">
        <f>E42+Z11</f>
        <v>2.8000000000000003</v>
      </c>
      <c r="AA12" s="153">
        <f>AA11</f>
        <v>-1.7433756729740644</v>
      </c>
      <c r="AB12" s="153">
        <f>AB11+E42</f>
        <v>0.3</v>
      </c>
      <c r="AC12" s="145">
        <f>AC11</f>
        <v>2.5867513459481275</v>
      </c>
      <c r="AH12" s="147">
        <f>AH11-E40+E42</f>
        <v>2.7660000000000005</v>
      </c>
      <c r="AI12" s="145">
        <f>AI11</f>
        <v>-2.8</v>
      </c>
      <c r="AK12" s="134">
        <f>$X$11+(($E$42/5)*2)</f>
        <v>-2.5599999999999996</v>
      </c>
      <c r="AL12" s="153">
        <f>$Y$11</f>
        <v>-1.7433756729740644</v>
      </c>
      <c r="AM12" s="116">
        <f>$Z$11+(($E$42/5)*2)</f>
        <v>2.4400000000000004</v>
      </c>
      <c r="AN12" s="153">
        <f t="shared" ref="AN12:AN14" si="6">$AA$11</f>
        <v>-1.7433756729740644</v>
      </c>
      <c r="AO12" s="116">
        <f>$AB$11+(($E$42/5)*2)</f>
        <v>-0.06</v>
      </c>
      <c r="AP12" s="145">
        <f t="shared" ref="AP12:AP14" si="7">$AC$11</f>
        <v>2.5867513459481275</v>
      </c>
    </row>
    <row r="13" spans="2:68" ht="16.5" thickBot="1" x14ac:dyDescent="0.3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S13" s="95"/>
      <c r="T13" s="134" t="str">
        <f>Codigo!Q12</f>
        <v/>
      </c>
      <c r="U13" s="116" t="str">
        <f>IF(T13&lt;&gt;"",Vértices!C11,"")</f>
        <v/>
      </c>
      <c r="V13" s="135" t="str">
        <f>IF(T13&lt;&gt;"",Vértices!D11,"")</f>
        <v/>
      </c>
      <c r="W13" s="136"/>
      <c r="X13" s="134">
        <f>X12</f>
        <v>-2.1999999999999997</v>
      </c>
      <c r="Y13" s="153">
        <f>E42+Y12</f>
        <v>-1.1433756729740643</v>
      </c>
      <c r="Z13" s="153">
        <f>Z12</f>
        <v>2.8000000000000003</v>
      </c>
      <c r="AA13" s="153">
        <f>E42+AA12</f>
        <v>-1.1433756729740643</v>
      </c>
      <c r="AB13" s="153">
        <f>AB12</f>
        <v>0.3</v>
      </c>
      <c r="AC13" s="145">
        <f>AC12+E42</f>
        <v>3.1867513459481276</v>
      </c>
      <c r="AH13" s="147">
        <f>AH12</f>
        <v>2.7660000000000005</v>
      </c>
      <c r="AI13" s="145">
        <f>AI10</f>
        <v>0.3</v>
      </c>
      <c r="AK13" s="134">
        <f>$X$11+(($E$42/5)*3)</f>
        <v>-2.44</v>
      </c>
      <c r="AL13" s="153">
        <f>$Y$11</f>
        <v>-1.7433756729740644</v>
      </c>
      <c r="AM13" s="116">
        <f>$Z$11+(($E$42/5)*3)</f>
        <v>2.56</v>
      </c>
      <c r="AN13" s="153">
        <f t="shared" si="6"/>
        <v>-1.7433756729740644</v>
      </c>
      <c r="AO13" s="116">
        <f>$AB$11+(($E$42/5)*3)</f>
        <v>0.06</v>
      </c>
      <c r="AP13" s="145">
        <f t="shared" si="7"/>
        <v>2.5867513459481275</v>
      </c>
    </row>
    <row r="14" spans="2:68" ht="16.5" thickBot="1" x14ac:dyDescent="0.3">
      <c r="B14" s="17"/>
      <c r="C14" s="17"/>
      <c r="E14" s="236" t="s">
        <v>37</v>
      </c>
      <c r="F14" s="237"/>
      <c r="G14" s="238"/>
      <c r="H14" s="236" t="s">
        <v>36</v>
      </c>
      <c r="I14" s="237"/>
      <c r="J14" s="238"/>
      <c r="K14" s="236">
        <v>1</v>
      </c>
      <c r="L14" s="237"/>
      <c r="M14" s="238"/>
      <c r="S14" s="95"/>
      <c r="T14" s="134" t="str">
        <f>Codigo!Q13</f>
        <v/>
      </c>
      <c r="U14" s="116" t="str">
        <f>IF(T14&lt;&gt;"",Vértices!C12,"")</f>
        <v/>
      </c>
      <c r="V14" s="135" t="str">
        <f>IF(T14&lt;&gt;"",Vértices!D12,"")</f>
        <v/>
      </c>
      <c r="W14" s="136"/>
      <c r="X14" s="134">
        <f>X11</f>
        <v>-2.8</v>
      </c>
      <c r="Y14" s="153">
        <f>Y13</f>
        <v>-1.1433756729740643</v>
      </c>
      <c r="Z14" s="153">
        <f>Z11</f>
        <v>2.2000000000000002</v>
      </c>
      <c r="AA14" s="153">
        <f>AA13</f>
        <v>-1.1433756729740643</v>
      </c>
      <c r="AB14" s="116">
        <f>AB11</f>
        <v>-0.3</v>
      </c>
      <c r="AC14" s="145">
        <f>AC13</f>
        <v>3.1867513459481276</v>
      </c>
      <c r="AH14" s="147">
        <f>AH13-E42</f>
        <v>2.1660000000000004</v>
      </c>
      <c r="AI14" s="145">
        <f>AI13</f>
        <v>0.3</v>
      </c>
      <c r="AK14" s="134">
        <f>$X$11+(($E$42/5)*4)</f>
        <v>-2.3199999999999998</v>
      </c>
      <c r="AL14" s="153">
        <f>$Y$11</f>
        <v>-1.7433756729740644</v>
      </c>
      <c r="AM14" s="116">
        <f>$Z$11+(($E$42/5)*4)</f>
        <v>2.68</v>
      </c>
      <c r="AN14" s="153">
        <f t="shared" si="6"/>
        <v>-1.7433756729740644</v>
      </c>
      <c r="AO14" s="116">
        <f>$AB$11+(($E$42/5)*4)</f>
        <v>0.18</v>
      </c>
      <c r="AP14" s="145">
        <f t="shared" si="7"/>
        <v>2.5867513459481275</v>
      </c>
    </row>
    <row r="15" spans="2:68" ht="16.5" thickBot="1" x14ac:dyDescent="0.3">
      <c r="C15" s="17"/>
      <c r="D15" s="14" t="s">
        <v>147</v>
      </c>
      <c r="E15" s="16" t="s">
        <v>148</v>
      </c>
      <c r="F15" s="16" t="s">
        <v>149</v>
      </c>
      <c r="G15" s="16" t="s">
        <v>150</v>
      </c>
      <c r="H15" s="16" t="s">
        <v>148</v>
      </c>
      <c r="I15" s="16" t="s">
        <v>149</v>
      </c>
      <c r="J15" s="16" t="s">
        <v>150</v>
      </c>
      <c r="K15" s="16" t="s">
        <v>148</v>
      </c>
      <c r="L15" s="16" t="s">
        <v>149</v>
      </c>
      <c r="M15" s="16" t="s">
        <v>150</v>
      </c>
      <c r="S15" s="95"/>
      <c r="T15" s="134" t="str">
        <f>Codigo!Q14</f>
        <v/>
      </c>
      <c r="U15" s="116" t="str">
        <f>IF(T15&lt;&gt;"",Vértices!C13,"")</f>
        <v/>
      </c>
      <c r="V15" s="135" t="str">
        <f>IF(T15&lt;&gt;"",Vértices!D13,"")</f>
        <v/>
      </c>
      <c r="W15" s="136"/>
      <c r="X15" s="143">
        <f t="shared" ref="X15:AC15" si="8">X11</f>
        <v>-2.8</v>
      </c>
      <c r="Y15" s="154">
        <f t="shared" si="8"/>
        <v>-1.7433756729740644</v>
      </c>
      <c r="Z15" s="155">
        <f t="shared" si="8"/>
        <v>2.2000000000000002</v>
      </c>
      <c r="AA15" s="154">
        <f t="shared" si="8"/>
        <v>-1.7433756729740644</v>
      </c>
      <c r="AB15" s="155">
        <f t="shared" si="8"/>
        <v>-0.3</v>
      </c>
      <c r="AC15" s="156">
        <f t="shared" si="8"/>
        <v>2.5867513459481275</v>
      </c>
      <c r="AH15" s="147">
        <f>AH14</f>
        <v>2.1660000000000004</v>
      </c>
      <c r="AI15" s="145">
        <f>AI12</f>
        <v>-2.8</v>
      </c>
      <c r="AK15" s="147">
        <f>$X$12</f>
        <v>-2.1999999999999997</v>
      </c>
      <c r="AL15" s="153">
        <f>$Y$11+(($E$42/5)*1)</f>
        <v>-1.6233756729740643</v>
      </c>
      <c r="AM15" s="153">
        <f>$Z$12</f>
        <v>2.8000000000000003</v>
      </c>
      <c r="AN15" s="153">
        <f>$AA$11+(($E$42/5)*1)</f>
        <v>-1.6233756729740643</v>
      </c>
      <c r="AO15" s="153">
        <f>$AB$12</f>
        <v>0.3</v>
      </c>
      <c r="AP15" s="145">
        <f>$AC$11+(($E$42/5)*1)</f>
        <v>2.7067513459481276</v>
      </c>
    </row>
    <row r="16" spans="2:68" ht="16.5" thickBot="1" x14ac:dyDescent="0.3">
      <c r="C16" s="17"/>
      <c r="D16" s="14" t="s">
        <v>151</v>
      </c>
      <c r="E16" s="18">
        <f>Reacciones!U7</f>
        <v>-6.85</v>
      </c>
      <c r="F16" s="18">
        <f>Reacciones!V7</f>
        <v>67.67</v>
      </c>
      <c r="G16" s="18">
        <f>-Reacciones!W7</f>
        <v>-3.36</v>
      </c>
      <c r="H16" s="18">
        <f>Reacciones!U6</f>
        <v>-6.62</v>
      </c>
      <c r="I16" s="18">
        <f>Reacciones!V6</f>
        <v>-62.73</v>
      </c>
      <c r="J16" s="18">
        <f>-Reacciones!W6</f>
        <v>3.24</v>
      </c>
      <c r="K16" s="18">
        <f>Reacciones!U8</f>
        <v>-1.02</v>
      </c>
      <c r="L16" s="18">
        <f>Reacciones!V8</f>
        <v>2.4700000000000002</v>
      </c>
      <c r="M16" s="18">
        <f>-Reacciones!W8</f>
        <v>0.13</v>
      </c>
      <c r="S16" s="95"/>
      <c r="T16" s="134" t="str">
        <f>Codigo!Q15</f>
        <v/>
      </c>
      <c r="U16" s="116" t="str">
        <f>IF(T16&lt;&gt;"",Vértices!C14,"")</f>
        <v/>
      </c>
      <c r="V16" s="135" t="str">
        <f>IF(T16&lt;&gt;"",Vértices!D14,"")</f>
        <v/>
      </c>
      <c r="W16" s="136"/>
      <c r="AH16" s="134">
        <f>AH5</f>
        <v>0.1</v>
      </c>
      <c r="AI16" s="145">
        <f>AI15</f>
        <v>-2.8</v>
      </c>
      <c r="AK16" s="147">
        <f t="shared" ref="AK16:AK18" si="9">$X$12</f>
        <v>-2.1999999999999997</v>
      </c>
      <c r="AL16" s="153">
        <f>$Y$11+(($E$42/5)*2)</f>
        <v>-1.5033756729740644</v>
      </c>
      <c r="AM16" s="153">
        <f t="shared" ref="AM16:AM18" si="10">$Z$12</f>
        <v>2.8000000000000003</v>
      </c>
      <c r="AN16" s="153">
        <f>$AA$11+(($E$42/5)*2)</f>
        <v>-1.5033756729740644</v>
      </c>
      <c r="AO16" s="153">
        <f t="shared" ref="AO16:AO18" si="11">$AB$12</f>
        <v>0.3</v>
      </c>
      <c r="AP16" s="145">
        <f>$AC$11+(($E$42/5)*2)</f>
        <v>2.8267513459481277</v>
      </c>
    </row>
    <row r="17" spans="2:42" ht="16.5" thickBot="1" x14ac:dyDescent="0.3">
      <c r="C17" s="17"/>
      <c r="D17" s="14" t="s">
        <v>152</v>
      </c>
      <c r="E17" s="18">
        <f>Reacciones!U10</f>
        <v>-4.16</v>
      </c>
      <c r="F17" s="18">
        <f>Reacciones!V10</f>
        <v>39.06</v>
      </c>
      <c r="G17" s="18">
        <f>-Reacciones!W10</f>
        <v>-1.42</v>
      </c>
      <c r="H17" s="18">
        <f>Reacciones!U9</f>
        <v>-7.13</v>
      </c>
      <c r="I17" s="18">
        <f>Reacciones!V9</f>
        <v>-70.72</v>
      </c>
      <c r="J17" s="18">
        <f>-Reacciones!W9</f>
        <v>4.12</v>
      </c>
      <c r="K17" s="18">
        <f>Reacciones!U11</f>
        <v>-0.85</v>
      </c>
      <c r="L17" s="18">
        <f>Reacciones!V11</f>
        <v>39.07</v>
      </c>
      <c r="M17" s="18">
        <f>-Reacciones!W11</f>
        <v>4.3099999999999996</v>
      </c>
      <c r="S17" s="95"/>
      <c r="T17" s="134" t="str">
        <f>Codigo!Q16</f>
        <v/>
      </c>
      <c r="U17" s="116" t="str">
        <f>IF(T17&lt;&gt;"",Vértices!C15,"")</f>
        <v/>
      </c>
      <c r="V17" s="135" t="str">
        <f>IF(T17&lt;&gt;"",Vértices!D15,"")</f>
        <v/>
      </c>
      <c r="W17" s="136"/>
      <c r="X17" s="227" t="s">
        <v>153</v>
      </c>
      <c r="Y17" s="229"/>
      <c r="AC17" s="244"/>
      <c r="AD17" s="244"/>
      <c r="AH17" s="143">
        <f>AH5</f>
        <v>0.1</v>
      </c>
      <c r="AI17" s="156">
        <f>AI5</f>
        <v>-3.5</v>
      </c>
      <c r="AK17" s="147">
        <f t="shared" si="9"/>
        <v>-2.1999999999999997</v>
      </c>
      <c r="AL17" s="153">
        <f>$Y$11+(($E$42/5)*3)</f>
        <v>-1.3833756729740645</v>
      </c>
      <c r="AM17" s="153">
        <f t="shared" si="10"/>
        <v>2.8000000000000003</v>
      </c>
      <c r="AN17" s="153">
        <f>$AA$11+(($E$42/5)*3)</f>
        <v>-1.3833756729740645</v>
      </c>
      <c r="AO17" s="153">
        <f t="shared" si="11"/>
        <v>0.3</v>
      </c>
      <c r="AP17" s="145">
        <f>$AC$11+(($E$42/5)*3)</f>
        <v>2.9467513459481274</v>
      </c>
    </row>
    <row r="18" spans="2:42" ht="18.75" thickBot="1" x14ac:dyDescent="0.3">
      <c r="C18" s="17"/>
      <c r="D18" s="14" t="s">
        <v>42</v>
      </c>
      <c r="E18" s="18">
        <f>Reacciones!U13</f>
        <v>3.49</v>
      </c>
      <c r="F18" s="18">
        <f>Reacciones!V13</f>
        <v>-38.33</v>
      </c>
      <c r="G18" s="18">
        <f>-Reacciones!W13</f>
        <v>3.14</v>
      </c>
      <c r="H18" s="18">
        <f>Reacciones!U12</f>
        <v>-3.49</v>
      </c>
      <c r="I18" s="18">
        <f>Reacciones!V12</f>
        <v>-38.33</v>
      </c>
      <c r="J18" s="18">
        <f>-Reacciones!W12</f>
        <v>3.14</v>
      </c>
      <c r="K18" s="18">
        <f>Reacciones!U14</f>
        <v>0</v>
      </c>
      <c r="L18" s="18">
        <f>Reacciones!V14</f>
        <v>84.07</v>
      </c>
      <c r="M18" s="18">
        <f>-Reacciones!W14</f>
        <v>9.56</v>
      </c>
      <c r="S18" s="95"/>
      <c r="T18" s="134" t="str">
        <f>Codigo!Q17</f>
        <v/>
      </c>
      <c r="U18" s="116" t="str">
        <f>IF(T18&lt;&gt;"",Vértices!C16,"")</f>
        <v/>
      </c>
      <c r="V18" s="135" t="str">
        <f>IF(T18&lt;&gt;"",Vértices!D16,"")</f>
        <v/>
      </c>
      <c r="W18" s="136"/>
      <c r="X18" s="134" t="s">
        <v>154</v>
      </c>
      <c r="Y18" s="145">
        <f>H69</f>
        <v>7.4100000000000055</v>
      </c>
      <c r="AK18" s="147">
        <f t="shared" si="9"/>
        <v>-2.1999999999999997</v>
      </c>
      <c r="AL18" s="153">
        <f t="shared" ref="AL18" si="12">$Y$11+(($E$42/5)*4)</f>
        <v>-1.2633756729740644</v>
      </c>
      <c r="AM18" s="153">
        <f t="shared" si="10"/>
        <v>2.8000000000000003</v>
      </c>
      <c r="AN18" s="153">
        <f>$AA$11+(($E$42/5)*4)</f>
        <v>-1.2633756729740644</v>
      </c>
      <c r="AO18" s="153">
        <f t="shared" si="11"/>
        <v>0.3</v>
      </c>
      <c r="AP18" s="145">
        <f>$AC$11+(($E$42/5)*4)</f>
        <v>3.0667513459481275</v>
      </c>
    </row>
    <row r="19" spans="2:42" ht="18" x14ac:dyDescent="0.25">
      <c r="C19" s="17"/>
      <c r="D19" s="14"/>
      <c r="E19" s="19"/>
      <c r="F19" s="19"/>
      <c r="G19" s="19"/>
      <c r="H19" s="19"/>
      <c r="I19" s="19"/>
      <c r="J19" s="19"/>
      <c r="K19" s="19"/>
      <c r="L19" s="19"/>
      <c r="M19" s="19"/>
      <c r="S19" s="95"/>
      <c r="T19" s="134" t="str">
        <f>Codigo!Q18</f>
        <v/>
      </c>
      <c r="U19" s="116" t="str">
        <f>IF(T19&lt;&gt;"",Vértices!C17,"")</f>
        <v/>
      </c>
      <c r="V19" s="135" t="str">
        <f>IF(T19&lt;&gt;"",Vértices!D17,"")</f>
        <v/>
      </c>
      <c r="W19" s="136"/>
      <c r="X19" s="134" t="s">
        <v>155</v>
      </c>
      <c r="Y19" s="135">
        <f>($E$39*$E$43*$E$32)/1000</f>
        <v>91.399056000000002</v>
      </c>
      <c r="AD19" s="153"/>
      <c r="AH19" s="227" t="s">
        <v>156</v>
      </c>
      <c r="AI19" s="229"/>
      <c r="AK19" s="134">
        <f>$X$13-(($E$42/5)*1)</f>
        <v>-2.3199999999999998</v>
      </c>
      <c r="AL19" s="153">
        <f>$Y$13</f>
        <v>-1.1433756729740643</v>
      </c>
      <c r="AM19" s="116">
        <f>$Z$13-(($E$42/5)*1)</f>
        <v>2.68</v>
      </c>
      <c r="AN19" s="153">
        <f>$AA$13</f>
        <v>-1.1433756729740643</v>
      </c>
      <c r="AO19" s="116">
        <f>$AB$13-(($E$42/5)*1)</f>
        <v>0.18</v>
      </c>
      <c r="AP19" s="145">
        <f>$AC$13</f>
        <v>3.1867513459481276</v>
      </c>
    </row>
    <row r="20" spans="2:42" ht="18" x14ac:dyDescent="0.25">
      <c r="C20" s="96" t="s">
        <v>157</v>
      </c>
      <c r="D20" s="14"/>
      <c r="E20" s="19"/>
      <c r="F20" s="19"/>
      <c r="G20" s="19"/>
      <c r="H20" s="19"/>
      <c r="I20" s="19"/>
      <c r="J20" s="19"/>
      <c r="K20" s="19"/>
      <c r="L20" s="19"/>
      <c r="M20" s="19"/>
      <c r="S20" s="95"/>
      <c r="T20" s="134" t="str">
        <f>Codigo!Q19</f>
        <v/>
      </c>
      <c r="U20" s="116" t="str">
        <f>IF(T20&lt;&gt;"",Vértices!C18,"")</f>
        <v/>
      </c>
      <c r="V20" s="135" t="str">
        <f>IF(T20&lt;&gt;"",Vértices!D18,"")</f>
        <v/>
      </c>
      <c r="W20" s="136"/>
      <c r="X20" s="134" t="s">
        <v>158</v>
      </c>
      <c r="Y20" s="135">
        <f>IF(L31="No",(($E$48*$E$43)-(($E$42^2)*$E$48*3)),(($E$48*$E$43)-(($E$42^2)*($E$48-$L$32)*3))-($L$32*$E$43))*E33/1000</f>
        <v>238.892416</v>
      </c>
      <c r="AH20" s="134">
        <v>0</v>
      </c>
      <c r="AI20" s="135">
        <v>0</v>
      </c>
      <c r="AK20" s="134">
        <f>$X$13-(($E$42/5)*2)</f>
        <v>-2.4399999999999995</v>
      </c>
      <c r="AL20" s="153">
        <f t="shared" ref="AL20:AL22" si="13">$Y$13</f>
        <v>-1.1433756729740643</v>
      </c>
      <c r="AM20" s="116">
        <f>$Z$13-(($E$42/5)*2)</f>
        <v>2.5600000000000005</v>
      </c>
      <c r="AN20" s="153">
        <f t="shared" ref="AN20:AN22" si="14">$AA$13</f>
        <v>-1.1433756729740643</v>
      </c>
      <c r="AO20" s="116">
        <f>$AB$13-(($E$42/5)*2)</f>
        <v>0.06</v>
      </c>
      <c r="AP20" s="145">
        <f t="shared" ref="AP20:AP22" si="15">$AC$13</f>
        <v>3.1867513459481276</v>
      </c>
    </row>
    <row r="21" spans="2:42" ht="18.75" thickBot="1" x14ac:dyDescent="0.3">
      <c r="C21" s="96"/>
      <c r="D21" s="14"/>
      <c r="E21" s="19"/>
      <c r="F21" s="19"/>
      <c r="G21" s="19"/>
      <c r="H21" s="19"/>
      <c r="I21" s="19"/>
      <c r="J21" s="19"/>
      <c r="K21" s="19"/>
      <c r="L21" s="19"/>
      <c r="M21" s="19"/>
      <c r="S21" s="95"/>
      <c r="T21" s="134" t="str">
        <f>Codigo!Q20</f>
        <v/>
      </c>
      <c r="U21" s="116" t="str">
        <f>IF(T21&lt;&gt;"",Vértices!C19,"")</f>
        <v/>
      </c>
      <c r="V21" s="135" t="str">
        <f>IF(T21&lt;&gt;"",Vértices!D19,"")</f>
        <v/>
      </c>
      <c r="W21" s="136"/>
      <c r="X21" s="134" t="s">
        <v>159</v>
      </c>
      <c r="Y21" s="135">
        <f>(($E$42^2)*$E$47*$E$32*3)/1000</f>
        <v>8.0351999999999997</v>
      </c>
      <c r="AH21" s="157">
        <f>AH6</f>
        <v>9.8320000000000007</v>
      </c>
      <c r="AI21" s="152">
        <v>0</v>
      </c>
      <c r="AK21" s="134">
        <f>$X$13-(($E$42/5)*3)</f>
        <v>-2.5599999999999996</v>
      </c>
      <c r="AL21" s="153">
        <f t="shared" si="13"/>
        <v>-1.1433756729740643</v>
      </c>
      <c r="AM21" s="116">
        <f>$Z$13-(($E$42/5)*3)</f>
        <v>2.4400000000000004</v>
      </c>
      <c r="AN21" s="153">
        <f t="shared" si="14"/>
        <v>-1.1433756729740643</v>
      </c>
      <c r="AO21" s="116">
        <f>$AB$13-(($E$42/5)*3)</f>
        <v>-0.06</v>
      </c>
      <c r="AP21" s="145">
        <f t="shared" si="15"/>
        <v>3.1867513459481276</v>
      </c>
    </row>
    <row r="22" spans="2:42" ht="18.75" thickBot="1" x14ac:dyDescent="0.3">
      <c r="C22" s="17"/>
      <c r="D22" s="14"/>
      <c r="E22" s="236" t="s">
        <v>37</v>
      </c>
      <c r="F22" s="237"/>
      <c r="G22" s="238"/>
      <c r="H22" s="236" t="s">
        <v>36</v>
      </c>
      <c r="I22" s="237"/>
      <c r="J22" s="238"/>
      <c r="K22" s="236">
        <v>1</v>
      </c>
      <c r="L22" s="237"/>
      <c r="M22" s="238"/>
      <c r="S22" s="95"/>
      <c r="T22" s="134" t="str">
        <f>Codigo!Q21</f>
        <v/>
      </c>
      <c r="U22" s="116" t="str">
        <f>IF(T22&lt;&gt;"",Vértices!C20,"")</f>
        <v/>
      </c>
      <c r="V22" s="135" t="str">
        <f>IF(T22&lt;&gt;"",Vértices!D20,"")</f>
        <v/>
      </c>
      <c r="W22" s="136"/>
      <c r="X22" s="134" t="s">
        <v>160</v>
      </c>
      <c r="Y22" s="135">
        <f>IF(L31="Si",(($L$32*$E$43)-(($E$42^2)*$L$32*3))*L33/1000,0)</f>
        <v>0</v>
      </c>
      <c r="AK22" s="134">
        <f>$X$13-(($E$42/5)*4)</f>
        <v>-2.6799999999999997</v>
      </c>
      <c r="AL22" s="153">
        <f t="shared" si="13"/>
        <v>-1.1433756729740643</v>
      </c>
      <c r="AM22" s="116">
        <f>$Z$13-(($E$42/5)*4)</f>
        <v>2.3200000000000003</v>
      </c>
      <c r="AN22" s="153">
        <f t="shared" si="14"/>
        <v>-1.1433756729740643</v>
      </c>
      <c r="AO22" s="116">
        <f>$AB$13-(($E$42/5)*4)</f>
        <v>-0.18</v>
      </c>
      <c r="AP22" s="145">
        <f t="shared" si="15"/>
        <v>3.1867513459481276</v>
      </c>
    </row>
    <row r="23" spans="2:42" ht="18.75" thickBot="1" x14ac:dyDescent="0.3">
      <c r="C23" s="17"/>
      <c r="D23" s="14" t="s">
        <v>147</v>
      </c>
      <c r="E23" s="16" t="s">
        <v>148</v>
      </c>
      <c r="F23" s="16" t="s">
        <v>149</v>
      </c>
      <c r="G23" s="16" t="s">
        <v>150</v>
      </c>
      <c r="H23" s="16" t="s">
        <v>148</v>
      </c>
      <c r="I23" s="16" t="s">
        <v>149</v>
      </c>
      <c r="J23" s="16" t="s">
        <v>150</v>
      </c>
      <c r="K23" s="16" t="s">
        <v>148</v>
      </c>
      <c r="L23" s="16" t="s">
        <v>149</v>
      </c>
      <c r="M23" s="16" t="s">
        <v>150</v>
      </c>
      <c r="S23" s="95"/>
      <c r="T23" s="134" t="str">
        <f>Codigo!Q22</f>
        <v/>
      </c>
      <c r="U23" s="116" t="str">
        <f>IF(T23&lt;&gt;"",Vértices!C21,"")</f>
        <v/>
      </c>
      <c r="V23" s="135" t="str">
        <f>IF(T23&lt;&gt;"",Vértices!D21,"")</f>
        <v/>
      </c>
      <c r="W23" s="136"/>
      <c r="X23" s="143" t="s">
        <v>161</v>
      </c>
      <c r="Y23" s="152">
        <f>L34/1000</f>
        <v>0</v>
      </c>
      <c r="AC23" s="244"/>
      <c r="AD23" s="244"/>
      <c r="AH23" s="227" t="str">
        <f>IF(L31="No","","Concreto Ciclopeo")</f>
        <v/>
      </c>
      <c r="AI23" s="229"/>
      <c r="AK23" s="147">
        <f>$X$14</f>
        <v>-2.8</v>
      </c>
      <c r="AL23" s="153">
        <f>$Y$14-(($E$42/5)*1)</f>
        <v>-1.2633756729740644</v>
      </c>
      <c r="AM23" s="153">
        <f>$Z$14</f>
        <v>2.2000000000000002</v>
      </c>
      <c r="AN23" s="153">
        <f>$AA$14-(($E$42/5)*1)</f>
        <v>-1.2633756729740644</v>
      </c>
      <c r="AO23" s="153">
        <f>$AB$14</f>
        <v>-0.3</v>
      </c>
      <c r="AP23" s="145">
        <f>$AC$14-(($E$42/5)*1)</f>
        <v>3.0667513459481275</v>
      </c>
    </row>
    <row r="24" spans="2:42" ht="15.75" x14ac:dyDescent="0.25">
      <c r="C24" s="17"/>
      <c r="D24" s="14" t="s">
        <v>162</v>
      </c>
      <c r="E24" s="18">
        <f>Reacciones!U16</f>
        <v>-6.9</v>
      </c>
      <c r="F24" s="18">
        <f>Reacciones!V16</f>
        <v>68.569999999999993</v>
      </c>
      <c r="G24" s="18">
        <f>-Reacciones!W16</f>
        <v>-3.39</v>
      </c>
      <c r="H24" s="18">
        <f>Reacciones!U15</f>
        <v>-6.57</v>
      </c>
      <c r="I24" s="18">
        <f>Reacciones!V15</f>
        <v>-61.98</v>
      </c>
      <c r="J24" s="18">
        <f>-Reacciones!W15</f>
        <v>3.21</v>
      </c>
      <c r="K24" s="18">
        <f>Reacciones!U17</f>
        <v>-1.02</v>
      </c>
      <c r="L24" s="18">
        <f>Reacciones!V17</f>
        <v>3.29</v>
      </c>
      <c r="M24" s="18">
        <f>-Reacciones!W17</f>
        <v>0.18</v>
      </c>
      <c r="S24" s="95"/>
      <c r="T24" s="134" t="str">
        <f>Codigo!Q23</f>
        <v/>
      </c>
      <c r="U24" s="116" t="str">
        <f>IF(T24&lt;&gt;"",Vértices!C22,"")</f>
        <v/>
      </c>
      <c r="V24" s="135" t="str">
        <f>IF(T24&lt;&gt;"",Vértices!D22,"")</f>
        <v/>
      </c>
      <c r="W24" s="136"/>
      <c r="AH24" s="134" t="str">
        <f>IF(L31="No","",0)</f>
        <v/>
      </c>
      <c r="AI24" s="145" t="str">
        <f>IF(L31="No","",AI7+L32)</f>
        <v/>
      </c>
      <c r="AK24" s="147">
        <f t="shared" ref="AK24" si="16">$X$14</f>
        <v>-2.8</v>
      </c>
      <c r="AL24" s="153">
        <f>$Y$14-(($E$42/5)*2)</f>
        <v>-1.3833756729740643</v>
      </c>
      <c r="AM24" s="153">
        <f>$Z$14</f>
        <v>2.2000000000000002</v>
      </c>
      <c r="AN24" s="153">
        <f>$AA$14-(($E$42/5)*2)</f>
        <v>-1.3833756729740643</v>
      </c>
      <c r="AO24" s="153">
        <f>$AB$14</f>
        <v>-0.3</v>
      </c>
      <c r="AP24" s="145">
        <f>$AC$14-(($E$42/5)*2)</f>
        <v>2.9467513459481278</v>
      </c>
    </row>
    <row r="25" spans="2:42" ht="16.5" thickBot="1" x14ac:dyDescent="0.3">
      <c r="C25" s="17"/>
      <c r="D25" s="14" t="s">
        <v>163</v>
      </c>
      <c r="E25" s="18">
        <f>Reacciones!U19</f>
        <v>-4.21</v>
      </c>
      <c r="F25" s="18">
        <f>Reacciones!V19</f>
        <v>39.92</v>
      </c>
      <c r="G25" s="18">
        <f>-Reacciones!W19</f>
        <v>-1.45</v>
      </c>
      <c r="H25" s="18">
        <f>Reacciones!U18</f>
        <v>-7.08</v>
      </c>
      <c r="I25" s="18">
        <f>Reacciones!V18</f>
        <v>-69.98</v>
      </c>
      <c r="J25" s="18">
        <f>-Reacciones!W18</f>
        <v>4.09</v>
      </c>
      <c r="K25" s="18">
        <f>Reacciones!U20</f>
        <v>-0.85</v>
      </c>
      <c r="L25" s="18">
        <f>Reacciones!V20</f>
        <v>39.93</v>
      </c>
      <c r="M25" s="18">
        <f>-Reacciones!W20</f>
        <v>4.37</v>
      </c>
      <c r="S25" s="95"/>
      <c r="T25" s="134" t="str">
        <f>Codigo!Q24</f>
        <v/>
      </c>
      <c r="U25" s="116" t="str">
        <f>IF(T25&lt;&gt;"",Vértices!C23,"")</f>
        <v/>
      </c>
      <c r="V25" s="135" t="str">
        <f>IF(T25&lt;&gt;"",Vértices!D23,"")</f>
        <v/>
      </c>
      <c r="W25" s="136"/>
      <c r="AD25" s="153"/>
      <c r="AH25" s="157" t="str">
        <f>IF(L31="No","",AH21)</f>
        <v/>
      </c>
      <c r="AI25" s="156" t="str">
        <f>AI24</f>
        <v/>
      </c>
      <c r="AK25" s="147">
        <f>$X$14</f>
        <v>-2.8</v>
      </c>
      <c r="AL25" s="153">
        <f>$Y$14-(($E$42/5)*3)</f>
        <v>-1.5033756729740642</v>
      </c>
      <c r="AM25" s="153">
        <f>$Z$14</f>
        <v>2.2000000000000002</v>
      </c>
      <c r="AN25" s="153">
        <f>$AA$14-(($E$42/5)*3)</f>
        <v>-1.5033756729740642</v>
      </c>
      <c r="AO25" s="153">
        <f>$AB$14</f>
        <v>-0.3</v>
      </c>
      <c r="AP25" s="145">
        <f>$AC$14-(($E$42/5)*3)</f>
        <v>2.8267513459481277</v>
      </c>
    </row>
    <row r="26" spans="2:42" ht="16.5" thickBot="1" x14ac:dyDescent="0.3">
      <c r="C26" s="17"/>
      <c r="D26" s="14" t="s">
        <v>45</v>
      </c>
      <c r="E26" s="18">
        <f>Reacciones!U22</f>
        <v>3.44</v>
      </c>
      <c r="F26" s="18">
        <f>Reacciones!V22</f>
        <v>-37.549999999999997</v>
      </c>
      <c r="G26" s="18">
        <f>-Reacciones!W22</f>
        <v>3.12</v>
      </c>
      <c r="H26" s="18">
        <f>Reacciones!U21</f>
        <v>-3.44</v>
      </c>
      <c r="I26" s="18">
        <f>Reacciones!V21</f>
        <v>-37.549999999999997</v>
      </c>
      <c r="J26" s="18">
        <f>-Reacciones!W21</f>
        <v>3.12</v>
      </c>
      <c r="K26" s="18">
        <f>Reacciones!U23</f>
        <v>0</v>
      </c>
      <c r="L26" s="18">
        <f>Reacciones!V23</f>
        <v>84.98</v>
      </c>
      <c r="M26" s="18">
        <f>-Reacciones!W23</f>
        <v>9.6199999999999992</v>
      </c>
      <c r="S26" s="95"/>
      <c r="T26" s="134" t="str">
        <f>Codigo!Q25</f>
        <v/>
      </c>
      <c r="U26" s="116" t="str">
        <f>IF(T26&lt;&gt;"",Vértices!C24,"")</f>
        <v/>
      </c>
      <c r="V26" s="135" t="str">
        <f>IF(T26&lt;&gt;"",Vértices!D24,"")</f>
        <v/>
      </c>
      <c r="W26" s="136"/>
      <c r="X26" s="227" t="s">
        <v>141</v>
      </c>
      <c r="Y26" s="228"/>
      <c r="Z26" s="228" t="s">
        <v>142</v>
      </c>
      <c r="AA26" s="228"/>
      <c r="AB26" s="228" t="s">
        <v>143</v>
      </c>
      <c r="AC26" s="229"/>
      <c r="AK26" s="143">
        <f>$X$14</f>
        <v>-2.8</v>
      </c>
      <c r="AL26" s="154">
        <f>$Y$14-(($E$42/5)*4)</f>
        <v>-1.6233756729740643</v>
      </c>
      <c r="AM26" s="154">
        <f>$Z$14</f>
        <v>2.2000000000000002</v>
      </c>
      <c r="AN26" s="154">
        <f>$AA$14-(($E$42/5)*4)</f>
        <v>-1.6233756729740643</v>
      </c>
      <c r="AO26" s="155">
        <f>$AB$14</f>
        <v>-0.3</v>
      </c>
      <c r="AP26" s="156">
        <f>$AC$14-(($E$42/5)*4)</f>
        <v>2.7067513459481276</v>
      </c>
    </row>
    <row r="27" spans="2:42" ht="16.5" thickBot="1" x14ac:dyDescent="0.3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S27" s="95"/>
      <c r="T27" s="134" t="str">
        <f>Codigo!Q26</f>
        <v/>
      </c>
      <c r="U27" s="116" t="str">
        <f>IF(T27&lt;&gt;"",Vértices!C25,"")</f>
        <v/>
      </c>
      <c r="V27" s="135" t="str">
        <f>IF(T27&lt;&gt;"",Vértices!D25,"")</f>
        <v/>
      </c>
      <c r="W27" s="136"/>
      <c r="X27" s="138" t="s">
        <v>92</v>
      </c>
      <c r="Y27" s="2" t="s">
        <v>93</v>
      </c>
      <c r="Z27" s="2" t="s">
        <v>92</v>
      </c>
      <c r="AA27" s="2" t="s">
        <v>93</v>
      </c>
      <c r="AB27" s="2" t="s">
        <v>92</v>
      </c>
      <c r="AC27" s="139" t="s">
        <v>93</v>
      </c>
    </row>
    <row r="28" spans="2:42" ht="15.75" x14ac:dyDescent="0.2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S28" s="95"/>
      <c r="T28" s="134" t="str">
        <f>Codigo!Q27</f>
        <v/>
      </c>
      <c r="U28" s="116" t="str">
        <f>IF(T28&lt;&gt;"",Vértices!C26,"")</f>
        <v/>
      </c>
      <c r="V28" s="135" t="str">
        <f>IF(T28&lt;&gt;"",Vértices!D26,"")</f>
        <v/>
      </c>
      <c r="W28" s="136"/>
      <c r="X28" s="134">
        <f>(X11-$Y$4)*COS(RADIANS($H$55))-(Y11-$Z$4)*SIN(RADIANS($H$55))+$Y$4</f>
        <v>-2.8</v>
      </c>
      <c r="Y28" s="153">
        <f>(X11-$Y$4)*SIN(RADIANS($H$55))+(Y11-$Z$4)*COS(RADIANS($H$55))+$Z$4</f>
        <v>-1.7433756729740644</v>
      </c>
      <c r="Z28" s="116">
        <f>(Z11-$Y$5)*COS(RADIANS($H$54))-(AA11-$Z$5)*SIN(RADIANS($H$54))+$Y$5</f>
        <v>2.2000000000000002</v>
      </c>
      <c r="AA28" s="153">
        <f>(Z11-$Y$5)*SIN(RADIANS($H$54))+(AA11-$Z$5)*COS(RADIANS($H$54))+$Z$5</f>
        <v>-1.7433756729740644</v>
      </c>
      <c r="AB28" s="116">
        <f>(AB11-$Y$6)*COS(RADIANS($H$53))-(AC11-$Z$6)*SIN(RADIANS($H$53))+$Y$6</f>
        <v>-0.3</v>
      </c>
      <c r="AC28" s="145">
        <f>(AB11-$Y$6)*SIN(RADIANS($H$53))+(AC11-$Z$6)*COS(RADIANS($H$53))+$Z$6</f>
        <v>2.5867513459481275</v>
      </c>
      <c r="AK28" s="227" t="s">
        <v>141</v>
      </c>
      <c r="AL28" s="228"/>
      <c r="AM28" s="228" t="s">
        <v>142</v>
      </c>
      <c r="AN28" s="228"/>
      <c r="AO28" s="228" t="s">
        <v>143</v>
      </c>
      <c r="AP28" s="229"/>
    </row>
    <row r="29" spans="2:42" ht="15.75" x14ac:dyDescent="0.25">
      <c r="B29" s="96" t="s">
        <v>164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S29" s="95"/>
      <c r="T29" s="134" t="str">
        <f>Codigo!Q28</f>
        <v/>
      </c>
      <c r="U29" s="116" t="str">
        <f>IF(T29&lt;&gt;"",Vértices!C27,"")</f>
        <v/>
      </c>
      <c r="V29" s="135" t="str">
        <f>IF(T29&lt;&gt;"",Vértices!D27,"")</f>
        <v/>
      </c>
      <c r="W29" s="136"/>
      <c r="X29" s="134">
        <f t="shared" ref="X29:X32" si="17">(X12-$Y$4)*COS(RADIANS($H$55))-(Y12-$Z$4)*SIN(RADIANS($H$55))+$Y$4</f>
        <v>-2.1999999999999997</v>
      </c>
      <c r="Y29" s="153">
        <f t="shared" ref="Y29:Y31" si="18">(X12-$Y$4)*SIN(RADIANS($H$55))+(Y12-$Z$4)*COS(RADIANS($H$55))+$Z$4</f>
        <v>-1.7433756729740644</v>
      </c>
      <c r="Z29" s="116">
        <f t="shared" ref="Z29:Z31" si="19">(Z12-$Y$5)*COS(RADIANS($H$54))-(AA12-$Z$5)*SIN(RADIANS($H$54))+$Y$5</f>
        <v>2.8000000000000003</v>
      </c>
      <c r="AA29" s="153">
        <f t="shared" ref="AA29:AA31" si="20">(Z12-$Y$5)*SIN(RADIANS($H$54))+(AA12-$Z$5)*COS(RADIANS($H$54))+$Z$5</f>
        <v>-1.7433756729740644</v>
      </c>
      <c r="AB29" s="116">
        <f t="shared" ref="AB29:AB31" si="21">(AB12-$Y$6)*COS(RADIANS($H$53))-(AC12-$Z$6)*SIN(RADIANS($H$53))+$Y$6</f>
        <v>0.3</v>
      </c>
      <c r="AC29" s="145">
        <f t="shared" ref="AC29:AC31" si="22">(AB12-$Y$6)*SIN(RADIANS($H$53))+(AC12-$Z$6)*COS(RADIANS($H$53))+$Z$6</f>
        <v>2.5867513459481275</v>
      </c>
      <c r="AK29" s="138" t="s">
        <v>92</v>
      </c>
      <c r="AL29" s="2" t="s">
        <v>93</v>
      </c>
      <c r="AM29" s="2" t="s">
        <v>92</v>
      </c>
      <c r="AN29" s="2" t="s">
        <v>93</v>
      </c>
      <c r="AO29" s="2" t="s">
        <v>92</v>
      </c>
      <c r="AP29" s="139" t="s">
        <v>93</v>
      </c>
    </row>
    <row r="30" spans="2:42" ht="15.75" x14ac:dyDescent="0.25"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S30" s="95"/>
      <c r="T30" s="134" t="str">
        <f>Codigo!Q29</f>
        <v/>
      </c>
      <c r="U30" s="116" t="str">
        <f>IF(T30&lt;&gt;"",Vértices!C28,"")</f>
        <v/>
      </c>
      <c r="V30" s="135" t="str">
        <f>IF(T30&lt;&gt;"",Vértices!D28,"")</f>
        <v/>
      </c>
      <c r="W30" s="136"/>
      <c r="X30" s="134">
        <f t="shared" si="17"/>
        <v>-2.1999999999999997</v>
      </c>
      <c r="Y30" s="153">
        <f t="shared" si="18"/>
        <v>-1.1433756729740643</v>
      </c>
      <c r="Z30" s="116">
        <f t="shared" si="19"/>
        <v>2.8000000000000003</v>
      </c>
      <c r="AA30" s="153">
        <f t="shared" si="20"/>
        <v>-1.1433756729740643</v>
      </c>
      <c r="AB30" s="116">
        <f t="shared" si="21"/>
        <v>0.3</v>
      </c>
      <c r="AC30" s="145">
        <f t="shared" si="22"/>
        <v>3.1867513459481276</v>
      </c>
      <c r="AK30" s="134">
        <f>(AK11-$Y$4)*COS(RADIANS($H$55))-(AL11-$Z$4)*SIN(RADIANS($H$55))+$Y$4</f>
        <v>-2.6799999999999997</v>
      </c>
      <c r="AL30" s="153">
        <f>(AK11-$Y$4)*SIN(RADIANS($H$55))+(AL11-$Z$4)*COS(RADIANS($H$55))+$Z$4</f>
        <v>-1.7433756729740644</v>
      </c>
      <c r="AM30" s="116">
        <f>(AM11-$Y$5)*COS(RADIANS($H$54))-(AN11-$Z$5)*SIN(RADIANS($H$54))+$Y$5</f>
        <v>2.3200000000000003</v>
      </c>
      <c r="AN30" s="153">
        <f>(AM11-$Y$5)*SIN(RADIANS($H$54))+(AN11-$Z$5)*COS(RADIANS($H$54))+$Z$5</f>
        <v>-1.7433756729740644</v>
      </c>
      <c r="AO30" s="116">
        <f>(AO11-$Y$6)*COS(RADIANS($H$53))-(AP11-$Z$6)*SIN(RADIANS($H$53))+$Y$6</f>
        <v>-0.18</v>
      </c>
      <c r="AP30" s="145">
        <f>(AO11-$Y$6)*SIN(RADIANS($H$53))+(AP11-$Z$6)*COS(RADIANS($H$53))+$Z$6</f>
        <v>2.5867513459481275</v>
      </c>
    </row>
    <row r="31" spans="2:42" ht="18.75" x14ac:dyDescent="0.25">
      <c r="C31" s="20"/>
      <c r="D31" s="21" t="s">
        <v>165</v>
      </c>
      <c r="E31" s="22">
        <v>210</v>
      </c>
      <c r="F31" s="20" t="s">
        <v>166</v>
      </c>
      <c r="G31" s="23"/>
      <c r="H31" s="17"/>
      <c r="I31" s="97"/>
      <c r="J31" s="98"/>
      <c r="K31" s="21" t="s">
        <v>167</v>
      </c>
      <c r="L31" s="99" t="s">
        <v>168</v>
      </c>
      <c r="S31" s="95"/>
      <c r="T31" s="134" t="str">
        <f>Codigo!Q30</f>
        <v/>
      </c>
      <c r="U31" s="116" t="str">
        <f>IF(T31&lt;&gt;"",Vértices!C29,"")</f>
        <v/>
      </c>
      <c r="V31" s="135" t="str">
        <f>IF(T31&lt;&gt;"",Vértices!D29,"")</f>
        <v/>
      </c>
      <c r="W31" s="136"/>
      <c r="X31" s="134">
        <f t="shared" si="17"/>
        <v>-2.8</v>
      </c>
      <c r="Y31" s="153">
        <f t="shared" si="18"/>
        <v>-1.1433756729740643</v>
      </c>
      <c r="Z31" s="116">
        <f t="shared" si="19"/>
        <v>2.2000000000000002</v>
      </c>
      <c r="AA31" s="153">
        <f t="shared" si="20"/>
        <v>-1.1433756729740643</v>
      </c>
      <c r="AB31" s="116">
        <f t="shared" si="21"/>
        <v>-0.3</v>
      </c>
      <c r="AC31" s="145">
        <f t="shared" si="22"/>
        <v>3.1867513459481276</v>
      </c>
      <c r="AK31" s="134">
        <f t="shared" ref="AK31:AK45" si="23">(AK12-$Y$4)*COS(RADIANS($H$55))-(AL12-$Z$4)*SIN(RADIANS($H$55))+$Y$4</f>
        <v>-2.5599999999999996</v>
      </c>
      <c r="AL31" s="153">
        <f t="shared" ref="AL31:AL45" si="24">(AK12-$Y$4)*SIN(RADIANS($H$55))+(AL12-$Z$4)*COS(RADIANS($H$55))+$Z$4</f>
        <v>-1.7433756729740644</v>
      </c>
      <c r="AM31" s="116">
        <f t="shared" ref="AM31:AM45" si="25">(AM12-$Y$5)*COS(RADIANS($H$54))-(AN12-$Z$5)*SIN(RADIANS($H$54))+$Y$5</f>
        <v>2.4400000000000004</v>
      </c>
      <c r="AN31" s="153">
        <f t="shared" ref="AN31:AN45" si="26">(AM12-$Y$5)*SIN(RADIANS($H$54))+(AN12-$Z$5)*COS(RADIANS($H$54))+$Z$5</f>
        <v>-1.7433756729740644</v>
      </c>
      <c r="AO31" s="116">
        <f t="shared" ref="AO31:AO45" si="27">(AO12-$Y$6)*COS(RADIANS($H$53))-(AP12-$Z$6)*SIN(RADIANS($H$53))+$Y$6</f>
        <v>-0.06</v>
      </c>
      <c r="AP31" s="145">
        <f t="shared" ref="AP31:AP45" si="28">(AO12-$Y$6)*SIN(RADIANS($H$53))+(AP12-$Z$6)*COS(RADIANS($H$53))+$Z$6</f>
        <v>2.5867513459481275</v>
      </c>
    </row>
    <row r="32" spans="2:42" ht="19.5" thickBot="1" x14ac:dyDescent="0.3">
      <c r="C32" s="20"/>
      <c r="D32" s="21" t="s">
        <v>169</v>
      </c>
      <c r="E32" s="22">
        <v>2400</v>
      </c>
      <c r="F32" s="20" t="s">
        <v>170</v>
      </c>
      <c r="G32" s="23"/>
      <c r="H32" s="17"/>
      <c r="I32" s="97"/>
      <c r="J32" s="98"/>
      <c r="K32" s="21" t="s">
        <v>171</v>
      </c>
      <c r="L32" s="100">
        <v>1</v>
      </c>
      <c r="M32" s="17" t="s">
        <v>172</v>
      </c>
      <c r="S32" s="95"/>
      <c r="T32" s="134" t="str">
        <f>Codigo!Q31</f>
        <v/>
      </c>
      <c r="U32" s="116" t="str">
        <f>IF(T32&lt;&gt;"",Vértices!C30,"")</f>
        <v/>
      </c>
      <c r="V32" s="135" t="str">
        <f>IF(T32&lt;&gt;"",Vértices!D30,"")</f>
        <v/>
      </c>
      <c r="W32" s="136"/>
      <c r="X32" s="143">
        <f t="shared" si="17"/>
        <v>-2.8</v>
      </c>
      <c r="Y32" s="154">
        <f t="shared" ref="Y32:AC32" si="29">Y28</f>
        <v>-1.7433756729740644</v>
      </c>
      <c r="Z32" s="155">
        <f t="shared" si="29"/>
        <v>2.2000000000000002</v>
      </c>
      <c r="AA32" s="154">
        <f t="shared" si="29"/>
        <v>-1.7433756729740644</v>
      </c>
      <c r="AB32" s="155">
        <f t="shared" si="29"/>
        <v>-0.3</v>
      </c>
      <c r="AC32" s="156">
        <f t="shared" si="29"/>
        <v>2.5867513459481275</v>
      </c>
      <c r="AK32" s="134">
        <f t="shared" si="23"/>
        <v>-2.44</v>
      </c>
      <c r="AL32" s="153">
        <f t="shared" si="24"/>
        <v>-1.7433756729740644</v>
      </c>
      <c r="AM32" s="116">
        <f t="shared" si="25"/>
        <v>2.56</v>
      </c>
      <c r="AN32" s="153">
        <f t="shared" si="26"/>
        <v>-1.7433756729740644</v>
      </c>
      <c r="AO32" s="116">
        <f t="shared" si="27"/>
        <v>0.06</v>
      </c>
      <c r="AP32" s="145">
        <f t="shared" si="28"/>
        <v>2.5867513459481275</v>
      </c>
    </row>
    <row r="33" spans="2:42" ht="18.75" x14ac:dyDescent="0.25">
      <c r="C33" s="20"/>
      <c r="D33" s="21" t="s">
        <v>173</v>
      </c>
      <c r="E33" s="22">
        <v>1600</v>
      </c>
      <c r="F33" s="20" t="s">
        <v>170</v>
      </c>
      <c r="G33" s="23"/>
      <c r="H33" s="17"/>
      <c r="I33" s="23"/>
      <c r="J33" s="23"/>
      <c r="K33" s="21" t="s">
        <v>174</v>
      </c>
      <c r="L33" s="101">
        <v>2200</v>
      </c>
      <c r="M33" s="20" t="s">
        <v>170</v>
      </c>
      <c r="S33" s="95"/>
      <c r="T33" s="134" t="str">
        <f>Codigo!Q32</f>
        <v/>
      </c>
      <c r="U33" s="116" t="str">
        <f>IF(T33&lt;&gt;"",Vértices!C31,"")</f>
        <v/>
      </c>
      <c r="V33" s="135" t="str">
        <f>IF(T33&lt;&gt;"",Vértices!D31,"")</f>
        <v/>
      </c>
      <c r="W33" s="136"/>
      <c r="AK33" s="134">
        <f t="shared" si="23"/>
        <v>-2.3199999999999998</v>
      </c>
      <c r="AL33" s="153">
        <f t="shared" si="24"/>
        <v>-1.7433756729740644</v>
      </c>
      <c r="AM33" s="116">
        <f t="shared" si="25"/>
        <v>2.68</v>
      </c>
      <c r="AN33" s="153">
        <f t="shared" si="26"/>
        <v>-1.7433756729740644</v>
      </c>
      <c r="AO33" s="116">
        <f t="shared" si="27"/>
        <v>0.18</v>
      </c>
      <c r="AP33" s="145">
        <f t="shared" si="28"/>
        <v>2.5867513459481275</v>
      </c>
    </row>
    <row r="34" spans="2:42" ht="18.75" x14ac:dyDescent="0.25">
      <c r="C34" s="20"/>
      <c r="D34" s="21" t="s">
        <v>175</v>
      </c>
      <c r="E34" s="22">
        <v>4200</v>
      </c>
      <c r="F34" s="20" t="s">
        <v>166</v>
      </c>
      <c r="G34" s="23"/>
      <c r="H34" s="17"/>
      <c r="I34" s="23"/>
      <c r="J34" s="23"/>
      <c r="K34" s="21" t="s">
        <v>176</v>
      </c>
      <c r="L34" s="101">
        <v>0</v>
      </c>
      <c r="M34" s="20" t="s">
        <v>177</v>
      </c>
      <c r="S34" s="95"/>
      <c r="T34" s="134" t="str">
        <f>Codigo!Q33</f>
        <v/>
      </c>
      <c r="U34" s="116" t="str">
        <f>IF(T34&lt;&gt;"",Vértices!C32,"")</f>
        <v/>
      </c>
      <c r="V34" s="135" t="str">
        <f>IF(T34&lt;&gt;"",Vértices!D32,"")</f>
        <v/>
      </c>
      <c r="W34" s="136"/>
      <c r="AK34" s="134">
        <f t="shared" si="23"/>
        <v>-2.1999999999999997</v>
      </c>
      <c r="AL34" s="153">
        <f t="shared" si="24"/>
        <v>-1.6233756729740643</v>
      </c>
      <c r="AM34" s="116">
        <f t="shared" si="25"/>
        <v>2.8000000000000003</v>
      </c>
      <c r="AN34" s="153">
        <f t="shared" si="26"/>
        <v>-1.6233756729740643</v>
      </c>
      <c r="AO34" s="116">
        <f t="shared" si="27"/>
        <v>0.3</v>
      </c>
      <c r="AP34" s="145">
        <f t="shared" si="28"/>
        <v>2.7067513459481276</v>
      </c>
    </row>
    <row r="35" spans="2:42" x14ac:dyDescent="0.25">
      <c r="B35" s="24"/>
      <c r="C35" s="24"/>
      <c r="D35" s="24"/>
      <c r="E35" s="102"/>
      <c r="F35" s="2"/>
      <c r="G35" s="2"/>
      <c r="I35" s="2"/>
      <c r="J35" s="2"/>
      <c r="L35" s="2"/>
      <c r="M35" s="2"/>
      <c r="S35" s="95"/>
      <c r="T35" s="134" t="str">
        <f>Codigo!Q34</f>
        <v/>
      </c>
      <c r="U35" s="116" t="str">
        <f>IF(T35&lt;&gt;"",Vértices!C33,"")</f>
        <v/>
      </c>
      <c r="V35" s="135" t="str">
        <f>IF(T35&lt;&gt;"",Vértices!D33,"")</f>
        <v/>
      </c>
      <c r="W35" s="136"/>
      <c r="AK35" s="134">
        <f t="shared" si="23"/>
        <v>-2.1999999999999997</v>
      </c>
      <c r="AL35" s="153">
        <f t="shared" si="24"/>
        <v>-1.5033756729740644</v>
      </c>
      <c r="AM35" s="116">
        <f t="shared" si="25"/>
        <v>2.8000000000000003</v>
      </c>
      <c r="AN35" s="153">
        <f t="shared" si="26"/>
        <v>-1.5033756729740644</v>
      </c>
      <c r="AO35" s="116">
        <f t="shared" si="27"/>
        <v>0.3</v>
      </c>
      <c r="AP35" s="145">
        <f t="shared" si="28"/>
        <v>2.8267513459481277</v>
      </c>
    </row>
    <row r="36" spans="2:42" ht="16.5" thickBot="1" x14ac:dyDescent="0.3">
      <c r="B36" s="96" t="s">
        <v>178</v>
      </c>
      <c r="E36" s="102"/>
      <c r="F36" s="2"/>
      <c r="G36" s="2"/>
      <c r="I36" s="2"/>
      <c r="J36" s="2"/>
      <c r="L36" s="2"/>
      <c r="M36" s="2"/>
      <c r="T36" s="143" t="str">
        <f>Codigo!Q35</f>
        <v/>
      </c>
      <c r="U36" s="155" t="str">
        <f>IF(T36&lt;&gt;"",Vértices!C34,"")</f>
        <v/>
      </c>
      <c r="V36" s="152" t="str">
        <f>IF(T36&lt;&gt;"",Vértices!D34,"")</f>
        <v/>
      </c>
      <c r="AK36" s="134">
        <f t="shared" si="23"/>
        <v>-2.1999999999999997</v>
      </c>
      <c r="AL36" s="153">
        <f t="shared" si="24"/>
        <v>-1.3833756729740645</v>
      </c>
      <c r="AM36" s="116">
        <f t="shared" si="25"/>
        <v>2.8000000000000003</v>
      </c>
      <c r="AN36" s="153">
        <f t="shared" si="26"/>
        <v>-1.3833756729740645</v>
      </c>
      <c r="AO36" s="116">
        <f t="shared" si="27"/>
        <v>0.3</v>
      </c>
      <c r="AP36" s="145">
        <f t="shared" si="28"/>
        <v>2.9467513459481274</v>
      </c>
    </row>
    <row r="37" spans="2:42" x14ac:dyDescent="0.25">
      <c r="AK37" s="134">
        <f t="shared" si="23"/>
        <v>-2.1999999999999997</v>
      </c>
      <c r="AL37" s="153">
        <f t="shared" si="24"/>
        <v>-1.2633756729740644</v>
      </c>
      <c r="AM37" s="116">
        <f t="shared" si="25"/>
        <v>2.8000000000000003</v>
      </c>
      <c r="AN37" s="153">
        <f t="shared" si="26"/>
        <v>-1.2633756729740644</v>
      </c>
      <c r="AO37" s="116">
        <f t="shared" si="27"/>
        <v>0.3</v>
      </c>
      <c r="AP37" s="145">
        <f t="shared" si="28"/>
        <v>3.0667513459481275</v>
      </c>
    </row>
    <row r="38" spans="2:42" ht="15.75" x14ac:dyDescent="0.25">
      <c r="D38" s="21" t="s">
        <v>179</v>
      </c>
      <c r="E38" s="26">
        <f>Vértices!N25</f>
        <v>9.7320000000000011</v>
      </c>
      <c r="F38" s="17" t="s">
        <v>172</v>
      </c>
      <c r="AK38" s="134">
        <f t="shared" si="23"/>
        <v>-2.3199999999999998</v>
      </c>
      <c r="AL38" s="153">
        <f t="shared" si="24"/>
        <v>-1.1433756729740643</v>
      </c>
      <c r="AM38" s="116">
        <f t="shared" si="25"/>
        <v>2.68</v>
      </c>
      <c r="AN38" s="153">
        <f t="shared" si="26"/>
        <v>-1.1433756729740643</v>
      </c>
      <c r="AO38" s="116">
        <f t="shared" si="27"/>
        <v>0.18</v>
      </c>
      <c r="AP38" s="145">
        <f t="shared" si="28"/>
        <v>3.1867513459481276</v>
      </c>
    </row>
    <row r="39" spans="2:42" ht="18.75" x14ac:dyDescent="0.25">
      <c r="D39" s="14" t="s">
        <v>180</v>
      </c>
      <c r="E39" s="25">
        <v>0.7</v>
      </c>
      <c r="F39" s="17" t="s">
        <v>172</v>
      </c>
      <c r="AK39" s="134">
        <f t="shared" si="23"/>
        <v>-2.4399999999999995</v>
      </c>
      <c r="AL39" s="153">
        <f t="shared" si="24"/>
        <v>-1.1433756729740643</v>
      </c>
      <c r="AM39" s="116">
        <f t="shared" si="25"/>
        <v>2.5600000000000005</v>
      </c>
      <c r="AN39" s="153">
        <f t="shared" si="26"/>
        <v>-1.1433756729740643</v>
      </c>
      <c r="AO39" s="116">
        <f t="shared" si="27"/>
        <v>0.06</v>
      </c>
      <c r="AP39" s="145">
        <f t="shared" si="28"/>
        <v>3.1867513459481276</v>
      </c>
    </row>
    <row r="40" spans="2:42" ht="18.75" x14ac:dyDescent="0.25">
      <c r="D40" s="14" t="s">
        <v>181</v>
      </c>
      <c r="E40" s="25">
        <v>5</v>
      </c>
      <c r="F40" s="17" t="s">
        <v>172</v>
      </c>
      <c r="AK40" s="134">
        <f t="shared" si="23"/>
        <v>-2.5599999999999996</v>
      </c>
      <c r="AL40" s="153">
        <f t="shared" si="24"/>
        <v>-1.1433756729740643</v>
      </c>
      <c r="AM40" s="116">
        <f t="shared" si="25"/>
        <v>2.4400000000000004</v>
      </c>
      <c r="AN40" s="153">
        <f t="shared" si="26"/>
        <v>-1.1433756729740643</v>
      </c>
      <c r="AO40" s="116">
        <f t="shared" si="27"/>
        <v>-0.06</v>
      </c>
      <c r="AP40" s="145">
        <f t="shared" si="28"/>
        <v>3.1867513459481276</v>
      </c>
    </row>
    <row r="41" spans="2:42" ht="18.75" x14ac:dyDescent="0.25">
      <c r="D41" s="14" t="s">
        <v>182</v>
      </c>
      <c r="E41" s="25">
        <v>3.5</v>
      </c>
      <c r="F41" s="17" t="s">
        <v>172</v>
      </c>
      <c r="AK41" s="134">
        <f t="shared" si="23"/>
        <v>-2.6799999999999997</v>
      </c>
      <c r="AL41" s="153">
        <f t="shared" si="24"/>
        <v>-1.1433756729740643</v>
      </c>
      <c r="AM41" s="116">
        <f t="shared" si="25"/>
        <v>2.3200000000000003</v>
      </c>
      <c r="AN41" s="153">
        <f t="shared" si="26"/>
        <v>-1.1433756729740643</v>
      </c>
      <c r="AO41" s="116">
        <f t="shared" si="27"/>
        <v>-0.18</v>
      </c>
      <c r="AP41" s="145">
        <f t="shared" si="28"/>
        <v>3.1867513459481276</v>
      </c>
    </row>
    <row r="42" spans="2:42" ht="18.75" x14ac:dyDescent="0.25">
      <c r="D42" s="14" t="s">
        <v>183</v>
      </c>
      <c r="E42" s="25">
        <v>0.6</v>
      </c>
      <c r="F42" s="17" t="s">
        <v>172</v>
      </c>
      <c r="AK42" s="134">
        <f t="shared" si="23"/>
        <v>-2.8</v>
      </c>
      <c r="AL42" s="153">
        <f t="shared" si="24"/>
        <v>-1.2633756729740644</v>
      </c>
      <c r="AM42" s="116">
        <f t="shared" si="25"/>
        <v>2.2000000000000002</v>
      </c>
      <c r="AN42" s="153">
        <f t="shared" si="26"/>
        <v>-1.2633756729740644</v>
      </c>
      <c r="AO42" s="116">
        <f t="shared" si="27"/>
        <v>-0.3</v>
      </c>
      <c r="AP42" s="145">
        <f t="shared" si="28"/>
        <v>3.0667513459481275</v>
      </c>
    </row>
    <row r="43" spans="2:42" ht="15.75" x14ac:dyDescent="0.25">
      <c r="D43" s="14" t="s">
        <v>184</v>
      </c>
      <c r="E43" s="26">
        <f>Vértices!N29</f>
        <v>54.404200000000003</v>
      </c>
      <c r="F43" s="17" t="s">
        <v>172</v>
      </c>
      <c r="AK43" s="134">
        <f t="shared" si="23"/>
        <v>-2.8</v>
      </c>
      <c r="AL43" s="153">
        <f t="shared" si="24"/>
        <v>-1.3833756729740643</v>
      </c>
      <c r="AM43" s="116">
        <f t="shared" si="25"/>
        <v>2.2000000000000002</v>
      </c>
      <c r="AN43" s="153">
        <f t="shared" si="26"/>
        <v>-1.3833756729740643</v>
      </c>
      <c r="AO43" s="116">
        <f t="shared" si="27"/>
        <v>-0.3</v>
      </c>
      <c r="AP43" s="145">
        <f t="shared" si="28"/>
        <v>2.9467513459481278</v>
      </c>
    </row>
    <row r="44" spans="2:42" ht="18.75" x14ac:dyDescent="0.25">
      <c r="D44" s="14" t="s">
        <v>185</v>
      </c>
      <c r="E44" s="25">
        <v>0.3</v>
      </c>
      <c r="F44" s="17" t="s">
        <v>172</v>
      </c>
      <c r="AK44" s="134">
        <f t="shared" si="23"/>
        <v>-2.8</v>
      </c>
      <c r="AL44" s="153">
        <f t="shared" si="24"/>
        <v>-1.5033756729740642</v>
      </c>
      <c r="AM44" s="116">
        <f t="shared" si="25"/>
        <v>2.2000000000000002</v>
      </c>
      <c r="AN44" s="153">
        <f t="shared" si="26"/>
        <v>-1.5033756729740642</v>
      </c>
      <c r="AO44" s="116">
        <f t="shared" si="27"/>
        <v>-0.3</v>
      </c>
      <c r="AP44" s="145">
        <f t="shared" si="28"/>
        <v>2.8267513459481277</v>
      </c>
    </row>
    <row r="45" spans="2:42" ht="19.5" thickBot="1" x14ac:dyDescent="0.3">
      <c r="D45" s="14" t="s">
        <v>186</v>
      </c>
      <c r="E45" s="25">
        <v>0</v>
      </c>
      <c r="F45" s="17" t="s">
        <v>172</v>
      </c>
      <c r="AK45" s="143">
        <f t="shared" si="23"/>
        <v>-2.8</v>
      </c>
      <c r="AL45" s="154">
        <f t="shared" si="24"/>
        <v>-1.6233756729740643</v>
      </c>
      <c r="AM45" s="155">
        <f t="shared" si="25"/>
        <v>2.2000000000000002</v>
      </c>
      <c r="AN45" s="154">
        <f t="shared" si="26"/>
        <v>-1.6233756729740643</v>
      </c>
      <c r="AO45" s="155">
        <f t="shared" si="27"/>
        <v>-0.3</v>
      </c>
      <c r="AP45" s="156">
        <f t="shared" si="28"/>
        <v>2.7067513459481276</v>
      </c>
    </row>
    <row r="46" spans="2:42" ht="18.75" x14ac:dyDescent="0.25">
      <c r="D46" s="14" t="s">
        <v>187</v>
      </c>
      <c r="E46" s="25">
        <v>0</v>
      </c>
      <c r="F46" s="17" t="s">
        <v>172</v>
      </c>
    </row>
    <row r="47" spans="2:42" ht="18.75" x14ac:dyDescent="0.25">
      <c r="D47" s="14" t="s">
        <v>188</v>
      </c>
      <c r="E47" s="26">
        <f>E41+E44-E39</f>
        <v>3.0999999999999996</v>
      </c>
      <c r="F47" s="17" t="s">
        <v>172</v>
      </c>
    </row>
    <row r="48" spans="2:42" ht="18.75" x14ac:dyDescent="0.25">
      <c r="D48" s="14" t="s">
        <v>189</v>
      </c>
      <c r="E48" s="26">
        <f>E41-E39</f>
        <v>2.8</v>
      </c>
      <c r="F48" s="17" t="s">
        <v>172</v>
      </c>
    </row>
    <row r="49" spans="2:9" ht="18.75" x14ac:dyDescent="0.25">
      <c r="D49" s="14" t="s">
        <v>190</v>
      </c>
      <c r="E49" s="25">
        <v>8</v>
      </c>
      <c r="F49" s="17" t="s">
        <v>191</v>
      </c>
    </row>
    <row r="50" spans="2:9" ht="15.75" x14ac:dyDescent="0.25">
      <c r="D50" s="14" t="s">
        <v>192</v>
      </c>
      <c r="E50" s="25">
        <v>3</v>
      </c>
    </row>
    <row r="52" spans="2:9" ht="15.75" x14ac:dyDescent="0.25">
      <c r="B52" s="96" t="s">
        <v>193</v>
      </c>
    </row>
    <row r="53" spans="2:9" x14ac:dyDescent="0.25">
      <c r="G53" s="95" t="s">
        <v>633</v>
      </c>
      <c r="H53" s="226">
        <v>0</v>
      </c>
      <c r="I53" s="95"/>
    </row>
    <row r="54" spans="2:9" ht="15.75" x14ac:dyDescent="0.25">
      <c r="B54" s="96" t="s">
        <v>194</v>
      </c>
      <c r="C54" s="96"/>
      <c r="G54" s="95" t="s">
        <v>625</v>
      </c>
      <c r="H54" s="226">
        <v>0</v>
      </c>
      <c r="I54" s="95"/>
    </row>
    <row r="55" spans="2:9" x14ac:dyDescent="0.25">
      <c r="G55" s="95" t="s">
        <v>624</v>
      </c>
      <c r="H55" s="226">
        <v>0</v>
      </c>
      <c r="I55" s="95"/>
    </row>
    <row r="56" spans="2:9" x14ac:dyDescent="0.25">
      <c r="B56" s="116" t="s">
        <v>195</v>
      </c>
    </row>
    <row r="57" spans="2:9" x14ac:dyDescent="0.25">
      <c r="B57" s="24" t="s">
        <v>196</v>
      </c>
      <c r="C57" s="153">
        <v>0.6</v>
      </c>
      <c r="G57" s="116" t="s">
        <v>197</v>
      </c>
    </row>
    <row r="58" spans="2:9" x14ac:dyDescent="0.25">
      <c r="B58" s="24" t="s">
        <v>196</v>
      </c>
      <c r="C58" s="116">
        <v>0.75</v>
      </c>
      <c r="G58" s="116" t="s">
        <v>198</v>
      </c>
    </row>
    <row r="60" spans="2:9" x14ac:dyDescent="0.25">
      <c r="B60" s="116" t="s">
        <v>199</v>
      </c>
    </row>
    <row r="61" spans="2:9" x14ac:dyDescent="0.25">
      <c r="B61" s="24" t="s">
        <v>196</v>
      </c>
      <c r="C61" s="153">
        <v>0.75</v>
      </c>
    </row>
    <row r="64" spans="2:9" ht="15.75" x14ac:dyDescent="0.25">
      <c r="B64" s="96" t="s">
        <v>200</v>
      </c>
    </row>
    <row r="66" spans="2:14" ht="15.75" x14ac:dyDescent="0.25">
      <c r="B66" s="96" t="s">
        <v>201</v>
      </c>
    </row>
    <row r="67" spans="2:14" ht="15.75" thickBot="1" x14ac:dyDescent="0.3"/>
    <row r="68" spans="2:14" ht="18.75" thickBot="1" x14ac:dyDescent="0.3">
      <c r="B68" s="24"/>
      <c r="D68" s="158" t="s">
        <v>202</v>
      </c>
      <c r="E68" s="158" t="s">
        <v>203</v>
      </c>
      <c r="F68" s="158" t="s">
        <v>204</v>
      </c>
      <c r="G68" s="158" t="s">
        <v>205</v>
      </c>
      <c r="H68" s="158" t="s">
        <v>206</v>
      </c>
      <c r="I68" s="158" t="s">
        <v>207</v>
      </c>
      <c r="J68" s="158" t="s">
        <v>208</v>
      </c>
      <c r="K68" s="158" t="s">
        <v>209</v>
      </c>
      <c r="L68" s="158" t="s">
        <v>210</v>
      </c>
      <c r="M68" s="158" t="s">
        <v>211</v>
      </c>
      <c r="N68" s="132" t="s">
        <v>212</v>
      </c>
    </row>
    <row r="69" spans="2:14" x14ac:dyDescent="0.25">
      <c r="B69" s="24"/>
      <c r="C69" s="24" t="s">
        <v>213</v>
      </c>
      <c r="D69" s="169">
        <f>(G16+J16+M16)*($E$41+$E$44)</f>
        <v>3.8000000000001297E-2</v>
      </c>
      <c r="E69" s="130">
        <f>(E16+H16+K16)*($E$41+$E$44)</f>
        <v>-55.061999999999991</v>
      </c>
      <c r="F69" s="169">
        <f>F16*$Z$4+I16*$Z$5+L16*$Z$6</f>
        <v>0</v>
      </c>
      <c r="G69" s="169">
        <f>F16*$Y$4+I16*$Y$5+L16*$Y$6</f>
        <v>-326</v>
      </c>
      <c r="H69" s="159">
        <f>F16+I16+L16</f>
        <v>7.4100000000000055</v>
      </c>
      <c r="I69" s="169">
        <f>G69/H69</f>
        <v>-43.994601889338696</v>
      </c>
      <c r="J69" s="130">
        <f>F69/H69</f>
        <v>0</v>
      </c>
      <c r="K69" s="169">
        <f>I69-$AF$4</f>
        <v>-43.994601889338696</v>
      </c>
      <c r="L69" s="130">
        <f>J69-$AF$5</f>
        <v>0</v>
      </c>
      <c r="M69" s="169">
        <f>H69*L69</f>
        <v>0</v>
      </c>
      <c r="N69" s="130">
        <f>H69*K69</f>
        <v>-326</v>
      </c>
    </row>
    <row r="70" spans="2:14" x14ac:dyDescent="0.25">
      <c r="B70" s="24"/>
      <c r="C70" s="24" t="s">
        <v>214</v>
      </c>
      <c r="D70" s="170">
        <f>(G17+J17+M17)*($E$41+$E$44)</f>
        <v>26.637999999999998</v>
      </c>
      <c r="E70" s="135">
        <f>(E17+H17+K17)*($E$41+$E$44)</f>
        <v>-46.131999999999991</v>
      </c>
      <c r="F70" s="170">
        <f>F17*$Z$4+I17*$Z$5+L17*$Z$6</f>
        <v>158.48264889255222</v>
      </c>
      <c r="G70" s="170">
        <f>F17*$Y$4+I17*$Y$5+L17*$Y$6</f>
        <v>-274.45000000000005</v>
      </c>
      <c r="H70" s="145">
        <f>F17+I17+L17</f>
        <v>7.4100000000000037</v>
      </c>
      <c r="I70" s="170">
        <f>G70/H70</f>
        <v>-37.03778677462887</v>
      </c>
      <c r="J70" s="135">
        <f>F70/H70</f>
        <v>21.387671915324177</v>
      </c>
      <c r="K70" s="170">
        <f>I70-$AF$4</f>
        <v>-37.03778677462887</v>
      </c>
      <c r="L70" s="135">
        <f>J70-$AF$5</f>
        <v>21.387671915324177</v>
      </c>
      <c r="M70" s="170">
        <f>H70*L70</f>
        <v>158.48264889255222</v>
      </c>
      <c r="N70" s="135">
        <f>H70*K70</f>
        <v>-274.45000000000005</v>
      </c>
    </row>
    <row r="71" spans="2:14" ht="16.5" thickBot="1" x14ac:dyDescent="0.3">
      <c r="B71" s="27"/>
      <c r="C71" s="24" t="s">
        <v>215</v>
      </c>
      <c r="D71" s="171">
        <f>(G18+J18+M18)*($E$41+$E$44)</f>
        <v>60.192</v>
      </c>
      <c r="E71" s="152">
        <f>(E18+H18+K18)*($E$41+$E$44)</f>
        <v>0</v>
      </c>
      <c r="F71" s="171">
        <f>F18*$Z$4+I18*$Z$5+L18*$Z$6</f>
        <v>353.33836474405081</v>
      </c>
      <c r="G71" s="171">
        <f>F18*$Y$4+I18*$Y$5+L18*$Y$6</f>
        <v>0</v>
      </c>
      <c r="H71" s="156">
        <f>F18+I18+L18</f>
        <v>7.4099999999999966</v>
      </c>
      <c r="I71" s="171">
        <f>G71/H71</f>
        <v>0</v>
      </c>
      <c r="J71" s="152">
        <f>F71/H71</f>
        <v>47.683989844001481</v>
      </c>
      <c r="K71" s="171">
        <f>I71-$AF$4</f>
        <v>0</v>
      </c>
      <c r="L71" s="152">
        <f>J71-$AF$5</f>
        <v>47.683989844001481</v>
      </c>
      <c r="M71" s="171">
        <f>H71*L71</f>
        <v>353.33836474405081</v>
      </c>
      <c r="N71" s="152">
        <f>H71*K71</f>
        <v>0</v>
      </c>
    </row>
    <row r="72" spans="2:14" ht="16.5" thickBot="1" x14ac:dyDescent="0.3">
      <c r="B72" s="27"/>
    </row>
    <row r="73" spans="2:14" ht="18.75" thickBot="1" x14ac:dyDescent="0.3">
      <c r="B73" s="27"/>
      <c r="C73" s="24"/>
      <c r="D73" s="158" t="s">
        <v>216</v>
      </c>
      <c r="E73" s="160" t="s">
        <v>217</v>
      </c>
      <c r="F73" s="132" t="s">
        <v>218</v>
      </c>
      <c r="G73" s="158" t="s">
        <v>219</v>
      </c>
      <c r="H73" s="160" t="s">
        <v>220</v>
      </c>
      <c r="I73" s="132" t="s">
        <v>221</v>
      </c>
      <c r="J73" s="132" t="s">
        <v>222</v>
      </c>
      <c r="K73" s="132" t="s">
        <v>223</v>
      </c>
      <c r="L73" s="132" t="s">
        <v>224</v>
      </c>
    </row>
    <row r="74" spans="2:14" ht="15.75" x14ac:dyDescent="0.25">
      <c r="B74" s="27"/>
      <c r="C74" s="24" t="s">
        <v>213</v>
      </c>
      <c r="D74" s="162">
        <f t="shared" ref="D74:E76" si="30">M69+D69</f>
        <v>3.8000000000001297E-2</v>
      </c>
      <c r="E74" s="128">
        <f t="shared" si="30"/>
        <v>-381.06200000000001</v>
      </c>
      <c r="F74" s="161">
        <f>SUM($Y$19:$Y$23)+H69</f>
        <v>345.736672</v>
      </c>
      <c r="G74" s="127">
        <f>E74/F74</f>
        <v>-1.1021740846744774</v>
      </c>
      <c r="H74" s="162">
        <f>D74/F74</f>
        <v>1.0991023827521917E-4</v>
      </c>
      <c r="I74" s="162">
        <f>IFERROR(ATAN(D74/E74)*180/PI(),90)</f>
        <v>-5.713609896237707E-3</v>
      </c>
      <c r="J74" s="162">
        <f>SQRT((D74^2)+(E74^2))</f>
        <v>381.06200189470479</v>
      </c>
      <c r="K74" s="50">
        <v>3.911</v>
      </c>
      <c r="L74" s="162">
        <f>K74*F74</f>
        <v>1352.1761241920001</v>
      </c>
      <c r="M74" s="103"/>
    </row>
    <row r="75" spans="2:14" ht="15.75" x14ac:dyDescent="0.25">
      <c r="B75" s="27"/>
      <c r="C75" s="24" t="s">
        <v>214</v>
      </c>
      <c r="D75" s="164">
        <f t="shared" si="30"/>
        <v>185.12064889255223</v>
      </c>
      <c r="E75" s="139">
        <f t="shared" si="30"/>
        <v>-320.58200000000005</v>
      </c>
      <c r="F75" s="163">
        <f>SUM($Y$19:$Y$23)+H70</f>
        <v>345.736672</v>
      </c>
      <c r="G75" s="138">
        <f>E75/F75</f>
        <v>-0.92724326333539775</v>
      </c>
      <c r="H75" s="164">
        <f>D75/F75</f>
        <v>0.53543827972218183</v>
      </c>
      <c r="I75" s="164">
        <f>IFERROR(ATAN(D75/E75)*180/PI(),90)</f>
        <v>-30.004362229876008</v>
      </c>
      <c r="J75" s="164">
        <f>SQRT((D75^2)+(E75^2))</f>
        <v>370.19248151522419</v>
      </c>
      <c r="K75" s="51">
        <v>5.0410000000000004</v>
      </c>
      <c r="L75" s="164">
        <f>K75*F75</f>
        <v>1742.8585635520001</v>
      </c>
      <c r="M75" s="103"/>
    </row>
    <row r="76" spans="2:14" ht="15.75" thickBot="1" x14ac:dyDescent="0.3">
      <c r="C76" s="24" t="s">
        <v>215</v>
      </c>
      <c r="D76" s="168">
        <f t="shared" si="30"/>
        <v>413.53036474405081</v>
      </c>
      <c r="E76" s="166">
        <f t="shared" si="30"/>
        <v>0</v>
      </c>
      <c r="F76" s="167">
        <f>SUM($Y$19:$Y$23)+H71</f>
        <v>345.736672</v>
      </c>
      <c r="G76" s="165">
        <f>E76/F76</f>
        <v>0</v>
      </c>
      <c r="H76" s="168">
        <f>D76/F76</f>
        <v>1.1960847611330361</v>
      </c>
      <c r="I76" s="168">
        <f>IFERROR(ATAN(D76/-E76)*180/PI(),-90)</f>
        <v>-90</v>
      </c>
      <c r="J76" s="168">
        <f>SQRT((D76^2)+(E76^2))</f>
        <v>413.53036474405081</v>
      </c>
      <c r="K76" s="52">
        <v>3.387</v>
      </c>
      <c r="L76" s="168">
        <f>K76*F76</f>
        <v>1171.010108064</v>
      </c>
      <c r="M76" s="103"/>
    </row>
    <row r="78" spans="2:14" ht="15.75" x14ac:dyDescent="0.25">
      <c r="B78" s="96" t="s">
        <v>791</v>
      </c>
    </row>
    <row r="79" spans="2:14" ht="15.75" thickBot="1" x14ac:dyDescent="0.3"/>
    <row r="80" spans="2:14" ht="15.75" thickBot="1" x14ac:dyDescent="0.3">
      <c r="D80" s="132" t="s">
        <v>225</v>
      </c>
      <c r="E80" s="132" t="s">
        <v>226</v>
      </c>
    </row>
    <row r="81" spans="2:15" ht="15.75" customHeight="1" x14ac:dyDescent="0.25">
      <c r="C81" s="24" t="s">
        <v>213</v>
      </c>
      <c r="D81" s="169">
        <f>L74/J74</f>
        <v>3.5484412443874001</v>
      </c>
      <c r="E81" s="104">
        <f>1/D81</f>
        <v>0.28181388139981423</v>
      </c>
      <c r="G81" s="230" t="str">
        <f>IF(D81&gt;=1,"CUMPLE LA REVISIÓN POR VOLTEO PARA COMBINACIÓN A 90°","NO CUMPLE LA REVISIÓN POR VOLTEO PARA COMBINACIÓN A 90°")</f>
        <v>CUMPLE LA REVISIÓN POR VOLTEO PARA COMBINACIÓN A 90°</v>
      </c>
      <c r="H81" s="230"/>
      <c r="I81" s="230"/>
      <c r="J81" s="230"/>
      <c r="K81" s="230"/>
      <c r="L81" s="230"/>
    </row>
    <row r="82" spans="2:15" ht="15.75" customHeight="1" x14ac:dyDescent="0.25">
      <c r="C82" s="24" t="s">
        <v>214</v>
      </c>
      <c r="D82" s="170">
        <f>L75/J75</f>
        <v>4.707979363649839</v>
      </c>
      <c r="E82" s="105">
        <f>1/D82</f>
        <v>0.21240534903805414</v>
      </c>
      <c r="G82" s="230" t="str">
        <f>IF(D82&gt;=1,"CUMPLE LA REVISIÓN POR VOLTEO PARA COMBINACIÓN A 60°","NO CUMPLE LA REVISIÓN POR VOLTEO PARA COMBINACIÓN A 60°")</f>
        <v>CUMPLE LA REVISIÓN POR VOLTEO PARA COMBINACIÓN A 60°</v>
      </c>
      <c r="H82" s="230"/>
      <c r="I82" s="230"/>
      <c r="J82" s="230"/>
      <c r="K82" s="230"/>
      <c r="L82" s="230"/>
    </row>
    <row r="83" spans="2:15" ht="16.5" customHeight="1" thickBot="1" x14ac:dyDescent="0.3">
      <c r="C83" s="24" t="s">
        <v>215</v>
      </c>
      <c r="D83" s="171">
        <f>L76/J76</f>
        <v>2.8317391125287288</v>
      </c>
      <c r="E83" s="106">
        <f>1/D83</f>
        <v>0.35313987633098198</v>
      </c>
      <c r="G83" s="230" t="str">
        <f>IF(D83&gt;=1,"CUMPLE LA REVISIÓN POR VOLTEO PARA COMBINACIÓN NORMAL","NO CUMPLE LA REVISIÓN POR VOLTEO PARA COMBINACIÓN NORMAL°")</f>
        <v>CUMPLE LA REVISIÓN POR VOLTEO PARA COMBINACIÓN NORMAL</v>
      </c>
      <c r="H83" s="230"/>
      <c r="I83" s="230"/>
      <c r="J83" s="230"/>
      <c r="K83" s="230"/>
      <c r="L83" s="230"/>
    </row>
    <row r="86" spans="2:15" ht="15.75" x14ac:dyDescent="0.25">
      <c r="B86" s="96" t="s">
        <v>227</v>
      </c>
    </row>
    <row r="88" spans="2:15" x14ac:dyDescent="0.25">
      <c r="E88" s="240" t="s">
        <v>228</v>
      </c>
      <c r="F88" s="240"/>
    </row>
    <row r="89" spans="2:15" x14ac:dyDescent="0.25">
      <c r="E89" s="240"/>
      <c r="F89" s="240"/>
    </row>
    <row r="90" spans="2:15" x14ac:dyDescent="0.25">
      <c r="E90" s="39"/>
      <c r="F90" s="39"/>
    </row>
    <row r="91" spans="2:15" x14ac:dyDescent="0.25">
      <c r="E91" s="39"/>
      <c r="F91" s="39"/>
    </row>
    <row r="92" spans="2:15" ht="15.75" x14ac:dyDescent="0.25">
      <c r="B92" s="96" t="s">
        <v>229</v>
      </c>
      <c r="E92" s="39"/>
      <c r="F92" s="39"/>
    </row>
    <row r="93" spans="2:15" ht="17.25" thickBot="1" x14ac:dyDescent="0.3">
      <c r="D93" s="2" t="s">
        <v>230</v>
      </c>
      <c r="E93" s="2" t="s">
        <v>230</v>
      </c>
      <c r="F93" s="2" t="s">
        <v>231</v>
      </c>
      <c r="G93" s="2" t="s">
        <v>88</v>
      </c>
      <c r="H93" s="2" t="s">
        <v>88</v>
      </c>
      <c r="I93" s="2" t="s">
        <v>88</v>
      </c>
      <c r="J93" s="2" t="s">
        <v>88</v>
      </c>
      <c r="K93" s="2" t="s">
        <v>88</v>
      </c>
      <c r="L93" s="2" t="s">
        <v>88</v>
      </c>
      <c r="M93" s="2" t="s">
        <v>88</v>
      </c>
      <c r="N93" s="2" t="s">
        <v>88</v>
      </c>
      <c r="O93" s="2" t="s">
        <v>88</v>
      </c>
    </row>
    <row r="94" spans="2:15" ht="15.75" thickBot="1" x14ac:dyDescent="0.3">
      <c r="D94" s="172" t="s">
        <v>216</v>
      </c>
      <c r="E94" s="173" t="s">
        <v>217</v>
      </c>
      <c r="F94" s="131" t="s">
        <v>218</v>
      </c>
      <c r="G94" s="131" t="s">
        <v>97</v>
      </c>
      <c r="H94" s="131" t="s">
        <v>98</v>
      </c>
      <c r="I94" s="131" t="s">
        <v>99</v>
      </c>
      <c r="J94" s="131" t="s">
        <v>100</v>
      </c>
      <c r="K94" s="131" t="s">
        <v>101</v>
      </c>
      <c r="L94" s="131" t="s">
        <v>102</v>
      </c>
      <c r="M94" s="131" t="s">
        <v>103</v>
      </c>
      <c r="N94" s="131" t="s">
        <v>104</v>
      </c>
      <c r="O94" s="131" t="s">
        <v>105</v>
      </c>
    </row>
    <row r="95" spans="2:15" x14ac:dyDescent="0.25">
      <c r="C95" s="24" t="s">
        <v>213</v>
      </c>
      <c r="D95" s="129">
        <f>M69+D69</f>
        <v>3.8000000000001297E-2</v>
      </c>
      <c r="E95" s="129">
        <f t="shared" ref="D95:E97" si="31">N69+E69</f>
        <v>-381.06200000000001</v>
      </c>
      <c r="F95" s="174">
        <f>SUM($Y$19:$Y$23)+H69</f>
        <v>345.736672</v>
      </c>
      <c r="G95" s="175">
        <f>(F95/$E$43)+(D95*($V$4-$AF$5)/$AF$8)+(E95*($U$4-$AF$4)/$AF$9)</f>
        <v>13.516172979555606</v>
      </c>
      <c r="H95" s="175">
        <f>(F95/$E$43)+(D95*($V$5-$AF$5)/$AF$8)+(E95*($U$5-$AF$4)/$AF$9)</f>
        <v>12.044185737907007</v>
      </c>
      <c r="I95" s="176">
        <f>(F95/$E$43)+(D95*($V$6-$AF$5)/$AF$8)+(E95*($U$6-$AF$4)/$AF$9)</f>
        <v>0.66474592508407948</v>
      </c>
      <c r="J95" s="175">
        <f>IF(T8&lt;&gt;"",($F$95/$E$43)+($D$95*($V$7-$AF$5)/$AF$8)+($E$95*($U$7-$AF$4)/$AF$9),"")</f>
        <v>-0.80673289969849904</v>
      </c>
      <c r="K95" s="175">
        <f>IF(T9&lt;&gt;"",($F$95/$E$43)+($D$95*($V$8-$AF$5)/$AF$8)+($E$95*($U$8-$AF$4)/$AF$9),"")</f>
        <v>4.8839697620441367</v>
      </c>
      <c r="L95" s="175">
        <f>IF(T10&lt;&gt;"",($F$95/$E$43)+($D$95*($V$9-$AF$5)/$AF$8)+($E$95*($U$9-$AF$4)/$AF$9),"")</f>
        <v>7.8274358284753127</v>
      </c>
      <c r="M95" s="175" t="str">
        <f>IF(T11&lt;&gt;"",($F$95/$E$43)+($D$95*($V$10-$AF$5)/$AF$8)+($E$95*($U$10-$AF$4)/$AF$9),"")</f>
        <v/>
      </c>
      <c r="N95" s="175" t="str">
        <f>IF(T12&lt;&gt;"",($F$95/$E$43)+($D$95*($V$11-$AF$5)/$AF$8)+($E$95*($U$11-$AF$4)/$AF$9),"")</f>
        <v/>
      </c>
      <c r="O95" s="176" t="str">
        <f>IF(T13&lt;&gt;"",($F$95/$E$43)+($D$95*($V$12-$AF$5)/$AF$8)+($E$95*($U$12-$AF$4)/$AF$9),"")</f>
        <v/>
      </c>
    </row>
    <row r="96" spans="2:15" x14ac:dyDescent="0.25">
      <c r="C96" s="24" t="s">
        <v>214</v>
      </c>
      <c r="D96" s="134">
        <f>M70+D70</f>
        <v>185.12064889255223</v>
      </c>
      <c r="E96" s="134">
        <f t="shared" si="31"/>
        <v>-320.58200000000005</v>
      </c>
      <c r="F96" s="177">
        <f>SUM($Y$19:$Y$23)+H70</f>
        <v>345.736672</v>
      </c>
      <c r="G96" s="178">
        <f>(F96/$E$43)+(D96*($V$4-$AF$5)/$AF$8)+(E96*($U$4-$AF$4)/$AF$9)</f>
        <v>11.196728566393787</v>
      </c>
      <c r="H96" s="178">
        <f>(F96/$E$43)+(D96*($V$5-$AF$5)/$AF$8)+(E96*($U$5-$AF$4)/$AF$9)</f>
        <v>8.7201798640240646</v>
      </c>
      <c r="I96" s="179">
        <f>(F96/$E$43)+(D96*($V$6-$AF$5)/$AF$8)+(E96*($U$6-$AF$4)/$AF$9)</f>
        <v>-0.85317978368260849</v>
      </c>
      <c r="J96" s="178">
        <f>IF(T8&lt;&gt;"",($F$96/$E$43)+($D$96*($V$7-$AF$5)/$AF$8)+($E$96*($U$7-$AF$4)/$AF$9),"")</f>
        <v>-0.85292690327529552</v>
      </c>
      <c r="K96" s="178">
        <f>IF(T9&lt;&gt;"",($F$96/$E$43)+($D$96*($V$8-$AF$5)/$AF$8)+($E$96*($U$8-$AF$4)/$AF$9),"")</f>
        <v>8.721339883972643</v>
      </c>
      <c r="L96" s="178">
        <f>IF(T10&lt;&gt;"",($F$96/$E$43)+($D$96*($V$9-$AF$5)/$AF$8)+($E$96*($U$9-$AF$4)/$AF$9),"")</f>
        <v>11.197635705935053</v>
      </c>
      <c r="M96" s="178" t="str">
        <f>IF(T11&lt;&gt;"",($F$96/$E$43)+($D$96*($V$10-$AF$5)/$AF$8)+($E$96*($U$10-$AF$4)/$AF$9),"")</f>
        <v/>
      </c>
      <c r="N96" s="178" t="str">
        <f>IF(T12&lt;&gt;"",($F$96/$E$43)+($D$96*($V$11-$AF$5)/$AF$8)+($E$96*($U$11-$AF$4)/$AF$9),"")</f>
        <v/>
      </c>
      <c r="O96" s="179" t="str">
        <f>IF(T13&lt;&gt;"",($F$96/$E$43)+($D$96*($V$12-$AF$5)/$AF$8)+($E$96*($U$12-$AF$4)/$AF$9),"")</f>
        <v/>
      </c>
    </row>
    <row r="97" spans="3:15" ht="15.75" thickBot="1" x14ac:dyDescent="0.3">
      <c r="C97" s="24" t="s">
        <v>215</v>
      </c>
      <c r="D97" s="143">
        <f t="shared" si="31"/>
        <v>413.53036474405081</v>
      </c>
      <c r="E97" s="143">
        <f t="shared" si="31"/>
        <v>0</v>
      </c>
      <c r="F97" s="180">
        <f>SUM($Y$19:$Y$23)+H71</f>
        <v>345.736672</v>
      </c>
      <c r="G97" s="181">
        <f>(F97/$E$43)+(D97*($V$4-$AF$5)/$AF$8)+(E97*($U$4-$AF$4)/$AF$9)</f>
        <v>3.712188638634176</v>
      </c>
      <c r="H97" s="181">
        <f>(F97/$E$43)+(D97*($V$5-$AF$5)/$AF$8)+(E97*($U$5-$AF$4)/$AF$9)</f>
        <v>0.94579637485458345</v>
      </c>
      <c r="I97" s="182">
        <f>(F97/$E$43)+(D97*($V$6-$AF$5)/$AF$8)+(E97*($U$6-$AF$4)/$AF$9)</f>
        <v>0.94579637485458345</v>
      </c>
      <c r="J97" s="181">
        <f>IF(T8&lt;&gt;"",($F$97/$E$43)+($D$97*($V$7-$AF$5)/$AF$8)+($E$97*($U$7-$AF$4)/$AF$9),"")</f>
        <v>3.712188638634176</v>
      </c>
      <c r="K97" s="181">
        <f>IF(T9&lt;&gt;"",($F$97/$E$43)+($D$97*($V$8-$AF$5)/$AF$8)+($E$97*($U$8-$AF$4)/$AF$9),"")</f>
        <v>14.406903653195062</v>
      </c>
      <c r="L97" s="181">
        <f>IF(T10&lt;&gt;"",($F$97/$E$43)+($D$97*($V$9-$AF$5)/$AF$8)+($E$97*($U$9-$AF$4)/$AF$9),"")</f>
        <v>14.406903653195062</v>
      </c>
      <c r="M97" s="181" t="str">
        <f>IF(T11&lt;&gt;"",($F$97/$E$43)+($D$97*($V$10-$AF$5)/$AF$8)+($E$97*($U$10-$AF$4)/$AF$9),"")</f>
        <v/>
      </c>
      <c r="N97" s="181" t="str">
        <f>IF(T12&lt;&gt;"",($F$97/$E$43)+($D$97*($V$11-$AF$5)/$AF$8)+($E$97*($U$11-$AF$4)/$AF$9),"")</f>
        <v/>
      </c>
      <c r="O97" s="182" t="str">
        <f>IF(T13&lt;&gt;"",($F$97/$E$43)+($D$97*($V$12-$AF$5)/$AF$8)+($E$97*($U$12-$AF$4)/$AF$9),"")</f>
        <v/>
      </c>
    </row>
    <row r="98" spans="3:15" hidden="1" x14ac:dyDescent="0.25"/>
    <row r="99" spans="3:15" ht="17.25" hidden="1" thickBot="1" x14ac:dyDescent="0.3">
      <c r="D99" s="2" t="s">
        <v>88</v>
      </c>
      <c r="E99" s="2" t="s">
        <v>88</v>
      </c>
      <c r="F99" s="2" t="s">
        <v>88</v>
      </c>
      <c r="G99" s="2" t="s">
        <v>88</v>
      </c>
      <c r="H99" s="2" t="s">
        <v>88</v>
      </c>
      <c r="I99" s="2" t="s">
        <v>88</v>
      </c>
      <c r="J99" s="2" t="s">
        <v>88</v>
      </c>
      <c r="K99" s="2" t="s">
        <v>88</v>
      </c>
      <c r="L99" s="2" t="s">
        <v>88</v>
      </c>
      <c r="M99" s="2" t="s">
        <v>88</v>
      </c>
      <c r="N99" s="2" t="s">
        <v>88</v>
      </c>
      <c r="O99" s="2" t="s">
        <v>88</v>
      </c>
    </row>
    <row r="100" spans="3:15" ht="15.75" hidden="1" thickBot="1" x14ac:dyDescent="0.3">
      <c r="D100" s="131" t="s">
        <v>106</v>
      </c>
      <c r="E100" s="131" t="s">
        <v>107</v>
      </c>
      <c r="F100" s="131" t="s">
        <v>108</v>
      </c>
      <c r="G100" s="131" t="s">
        <v>109</v>
      </c>
      <c r="H100" s="131" t="s">
        <v>110</v>
      </c>
      <c r="I100" s="131" t="s">
        <v>111</v>
      </c>
      <c r="J100" s="131" t="s">
        <v>112</v>
      </c>
      <c r="K100" s="131" t="s">
        <v>113</v>
      </c>
      <c r="L100" s="131" t="s">
        <v>114</v>
      </c>
      <c r="M100" s="131" t="s">
        <v>115</v>
      </c>
      <c r="N100" s="131" t="s">
        <v>116</v>
      </c>
      <c r="O100" s="131" t="s">
        <v>117</v>
      </c>
    </row>
    <row r="101" spans="3:15" hidden="1" x14ac:dyDescent="0.25">
      <c r="C101" s="24" t="s">
        <v>213</v>
      </c>
      <c r="D101" s="169" t="str">
        <f>IF(T14&lt;&gt;"",($F$95/$E$43)+($D$95*($V$13-$AF$5)/$AF$8)+($E$95*($U$13-$AF$4)/$AF$9),"")</f>
        <v/>
      </c>
      <c r="E101" s="169" t="str">
        <f>IF(T15&lt;&gt;"",($F$95/$E$43)+($D$95*($V$14-$AF$5)/$AF$8)+($E$95*($U$14-$AF$4)/$AF$9),"")</f>
        <v/>
      </c>
      <c r="F101" s="169" t="str">
        <f>IF(T16&lt;&gt;"",($F$95/$E$43)+($D$95*($V$15-$AF$5)/$AF$8)+($E$95*($U$15-$AF$4)/$AF$9),"")</f>
        <v/>
      </c>
      <c r="G101" s="169" t="str">
        <f>IF(T17&lt;&gt;"",($F$95/$E$43)+($D$95*($V$16-$AF$5)/$AF$8)+($E$95*($U$16-$AF$4)/$AF$9),"")</f>
        <v/>
      </c>
      <c r="H101" s="169" t="str">
        <f>IF(T18&lt;&gt;"",($F$95/$E$43)+($D$95*($V$17-$AF$5)/$AF$8)+($E$95*($U$17-$AF$4)/$AF$9),"")</f>
        <v/>
      </c>
      <c r="I101" s="169" t="str">
        <f>IF(T19&lt;&gt;"",($F$95/$E$43)+($D$95*($V$18-$AF$5)/$AF$8)+($E$95*($U$18-$AF$4)/$AF$9),"")</f>
        <v/>
      </c>
      <c r="J101" s="169" t="str">
        <f>IF(T20&lt;&gt;"",($F$95/$E$43)+($D$95*($V$19-$AF$5)/$AF$8)+($E$95*($U$19-$AF$4)/$AF$9),"")</f>
        <v/>
      </c>
      <c r="K101" s="169" t="str">
        <f>IF(T21&lt;&gt;"",($F$95/$E$43)+($D$95*($V$20-$AF$5)/$AF$8)+($E$95*($U$20-$AF$4)/$AF$9),"")</f>
        <v/>
      </c>
      <c r="L101" s="169" t="str">
        <f>IF(T22&lt;&gt;"",($F$95/$E$43)+($D$95*($V$21-$AF$5)/$AF$8)+($E$95*($U$21-$AF$4)/$AF$9),"")</f>
        <v/>
      </c>
      <c r="M101" s="169" t="str">
        <f>IF(T23&lt;&gt;"",($F$95/$E$43)+($D$95*($V$22-$AF$5)/$AF$8)+($E$95*($U$22-$AF$4)/$AF$9),"")</f>
        <v/>
      </c>
      <c r="N101" s="169" t="str">
        <f>IF(T24&lt;&gt;"",($F$95/$E$43)+($D$95*($V$23-$AF$5)/$AF$8)+($E$95*($U$23-$AF$4)/$AF$9),"")</f>
        <v/>
      </c>
      <c r="O101" s="169" t="str">
        <f>IF(T25&lt;&gt;"",($F$95/$E$43)+($D$95*($V$24-$AF$5)/$AF$8)+($E$95*($U$24-$AF$4)/$AF$9),"")</f>
        <v/>
      </c>
    </row>
    <row r="102" spans="3:15" hidden="1" x14ac:dyDescent="0.25">
      <c r="C102" s="24" t="s">
        <v>214</v>
      </c>
      <c r="D102" s="170" t="str">
        <f>IF(T14&lt;&gt;"",($F$96/$E$43)+($D$96*($V$13-$AF$5)/$AF$8)+($E$96*($U$13-$AF$4)/$AF$9),"")</f>
        <v/>
      </c>
      <c r="E102" s="170" t="str">
        <f>IF(T15&lt;&gt;"",($F$96/$E$43)+($D$96*($V$14-$AF$5)/$AF$8)+($E$96*($U$14-$AF$4)/$AF$9),"")</f>
        <v/>
      </c>
      <c r="F102" s="170" t="str">
        <f>IF(T16&lt;&gt;"",($F$96/$E$43)+($D$96*($V$15-$AF$5)/$AF$8)+($E$96*($U$15-$AF$4)/$AF$9),"")</f>
        <v/>
      </c>
      <c r="G102" s="170" t="str">
        <f>IF(T17&lt;&gt;"",($F$96/$E$43)+($D$96*($V$16-$AF$5)/$AF$8)+($E$96*($U$16-$AF$4)/$AF$9),"")</f>
        <v/>
      </c>
      <c r="H102" s="170" t="str">
        <f>IF(T18&lt;&gt;"",($F$96/$E$43)+($D$96*($V$17-$AF$5)/$AF$8)+($E$96*($U$17-$AF$4)/$AF$9),"")</f>
        <v/>
      </c>
      <c r="I102" s="170" t="str">
        <f>IF(T19&lt;&gt;"",($F$96/$E$43)+($D$96*($V$18-$AF$5)/$AF$8)+($E$96*($U$18-$AF$4)/$AF$9),"")</f>
        <v/>
      </c>
      <c r="J102" s="170" t="str">
        <f>IF(T20&lt;&gt;"",($F$96/$E$43)+($D$96*($V$19-$AF$5)/$AF$8)+($E$96*($U$19-$AF$4)/$AF$9),"")</f>
        <v/>
      </c>
      <c r="K102" s="170" t="str">
        <f>IF(T21&lt;&gt;"",($F$96/$E$43)+($D$96*($V$20-$AF$5)/$AF$8)+($E$96*($U$20-$AF$4)/$AF$9),"")</f>
        <v/>
      </c>
      <c r="L102" s="170" t="str">
        <f>IF(T22&lt;&gt;"",($F$96/$E$43)+($D$96*($V$21-$AF$5)/$AF$8)+($E$96*($U$21-$AF$4)/$AF$9),"")</f>
        <v/>
      </c>
      <c r="M102" s="170" t="str">
        <f>IF(T23&lt;&gt;"",($F$96/$E$43)+($D$96*($V$22-$AF$5)/$AF$8)+($E$96*($U$22-$AF$4)/$AF$9),"")</f>
        <v/>
      </c>
      <c r="N102" s="170" t="str">
        <f>IF(T24&lt;&gt;"",($F$96/$E$43)+($D$96*($V$23-$AF$5)/$AF$8)+($E$96*($U$23-$AF$4)/$AF$9),"")</f>
        <v/>
      </c>
      <c r="O102" s="170" t="str">
        <f>IF(T25&lt;&gt;"",($F$96/$E$43)+($D$96*($V$24-$AF$5)/$AF$8)+($E$96*($U$24-$AF$4)/$AF$9),"")</f>
        <v/>
      </c>
    </row>
    <row r="103" spans="3:15" ht="15.75" hidden="1" thickBot="1" x14ac:dyDescent="0.3">
      <c r="C103" s="24" t="s">
        <v>215</v>
      </c>
      <c r="D103" s="171" t="str">
        <f>IF(T14&lt;&gt;"",($F$97/$E$43)+($D$97*($V$13-$AF$5)/$AF$8)+($E$97*($U$13-$AF$4)/$AF$9),"")</f>
        <v/>
      </c>
      <c r="E103" s="171" t="str">
        <f>IF(T15&lt;&gt;"",($F$97/$E$43)+($D$97*($V$14-$AF$5)/$AF$8)+($E$97*($U$14-$AF$4)/$AF$9),"")</f>
        <v/>
      </c>
      <c r="F103" s="171" t="str">
        <f>IF(T16&lt;&gt;"",($F$97/$E$43)+($D$97*($V$15-$AF$5)/$AF$8)+($E$97*($U$15-$AF$4)/$AF$9),"")</f>
        <v/>
      </c>
      <c r="G103" s="171" t="str">
        <f>IF(T17&lt;&gt;"",($F$97/$E$43)+($D$97*($V$16-$AF$5)/$AF$8)+($E$97*($U$16-$AF$4)/$AF$9),"")</f>
        <v/>
      </c>
      <c r="H103" s="171" t="str">
        <f>IF(T18&lt;&gt;"",($F$97/$E$43)+($D$97*($V$17-$AF$5)/$AF$8)+($E$97*($U$17-$AF$4)/$AF$9),"")</f>
        <v/>
      </c>
      <c r="I103" s="171" t="str">
        <f>IF(T19&lt;&gt;"",($F$97/$E$43)+($D$97*($V$18-$AF$5)/$AF$8)+($E$97*($U$18-$AF$4)/$AF$9),"")</f>
        <v/>
      </c>
      <c r="J103" s="171" t="str">
        <f>IF(T20&lt;&gt;"",($F$97/$E$43)+($D$97*($V$19-$AF$5)/$AF$8)+($E$97*($U$19-$AF$4)/$AF$9),"")</f>
        <v/>
      </c>
      <c r="K103" s="171" t="str">
        <f>IF(T21&lt;&gt;"",($F$97/$E$43)+($D$97*($V$20-$AF$5)/$AF$8)+($E$97*($U$20-$AF$4)/$AF$9),"")</f>
        <v/>
      </c>
      <c r="L103" s="171" t="str">
        <f>IF(T22&lt;&gt;"",($F$97/$E$43)+($D$97*($V$21-$AF$5)/$AF$8)+($E$97*($U$21-$AF$4)/$AF$9),"")</f>
        <v/>
      </c>
      <c r="M103" s="171" t="str">
        <f>IF(T23&lt;&gt;"",($F$97/$E$43)+($D$97*($V$22-$AF$5)/$AF$8)+($E$97*($U$22-$AF$4)/$AF$9),"")</f>
        <v/>
      </c>
      <c r="N103" s="171" t="str">
        <f>IF(T24&lt;&gt;"",($F$97/$E$43)+($D$97*($V$23-$AF$5)/$AF$8)+($E$97*($U$23-$AF$4)/$AF$9),"")</f>
        <v/>
      </c>
      <c r="O103" s="171" t="str">
        <f>IF(T25&lt;&gt;"",($F$97/$E$43)+($D$97*($V$24-$AF$5)/$AF$8)+($E$97*($U$24-$AF$4)/$AF$9),"")</f>
        <v/>
      </c>
    </row>
    <row r="104" spans="3:15" hidden="1" x14ac:dyDescent="0.25"/>
    <row r="105" spans="3:15" ht="17.25" hidden="1" thickBot="1" x14ac:dyDescent="0.3">
      <c r="D105" s="2" t="s">
        <v>88</v>
      </c>
      <c r="E105" s="2" t="s">
        <v>88</v>
      </c>
      <c r="F105" s="2" t="s">
        <v>88</v>
      </c>
      <c r="G105" s="2" t="s">
        <v>88</v>
      </c>
      <c r="H105" s="2" t="s">
        <v>88</v>
      </c>
      <c r="I105" s="2" t="s">
        <v>88</v>
      </c>
      <c r="J105" s="2" t="s">
        <v>88</v>
      </c>
      <c r="K105" s="2" t="s">
        <v>88</v>
      </c>
      <c r="L105" s="2" t="s">
        <v>88</v>
      </c>
      <c r="M105" s="2" t="s">
        <v>88</v>
      </c>
      <c r="N105" s="2" t="s">
        <v>88</v>
      </c>
      <c r="O105" s="2"/>
    </row>
    <row r="106" spans="3:15" ht="15.75" hidden="1" thickBot="1" x14ac:dyDescent="0.3">
      <c r="D106" s="131" t="s">
        <v>118</v>
      </c>
      <c r="E106" s="131" t="s">
        <v>119</v>
      </c>
      <c r="F106" s="131" t="s">
        <v>120</v>
      </c>
      <c r="G106" s="131" t="s">
        <v>121</v>
      </c>
      <c r="H106" s="131" t="s">
        <v>122</v>
      </c>
      <c r="I106" s="131" t="s">
        <v>123</v>
      </c>
      <c r="J106" s="131" t="s">
        <v>124</v>
      </c>
      <c r="K106" s="131" t="s">
        <v>125</v>
      </c>
      <c r="L106" s="131" t="s">
        <v>126</v>
      </c>
      <c r="M106" s="131" t="s">
        <v>127</v>
      </c>
      <c r="N106" s="131" t="s">
        <v>128</v>
      </c>
    </row>
    <row r="107" spans="3:15" hidden="1" x14ac:dyDescent="0.25">
      <c r="C107" s="24" t="s">
        <v>213</v>
      </c>
      <c r="D107" s="169" t="str">
        <f>IF(T26&lt;&gt;"",($F$95/$E$43)+($D$95*($V$25-$AF$5)/$AF$8)+($E$95*($U$25-$AF$4)/$AF$9),"")</f>
        <v/>
      </c>
      <c r="E107" s="169" t="str">
        <f>IF(T27&lt;&gt;"",($F$95/$E$43)+($D$95*($V$26-$AF$5)/$AF$8)+($E$95*($U$26-$AF$4)/$AF$9),"")</f>
        <v/>
      </c>
      <c r="F107" s="169" t="str">
        <f>IF(T28&lt;&gt;"",($F$95/$E$43)+($D$95*($V$27-$AF$5)/$AF$8)+($E$95*($U$27-$AF$4)/$AF$9),"")</f>
        <v/>
      </c>
      <c r="G107" s="169" t="str">
        <f>IF(T29&lt;&gt;"",($F$95/$E$43)+($D$95*($V$28-$AF$5)/$AF$8)+($E$95*($U$28-$AF$4)/$AF$9),"")</f>
        <v/>
      </c>
      <c r="H107" s="169" t="str">
        <f>IF(T30&lt;&gt;"",($F$95/$E$43)+($D$95*($V$29-$AF$5)/$AF$8)+($E$95*($U$29-$AF$4)/$AF$9),"")</f>
        <v/>
      </c>
      <c r="I107" s="169" t="str">
        <f>IF(T31&lt;&gt;"",($F$95/$E$43)+($D$95*($V$30-$AF$5)/$AF$8)+($E$95*($U$30-$AF$4)/$AF$9),"")</f>
        <v/>
      </c>
      <c r="J107" s="169" t="str">
        <f>IF(T32&lt;&gt;"",($F$95/$E$43)+($D$95*($V$31-$AF$5)/$AF$8)+($E$95*($U$31-$AF$4)/$AF$9),"")</f>
        <v/>
      </c>
      <c r="K107" s="169" t="str">
        <f>IF(T33&lt;&gt;"",($F$95/$E$43)+($D$95*($V$32-$AF$5)/$AF$8)+($E$95*($U$32-$AF$4)/$AF$9),"")</f>
        <v/>
      </c>
      <c r="L107" s="169" t="str">
        <f>IF(T34&lt;&gt;"",($F$95/$E$43)+($D$95*($V$33-$AF$5)/$AF$8)+($E$95*($U$33-$AF$4)/$AF$9),"")</f>
        <v/>
      </c>
      <c r="M107" s="169" t="str">
        <f>IF(T35&lt;&gt;"",($F$95/$E$43)+($D$95*($V$34-$AF$5)/$AF$8)+($E$95*($U$34-$AF$4)/$AF$9),"")</f>
        <v/>
      </c>
      <c r="N107" s="169" t="str">
        <f>IF(T36&lt;&gt;"",($F$95/$E$43)+($D$95*($V$35-$AF$5)/$AF$8)+($E$95*($U$35-$AF$4)/$AF$9),"")</f>
        <v/>
      </c>
    </row>
    <row r="108" spans="3:15" hidden="1" x14ac:dyDescent="0.25">
      <c r="C108" s="24" t="s">
        <v>214</v>
      </c>
      <c r="D108" s="170" t="str">
        <f>IF(T26&lt;&gt;"",($F$96/$E$43)+($D$96*($V$25-$AF$5)/$AF$8)+($E$96*($U$25-$AF$4)/$AF$9),"")</f>
        <v/>
      </c>
      <c r="E108" s="170" t="str">
        <f>IF(T27&lt;&gt;"",($F$96/$E$43)+($D$96*($V$26-$AF$5)/$AF$8)+($E$96*($U$26-$AF$4)/$AF$9),"")</f>
        <v/>
      </c>
      <c r="F108" s="170" t="str">
        <f>IF(T28&lt;&gt;"",($F$96/$E$43)+($D$96*($V$27-$AF$5)/$AF$8)+($E$96*($U$27-$AF$4)/$AF$9),"")</f>
        <v/>
      </c>
      <c r="G108" s="170" t="str">
        <f>IF(T29&lt;&gt;"",($F$96/$E$43)+($D$96*($V$28-$AF$5)/$AF$8)+($E$96*($U$28-$AF$4)/$AF$9),"")</f>
        <v/>
      </c>
      <c r="H108" s="170" t="str">
        <f>IF(T30&lt;&gt;"",($F$96/$E$43)+($D$96*($V$29-$AF$5)/$AF$8)+($E$96*($U$29-$AF$4)/$AF$9),"")</f>
        <v/>
      </c>
      <c r="I108" s="170" t="str">
        <f>IF(T31&lt;&gt;"",($F$96/$E$43)+($D$96*($V$30-$AF$5)/$AF$8)+($E$96*($U$30-$AF$4)/$AF$9),"")</f>
        <v/>
      </c>
      <c r="J108" s="170" t="str">
        <f>IF(T32&lt;&gt;"",($F$96/$E$43)+($D$96*($V$31-$AF$5)/$AF$8)+($E$96*($U$31-$AF$4)/$AF$9),"")</f>
        <v/>
      </c>
      <c r="K108" s="170" t="str">
        <f>IF(T33&lt;&gt;"",($F$96/$E$43)+($D$96*($V$32-$AF$5)/$AF$8)+($E$96*($U$32-$AF$4)/$AF$9),"")</f>
        <v/>
      </c>
      <c r="L108" s="170" t="str">
        <f>IF(T34&lt;&gt;"",($F$96/$E$43)+($D$96*($V$33-$AF$5)/$AF$8)+($E$96*($U$33-$AF$4)/$AF$9),"")</f>
        <v/>
      </c>
      <c r="M108" s="170" t="str">
        <f>IF(T35&lt;&gt;"",($F$96/$E$43)+($D$96*($V$34-$AF$5)/$AF$8)+($E$96*($U$34-$AF$4)/$AF$9),"")</f>
        <v/>
      </c>
      <c r="N108" s="170" t="str">
        <f>IF(T36&lt;&gt;"",($F$96/$E$43)+($D$96*($V$35-$AF$5)/$AF$8)+($E$96*($U$35-$AF$4)/$AF$9),"")</f>
        <v/>
      </c>
    </row>
    <row r="109" spans="3:15" ht="15.75" hidden="1" thickBot="1" x14ac:dyDescent="0.3">
      <c r="C109" s="24" t="s">
        <v>215</v>
      </c>
      <c r="D109" s="171" t="str">
        <f>IF(T26&lt;&gt;"",($F$97/$E$43)+($D$97*($V$25-$AF$5)/$AF$8)+($E$97*($U$25-$AF$4)/$AF$9),"")</f>
        <v/>
      </c>
      <c r="E109" s="171" t="str">
        <f>IF(T27&lt;&gt;"",($F$97/$E$43)+($D$97*($V$26-$AF$5)/$AF$8)+($E$97*($U$26-$AF$4)/$AF$9),"")</f>
        <v/>
      </c>
      <c r="F109" s="171" t="str">
        <f>IF(T28&lt;&gt;"",($F$97/$E$43)+($D$97*($V$27-$AF$5)/$AF$8)+($E$97*($U$27-$AF$4)/$AF$9),"")</f>
        <v/>
      </c>
      <c r="G109" s="171" t="str">
        <f>IF(T29&lt;&gt;"",($F$97/$E$43)+($D$97*($V$28-$AF$5)/$AF$8)+($E$97*($U$28-$AF$4)/$AF$9),"")</f>
        <v/>
      </c>
      <c r="H109" s="171" t="str">
        <f>IF(T30&lt;&gt;"",($F$97/$E$43)+($D$97*($V$29-$AF$5)/$AF$8)+($E$97*($U$29-$AF$4)/$AF$9),"")</f>
        <v/>
      </c>
      <c r="I109" s="171" t="str">
        <f>IF(T31&lt;&gt;"",($F$97/$E$43)+($D$97*($V$30-$AF$5)/$AF$8)+($E$97*($U$30-$AF$4)/$AF$9),"")</f>
        <v/>
      </c>
      <c r="J109" s="171" t="str">
        <f>IF(T32&lt;&gt;"",($F$97/$E$43)+($D$97*($V$31-$AF$5)/$AF$8)+($E$97*($U$31-$AF$4)/$AF$9),"")</f>
        <v/>
      </c>
      <c r="K109" s="171" t="str">
        <f>IF(T33&lt;&gt;"",($F$97/$E$43)+($D$97*($V$32-$AF$5)/$AF$8)+($E$97*($U$32-$AF$4)/$AF$9),"")</f>
        <v/>
      </c>
      <c r="L109" s="171" t="str">
        <f>IF(T34&lt;&gt;"",($F$97/$E$43)+($D$97*($V$33-$AF$5)/$AF$8)+($E$97*($U$33-$AF$4)/$AF$9),"")</f>
        <v/>
      </c>
      <c r="M109" s="171" t="str">
        <f>IF(T35&lt;&gt;"",($F$97/$E$43)+($D$97*($V$34-$AF$5)/$AF$8)+($E$97*($U$34-$AF$4)/$AF$9),"")</f>
        <v/>
      </c>
      <c r="N109" s="171" t="str">
        <f>IF(T36&lt;&gt;"",($F$97/$E$43)+($D$97*($V$35-$AF$5)/$AF$8)+($E$97*($U$35-$AF$4)/$AF$9),"")</f>
        <v/>
      </c>
    </row>
    <row r="110" spans="3:15" hidden="1" x14ac:dyDescent="0.25"/>
    <row r="133" spans="2:14" ht="15.75" x14ac:dyDescent="0.25">
      <c r="B133" s="96" t="s">
        <v>232</v>
      </c>
    </row>
    <row r="134" spans="2:14" ht="17.25" thickBot="1" x14ac:dyDescent="0.3">
      <c r="B134" s="96"/>
      <c r="D134" s="2" t="s">
        <v>233</v>
      </c>
      <c r="E134" s="2" t="s">
        <v>88</v>
      </c>
      <c r="F134" s="2" t="s">
        <v>88</v>
      </c>
    </row>
    <row r="135" spans="2:14" ht="16.5" customHeight="1" thickBot="1" x14ac:dyDescent="0.3">
      <c r="B135" s="96"/>
      <c r="D135" s="132" t="s">
        <v>234</v>
      </c>
      <c r="E135" s="132" t="s">
        <v>235</v>
      </c>
      <c r="F135" s="132" t="s">
        <v>236</v>
      </c>
      <c r="G135" s="132" t="s">
        <v>226</v>
      </c>
    </row>
    <row r="136" spans="2:14" ht="15.75" customHeight="1" x14ac:dyDescent="0.25">
      <c r="B136" s="96"/>
      <c r="C136" s="24" t="s">
        <v>213</v>
      </c>
      <c r="D136" s="40"/>
      <c r="E136" s="169" t="e">
        <f>F95/D136</f>
        <v>#DIV/0!</v>
      </c>
      <c r="F136" s="162">
        <f>$C$58*$E$49*E50</f>
        <v>18</v>
      </c>
      <c r="G136" s="43" t="e">
        <f>MAX(E136,G95:O95,D101:O101,D107:N107)/F136</f>
        <v>#DIV/0!</v>
      </c>
      <c r="I136" s="230" t="e">
        <f>IF(G136&lt;=1,"CUMPLE LA REVISIÓN POR CAPACIDAD PARA COMBINACIÓN A 90°","NO CUMPLE LA REVISIÓN POR CAPACIDAD PARA COMBINACIÓN A 90°")</f>
        <v>#DIV/0!</v>
      </c>
      <c r="J136" s="230"/>
      <c r="K136" s="230"/>
      <c r="L136" s="230"/>
      <c r="M136" s="230"/>
      <c r="N136" s="230"/>
    </row>
    <row r="137" spans="2:14" ht="15.75" customHeight="1" x14ac:dyDescent="0.25">
      <c r="B137" s="96"/>
      <c r="C137" s="24" t="s">
        <v>214</v>
      </c>
      <c r="D137" s="41"/>
      <c r="E137" s="170" t="e">
        <f>F96/D137</f>
        <v>#DIV/0!</v>
      </c>
      <c r="F137" s="164">
        <f>$C$58*$E$49*E50</f>
        <v>18</v>
      </c>
      <c r="G137" s="44" t="e">
        <f>MAX(E137,G96:O96,D102:O102,D108:N108)/F137</f>
        <v>#DIV/0!</v>
      </c>
      <c r="I137" s="230" t="e">
        <f>IF(G137&lt;=1,"CUMPLE LA REVISIÓN POR CAPACIDAD PARA COMBINACIÓN A 60°","NO CUMPLE LA REVISIÓN POR CAPACIDAD PARA COMBINACIÓN A 60°")</f>
        <v>#DIV/0!</v>
      </c>
      <c r="J137" s="230"/>
      <c r="K137" s="230"/>
      <c r="L137" s="230"/>
      <c r="M137" s="230"/>
      <c r="N137" s="230"/>
    </row>
    <row r="138" spans="2:14" ht="16.5" customHeight="1" thickBot="1" x14ac:dyDescent="0.3">
      <c r="B138" s="96"/>
      <c r="C138" s="24" t="s">
        <v>215</v>
      </c>
      <c r="D138" s="42"/>
      <c r="E138" s="171" t="e">
        <f>F97/D138</f>
        <v>#DIV/0!</v>
      </c>
      <c r="F138" s="168">
        <f>$C$58*$E$49*E50</f>
        <v>18</v>
      </c>
      <c r="G138" s="45" t="e">
        <f>MAX(E138,G97:O97,D103:O103,D109:N109)/F138</f>
        <v>#DIV/0!</v>
      </c>
      <c r="I138" s="230" t="e">
        <f>IF(G138&lt;=1,"CUMPLE LA REVISIÓN POR CAPACIDAD PARA COMBINACIÓN NORMAL","NO CUMPLE LA REVISIÓN POR CAPACIDAD PARA COMBINACIÓN NORMAL")</f>
        <v>#DIV/0!</v>
      </c>
      <c r="J138" s="230"/>
      <c r="K138" s="230"/>
      <c r="L138" s="230"/>
      <c r="M138" s="230"/>
      <c r="N138" s="230"/>
    </row>
    <row r="139" spans="2:14" ht="15.75" x14ac:dyDescent="0.25">
      <c r="B139" s="96"/>
    </row>
    <row r="140" spans="2:14" ht="15.75" x14ac:dyDescent="0.25">
      <c r="B140" s="96"/>
    </row>
    <row r="142" spans="2:14" ht="15.75" x14ac:dyDescent="0.25">
      <c r="B142" s="96" t="s">
        <v>237</v>
      </c>
    </row>
    <row r="144" spans="2:14" x14ac:dyDescent="0.25">
      <c r="B144" s="116" t="s">
        <v>238</v>
      </c>
      <c r="C144" s="59">
        <v>1491</v>
      </c>
    </row>
    <row r="145" spans="2:31" ht="15.75" x14ac:dyDescent="0.25">
      <c r="C145" s="22"/>
    </row>
    <row r="146" spans="2:31" ht="15.75" x14ac:dyDescent="0.25">
      <c r="B146" s="96" t="s">
        <v>239</v>
      </c>
      <c r="C146" s="22"/>
    </row>
    <row r="147" spans="2:31" ht="15.75" x14ac:dyDescent="0.25">
      <c r="C147" s="22"/>
    </row>
    <row r="148" spans="2:31" x14ac:dyDescent="0.25">
      <c r="B148" s="116" t="s">
        <v>240</v>
      </c>
    </row>
    <row r="149" spans="2:31" ht="16.5" x14ac:dyDescent="0.25">
      <c r="B149" s="116" t="s">
        <v>241</v>
      </c>
      <c r="C149" s="57">
        <f>E43</f>
        <v>54.404200000000003</v>
      </c>
      <c r="D149" s="116" t="s">
        <v>233</v>
      </c>
      <c r="G149" s="24" t="s">
        <v>242</v>
      </c>
      <c r="H149" s="58">
        <v>6306</v>
      </c>
      <c r="I149" s="116" t="s">
        <v>243</v>
      </c>
      <c r="J149" s="116">
        <f>IF(AND(H149&lt;&gt;"",H152&lt;&gt;""),MIN(H149*1000,H152*1000),MAX(H149*1000,H152*1000))</f>
        <v>2000000</v>
      </c>
      <c r="K149" s="116" t="s">
        <v>244</v>
      </c>
    </row>
    <row r="150" spans="2:31" x14ac:dyDescent="0.25">
      <c r="B150" s="116" t="s">
        <v>245</v>
      </c>
      <c r="C150" s="116">
        <f>Y20+Y23</f>
        <v>238.892416</v>
      </c>
      <c r="D150" s="116" t="s">
        <v>246</v>
      </c>
      <c r="G150" s="24"/>
    </row>
    <row r="151" spans="2:31" x14ac:dyDescent="0.25">
      <c r="B151" s="116" t="s">
        <v>247</v>
      </c>
      <c r="C151" s="153">
        <f>Y22</f>
        <v>0</v>
      </c>
      <c r="D151" s="116" t="s">
        <v>246</v>
      </c>
      <c r="G151" s="24" t="s">
        <v>248</v>
      </c>
      <c r="H151" s="58">
        <v>0.4</v>
      </c>
      <c r="I151" s="116" t="s">
        <v>249</v>
      </c>
    </row>
    <row r="152" spans="2:31" ht="16.5" x14ac:dyDescent="0.25">
      <c r="B152" s="116" t="s">
        <v>250</v>
      </c>
      <c r="C152" s="116">
        <f>1000*C151/C149+1000*C150/C149</f>
        <v>4391.0656897813033</v>
      </c>
      <c r="D152" s="116" t="s">
        <v>251</v>
      </c>
      <c r="G152" s="24" t="s">
        <v>252</v>
      </c>
      <c r="H152" s="58">
        <f>E49/(H151/100)</f>
        <v>2000</v>
      </c>
      <c r="I152" s="116" t="s">
        <v>243</v>
      </c>
    </row>
    <row r="154" spans="2:31" ht="15.75" x14ac:dyDescent="0.25">
      <c r="B154" s="96" t="s">
        <v>253</v>
      </c>
    </row>
    <row r="156" spans="2:31" ht="16.5" x14ac:dyDescent="0.25">
      <c r="B156" s="241" t="s">
        <v>254</v>
      </c>
      <c r="C156" s="241"/>
      <c r="D156" s="241"/>
      <c r="E156" s="116" t="s">
        <v>255</v>
      </c>
      <c r="F156" s="58">
        <f>15100*SQRT(E31)</f>
        <v>218819.78886746051</v>
      </c>
      <c r="G156" s="116" t="s">
        <v>256</v>
      </c>
      <c r="H156" s="116">
        <f>ROUND(F156*100*100,0)</f>
        <v>2188197889</v>
      </c>
      <c r="I156" s="116" t="s">
        <v>251</v>
      </c>
      <c r="AE156" s="56" t="s">
        <v>257</v>
      </c>
    </row>
    <row r="157" spans="2:31" x14ac:dyDescent="0.25">
      <c r="B157" s="241" t="s">
        <v>258</v>
      </c>
      <c r="C157" s="241"/>
      <c r="D157" s="241"/>
      <c r="E157" s="116" t="s">
        <v>259</v>
      </c>
      <c r="F157" s="58">
        <f>F156/(2*F158)-1</f>
        <v>0.25</v>
      </c>
    </row>
    <row r="158" spans="2:31" ht="16.5" x14ac:dyDescent="0.25">
      <c r="B158" s="241" t="s">
        <v>260</v>
      </c>
      <c r="C158" s="241"/>
      <c r="D158" s="241"/>
      <c r="E158" s="116" t="s">
        <v>261</v>
      </c>
      <c r="F158" s="58">
        <f>0.4*F156</f>
        <v>87527.915546984208</v>
      </c>
      <c r="G158" s="116" t="s">
        <v>256</v>
      </c>
      <c r="H158" s="116">
        <f>F158*100*100</f>
        <v>875279155.46984208</v>
      </c>
      <c r="I158" s="116" t="s">
        <v>251</v>
      </c>
    </row>
    <row r="161" spans="2:12" ht="15.75" x14ac:dyDescent="0.25">
      <c r="B161" s="96"/>
    </row>
    <row r="162" spans="2:12" ht="15.75" x14ac:dyDescent="0.25">
      <c r="B162" s="96"/>
    </row>
    <row r="163" spans="2:12" ht="15.75" x14ac:dyDescent="0.25">
      <c r="B163" s="96" t="s">
        <v>262</v>
      </c>
    </row>
    <row r="164" spans="2:12" ht="15.75" thickBot="1" x14ac:dyDescent="0.3"/>
    <row r="165" spans="2:12" ht="15.75" thickBot="1" x14ac:dyDescent="0.3">
      <c r="B165" s="2" t="s">
        <v>263</v>
      </c>
      <c r="C165" s="2"/>
      <c r="D165" s="2"/>
      <c r="E165" s="183" t="s">
        <v>264</v>
      </c>
      <c r="F165" s="184"/>
      <c r="G165" s="185" t="s">
        <v>265</v>
      </c>
      <c r="H165" s="186"/>
      <c r="I165" s="184"/>
      <c r="J165" s="185" t="s">
        <v>266</v>
      </c>
      <c r="K165" s="186"/>
      <c r="L165" s="184"/>
    </row>
    <row r="166" spans="2:12" ht="15.75" thickBot="1" x14ac:dyDescent="0.3">
      <c r="B166" s="2" t="s">
        <v>263</v>
      </c>
      <c r="C166" s="187" t="s">
        <v>267</v>
      </c>
      <c r="D166" s="187" t="s">
        <v>268</v>
      </c>
      <c r="E166" s="183" t="s">
        <v>269</v>
      </c>
      <c r="F166" s="187" t="s">
        <v>270</v>
      </c>
      <c r="G166" s="187" t="s">
        <v>271</v>
      </c>
      <c r="H166" s="187" t="s">
        <v>272</v>
      </c>
      <c r="I166" s="187" t="s">
        <v>273</v>
      </c>
      <c r="J166" s="187" t="s">
        <v>274</v>
      </c>
      <c r="K166" s="187" t="s">
        <v>275</v>
      </c>
      <c r="L166" s="187" t="s">
        <v>276</v>
      </c>
    </row>
    <row r="167" spans="2:12" x14ac:dyDescent="0.25">
      <c r="B167" s="127" t="s">
        <v>277</v>
      </c>
      <c r="C167" s="85">
        <v>480</v>
      </c>
      <c r="D167" s="85" t="s">
        <v>278</v>
      </c>
      <c r="E167" s="188">
        <v>1.6060000000000001</v>
      </c>
      <c r="F167" s="188">
        <v>0.88300000000000001</v>
      </c>
      <c r="G167" s="188">
        <v>0</v>
      </c>
      <c r="H167" s="85">
        <v>0</v>
      </c>
      <c r="I167" s="85">
        <v>0</v>
      </c>
      <c r="J167" s="188">
        <v>-3.9729999999999999</v>
      </c>
      <c r="K167" s="188">
        <v>-2.8140000000000001</v>
      </c>
      <c r="L167" s="188">
        <v>5.6000000000000001E-2</v>
      </c>
    </row>
    <row r="168" spans="2:12" x14ac:dyDescent="0.25">
      <c r="B168" s="138" t="s">
        <v>279</v>
      </c>
      <c r="C168" s="189">
        <v>14</v>
      </c>
      <c r="D168" s="189" t="s">
        <v>278</v>
      </c>
      <c r="E168" s="190">
        <v>-1.611</v>
      </c>
      <c r="F168" s="190">
        <v>-1.4810000000000001</v>
      </c>
      <c r="G168" s="190">
        <v>0</v>
      </c>
      <c r="H168" s="189">
        <v>0</v>
      </c>
      <c r="I168" s="189">
        <v>0</v>
      </c>
      <c r="J168" s="190">
        <v>-3.84</v>
      </c>
      <c r="K168" s="190">
        <v>-2.4380000000000002</v>
      </c>
      <c r="L168" s="190">
        <v>0.28699999999999998</v>
      </c>
    </row>
    <row r="169" spans="2:12" x14ac:dyDescent="0.25">
      <c r="B169" s="138" t="s">
        <v>280</v>
      </c>
      <c r="C169" s="189">
        <v>543</v>
      </c>
      <c r="D169" s="189" t="s">
        <v>278</v>
      </c>
      <c r="E169" s="190">
        <v>-0.85799999999999998</v>
      </c>
      <c r="F169" s="190">
        <v>1.601</v>
      </c>
      <c r="G169" s="189">
        <v>0</v>
      </c>
      <c r="H169" s="189">
        <v>0</v>
      </c>
      <c r="I169" s="189">
        <v>0</v>
      </c>
      <c r="J169" s="190">
        <v>-3.8140000000000001</v>
      </c>
      <c r="K169" s="190">
        <v>-2.9449999999999998</v>
      </c>
      <c r="L169" s="190">
        <v>0.316</v>
      </c>
    </row>
    <row r="170" spans="2:12" x14ac:dyDescent="0.25">
      <c r="B170" s="138" t="s">
        <v>281</v>
      </c>
      <c r="C170" s="189">
        <v>757</v>
      </c>
      <c r="D170" s="189" t="s">
        <v>283</v>
      </c>
      <c r="E170" s="190">
        <v>-1.2350000000000001</v>
      </c>
      <c r="F170" s="190">
        <v>-1.5620000000000001</v>
      </c>
      <c r="G170" s="190">
        <v>0</v>
      </c>
      <c r="H170" s="189">
        <v>0</v>
      </c>
      <c r="I170" s="189">
        <v>0</v>
      </c>
      <c r="J170" s="190">
        <v>-3.0720000000000001</v>
      </c>
      <c r="K170" s="190">
        <v>-2.6419999999999999</v>
      </c>
      <c r="L170" s="190">
        <v>0.61</v>
      </c>
    </row>
    <row r="171" spans="2:12" x14ac:dyDescent="0.25">
      <c r="B171" s="138" t="s">
        <v>282</v>
      </c>
      <c r="C171" s="189">
        <v>1</v>
      </c>
      <c r="D171" s="189" t="s">
        <v>283</v>
      </c>
      <c r="E171" s="189">
        <v>0.47799999999999998</v>
      </c>
      <c r="F171" s="189">
        <v>-0.14299999999999999</v>
      </c>
      <c r="G171" s="190">
        <v>0</v>
      </c>
      <c r="H171" s="189">
        <v>0</v>
      </c>
      <c r="I171" s="189">
        <v>0</v>
      </c>
      <c r="J171" s="189">
        <v>1.6020000000000001</v>
      </c>
      <c r="K171" s="189">
        <v>1.802</v>
      </c>
      <c r="L171" s="189">
        <v>0.83299999999999996</v>
      </c>
    </row>
    <row r="172" spans="2:12" x14ac:dyDescent="0.25">
      <c r="B172" s="138" t="s">
        <v>284</v>
      </c>
      <c r="C172" s="189">
        <v>1</v>
      </c>
      <c r="D172" s="189" t="s">
        <v>283</v>
      </c>
      <c r="E172" s="189">
        <v>0.47799999999999998</v>
      </c>
      <c r="F172" s="189">
        <v>-0.14299999999999999</v>
      </c>
      <c r="G172" s="190">
        <v>0</v>
      </c>
      <c r="H172" s="189">
        <v>0</v>
      </c>
      <c r="I172" s="189">
        <v>0</v>
      </c>
      <c r="J172" s="189">
        <v>1.6020000000000001</v>
      </c>
      <c r="K172" s="189">
        <v>1.802</v>
      </c>
      <c r="L172" s="189">
        <v>0.83299999999999996</v>
      </c>
    </row>
    <row r="173" spans="2:12" x14ac:dyDescent="0.25">
      <c r="B173" s="138" t="s">
        <v>285</v>
      </c>
      <c r="C173" s="189">
        <v>1</v>
      </c>
      <c r="D173" s="189" t="s">
        <v>283</v>
      </c>
      <c r="E173" s="189">
        <v>0.47799999999999998</v>
      </c>
      <c r="F173" s="189">
        <v>-0.14299999999999999</v>
      </c>
      <c r="G173" s="190">
        <v>0</v>
      </c>
      <c r="H173" s="189">
        <v>0</v>
      </c>
      <c r="I173" s="189">
        <v>0</v>
      </c>
      <c r="J173" s="189">
        <v>1.6020000000000001</v>
      </c>
      <c r="K173" s="189">
        <v>1.802</v>
      </c>
      <c r="L173" s="189">
        <v>0.83299999999999996</v>
      </c>
    </row>
    <row r="174" spans="2:12" x14ac:dyDescent="0.25">
      <c r="B174" s="138" t="s">
        <v>286</v>
      </c>
      <c r="C174" s="189">
        <v>1</v>
      </c>
      <c r="D174" s="189" t="s">
        <v>283</v>
      </c>
      <c r="E174" s="189">
        <v>0.47799999999999998</v>
      </c>
      <c r="F174" s="189">
        <v>-0.14299999999999999</v>
      </c>
      <c r="G174" s="189">
        <v>0</v>
      </c>
      <c r="H174" s="190">
        <v>0</v>
      </c>
      <c r="I174" s="189">
        <v>0</v>
      </c>
      <c r="J174" s="189">
        <v>1.6020000000000001</v>
      </c>
      <c r="K174" s="189">
        <v>1.802</v>
      </c>
      <c r="L174" s="189">
        <v>0.83299999999999996</v>
      </c>
    </row>
    <row r="175" spans="2:12" x14ac:dyDescent="0.25">
      <c r="B175" s="138" t="s">
        <v>287</v>
      </c>
      <c r="C175" s="189">
        <v>1</v>
      </c>
      <c r="D175" s="189" t="s">
        <v>283</v>
      </c>
      <c r="E175" s="189">
        <v>0.47799999999999998</v>
      </c>
      <c r="F175" s="189">
        <v>-0.14299999999999999</v>
      </c>
      <c r="G175" s="189">
        <v>0</v>
      </c>
      <c r="H175" s="190">
        <v>0</v>
      </c>
      <c r="I175" s="189">
        <v>0</v>
      </c>
      <c r="J175" s="189">
        <v>1.6020000000000001</v>
      </c>
      <c r="K175" s="189">
        <v>1.802</v>
      </c>
      <c r="L175" s="189">
        <v>0.83299999999999996</v>
      </c>
    </row>
    <row r="176" spans="2:12" x14ac:dyDescent="0.25">
      <c r="B176" s="138" t="s">
        <v>288</v>
      </c>
      <c r="C176" s="189">
        <v>1</v>
      </c>
      <c r="D176" s="189" t="s">
        <v>283</v>
      </c>
      <c r="E176" s="189">
        <v>0.47799999999999998</v>
      </c>
      <c r="F176" s="189">
        <v>-0.14299999999999999</v>
      </c>
      <c r="G176" s="189">
        <v>0</v>
      </c>
      <c r="H176" s="189">
        <v>0</v>
      </c>
      <c r="I176" s="189">
        <v>0</v>
      </c>
      <c r="J176" s="189">
        <v>1.6020000000000001</v>
      </c>
      <c r="K176" s="189">
        <v>1.802</v>
      </c>
      <c r="L176" s="189">
        <v>0.83299999999999996</v>
      </c>
    </row>
    <row r="177" spans="2:15" x14ac:dyDescent="0.25">
      <c r="B177" s="138" t="s">
        <v>289</v>
      </c>
      <c r="C177" s="189">
        <v>313</v>
      </c>
      <c r="D177" s="189" t="s">
        <v>290</v>
      </c>
      <c r="E177" s="190">
        <v>-0.71499999999999997</v>
      </c>
      <c r="F177" s="190">
        <v>-0.67100000000000004</v>
      </c>
      <c r="G177" s="189">
        <v>0</v>
      </c>
      <c r="H177" s="189">
        <v>0</v>
      </c>
      <c r="I177" s="189">
        <v>0</v>
      </c>
      <c r="J177" s="190">
        <v>2.84</v>
      </c>
      <c r="K177" s="190">
        <v>2.9889999999999999</v>
      </c>
      <c r="L177" s="190">
        <v>0.313</v>
      </c>
    </row>
    <row r="178" spans="2:15" x14ac:dyDescent="0.25">
      <c r="B178" s="138" t="s">
        <v>291</v>
      </c>
      <c r="C178" s="189">
        <v>266</v>
      </c>
      <c r="D178" s="189" t="s">
        <v>278</v>
      </c>
      <c r="E178" s="190">
        <v>-0.92500000000000004</v>
      </c>
      <c r="F178" s="190">
        <v>0.93400000000000005</v>
      </c>
      <c r="G178" s="189">
        <v>0</v>
      </c>
      <c r="H178" s="189">
        <v>0</v>
      </c>
      <c r="I178" s="189">
        <v>0</v>
      </c>
      <c r="J178" s="190">
        <v>-4.343</v>
      </c>
      <c r="K178" s="190">
        <v>-3.0680000000000001</v>
      </c>
      <c r="L178" s="190">
        <v>-7.0999999999999994E-2</v>
      </c>
    </row>
    <row r="179" spans="2:15" x14ac:dyDescent="0.25">
      <c r="B179" s="138" t="s">
        <v>292</v>
      </c>
      <c r="C179" s="189">
        <v>289</v>
      </c>
      <c r="D179" s="189" t="s">
        <v>290</v>
      </c>
      <c r="E179" s="190">
        <v>-0.71399999999999997</v>
      </c>
      <c r="F179" s="190">
        <v>0.68799999999999994</v>
      </c>
      <c r="G179" s="189">
        <v>0</v>
      </c>
      <c r="H179" s="189">
        <v>0</v>
      </c>
      <c r="I179" s="189">
        <v>0</v>
      </c>
      <c r="J179" s="190">
        <v>2.6739999999999999</v>
      </c>
      <c r="K179" s="190">
        <v>3.254</v>
      </c>
      <c r="L179" s="190">
        <v>0.54300000000000004</v>
      </c>
    </row>
    <row r="180" spans="2:15" x14ac:dyDescent="0.25">
      <c r="B180" s="138" t="s">
        <v>293</v>
      </c>
      <c r="C180" s="189">
        <v>462</v>
      </c>
      <c r="D180" s="189" t="s">
        <v>278</v>
      </c>
      <c r="E180" s="190">
        <v>-0.92700000000000005</v>
      </c>
      <c r="F180" s="190">
        <v>-0.91900000000000004</v>
      </c>
      <c r="G180" s="189">
        <v>0</v>
      </c>
      <c r="H180" s="189">
        <v>0</v>
      </c>
      <c r="I180" s="189">
        <v>0</v>
      </c>
      <c r="J180" s="190">
        <v>-4.125</v>
      </c>
      <c r="K180" s="190">
        <v>-3.3050000000000002</v>
      </c>
      <c r="L180" s="190">
        <v>0.27500000000000002</v>
      </c>
    </row>
    <row r="181" spans="2:15" x14ac:dyDescent="0.25">
      <c r="B181" s="138" t="s">
        <v>294</v>
      </c>
      <c r="C181" s="189">
        <v>892</v>
      </c>
      <c r="D181" s="189" t="s">
        <v>283</v>
      </c>
      <c r="E181" s="189">
        <v>0.108</v>
      </c>
      <c r="F181" s="190">
        <v>0.17899999999999999</v>
      </c>
      <c r="G181" s="189">
        <v>0</v>
      </c>
      <c r="H181" s="189">
        <v>0</v>
      </c>
      <c r="I181" s="189">
        <v>0</v>
      </c>
      <c r="J181" s="190">
        <v>7.4999999999999997E-2</v>
      </c>
      <c r="K181" s="190">
        <v>-9.8000000000000004E-2</v>
      </c>
      <c r="L181" s="190">
        <v>1.631</v>
      </c>
    </row>
    <row r="182" spans="2:15" ht="15.75" thickBot="1" x14ac:dyDescent="0.3">
      <c r="B182" s="165" t="s">
        <v>295</v>
      </c>
      <c r="C182" s="189">
        <v>967</v>
      </c>
      <c r="D182" s="189" t="s">
        <v>278</v>
      </c>
      <c r="E182" s="189">
        <v>7.5999999999999998E-2</v>
      </c>
      <c r="F182" s="189">
        <v>-3.9E-2</v>
      </c>
      <c r="G182" s="189">
        <v>0</v>
      </c>
      <c r="H182" s="189">
        <v>0</v>
      </c>
      <c r="I182" s="189">
        <v>0</v>
      </c>
      <c r="J182" s="189">
        <v>-0.46800000000000003</v>
      </c>
      <c r="K182" s="189">
        <v>0.94599999999999995</v>
      </c>
      <c r="L182" s="190">
        <v>-1.415</v>
      </c>
    </row>
    <row r="184" spans="2:15" ht="15.75" x14ac:dyDescent="0.25">
      <c r="B184" s="96" t="s">
        <v>296</v>
      </c>
    </row>
    <row r="186" spans="2:15" ht="15.75" x14ac:dyDescent="0.25">
      <c r="B186" s="87" t="s">
        <v>297</v>
      </c>
      <c r="I186" s="66" t="s">
        <v>298</v>
      </c>
    </row>
    <row r="188" spans="2:15" x14ac:dyDescent="0.25">
      <c r="B188" s="94" t="s">
        <v>299</v>
      </c>
      <c r="J188" s="231" t="s">
        <v>300</v>
      </c>
      <c r="K188" s="231"/>
      <c r="L188" s="231"/>
      <c r="M188" s="231"/>
    </row>
    <row r="189" spans="2:15" ht="14.45" customHeight="1" x14ac:dyDescent="0.25">
      <c r="B189" s="233" t="s">
        <v>301</v>
      </c>
      <c r="C189" s="239">
        <f>IF(E31&lt;=280,0.85,IF(E31&gt;560,0.65,(0.85-(E31-280)*(0.5/70))))</f>
        <v>0.85</v>
      </c>
      <c r="K189" s="46">
        <v>0.85</v>
      </c>
      <c r="M189" s="46" t="s">
        <v>302</v>
      </c>
    </row>
    <row r="190" spans="2:15" ht="14.45" customHeight="1" x14ac:dyDescent="0.25">
      <c r="B190" s="233"/>
      <c r="C190" s="239"/>
      <c r="K190" s="46" t="s">
        <v>303</v>
      </c>
      <c r="M190" s="46" t="s">
        <v>304</v>
      </c>
    </row>
    <row r="191" spans="2:15" ht="16.5" x14ac:dyDescent="0.25">
      <c r="B191" s="233"/>
      <c r="C191" s="239"/>
      <c r="K191" s="46">
        <v>0.65</v>
      </c>
      <c r="M191" s="46" t="s">
        <v>305</v>
      </c>
    </row>
    <row r="192" spans="2:15" ht="15.75" x14ac:dyDescent="0.25">
      <c r="B192" s="27"/>
      <c r="C192" s="70"/>
      <c r="K192" s="46"/>
      <c r="M192" s="46"/>
      <c r="O192" s="68"/>
    </row>
    <row r="193" spans="2:15" ht="15.75" x14ac:dyDescent="0.25">
      <c r="B193" s="107" t="s">
        <v>306</v>
      </c>
      <c r="C193" s="67"/>
      <c r="D193" s="68"/>
      <c r="E193" s="17"/>
      <c r="F193" s="107" t="s">
        <v>307</v>
      </c>
      <c r="G193" s="68"/>
      <c r="H193" s="17"/>
      <c r="I193" s="68"/>
      <c r="J193" s="68"/>
      <c r="K193" s="68"/>
      <c r="L193" s="107" t="s">
        <v>308</v>
      </c>
      <c r="M193" s="69"/>
      <c r="N193" s="69"/>
      <c r="O193" s="69"/>
    </row>
    <row r="194" spans="2:15" ht="18.75" x14ac:dyDescent="0.25">
      <c r="B194" s="27" t="s">
        <v>309</v>
      </c>
      <c r="C194" s="70">
        <v>0.9</v>
      </c>
      <c r="D194" s="69"/>
      <c r="E194" s="17"/>
      <c r="F194" s="27" t="s">
        <v>309</v>
      </c>
      <c r="G194" s="70">
        <v>0.75</v>
      </c>
      <c r="H194" s="17"/>
      <c r="I194" s="69"/>
      <c r="J194" s="69"/>
      <c r="K194" s="191"/>
      <c r="L194" s="27" t="s">
        <v>309</v>
      </c>
      <c r="M194" s="70">
        <v>0.65</v>
      </c>
      <c r="N194" s="69"/>
    </row>
    <row r="196" spans="2:15" ht="15.75" x14ac:dyDescent="0.25">
      <c r="B196" s="87" t="s">
        <v>310</v>
      </c>
    </row>
    <row r="198" spans="2:15" ht="15.75" x14ac:dyDescent="0.25">
      <c r="B198" s="24" t="s">
        <v>311</v>
      </c>
      <c r="C198" s="25">
        <v>7.5</v>
      </c>
      <c r="D198" s="116" t="s">
        <v>249</v>
      </c>
    </row>
    <row r="199" spans="2:15" ht="15.75" x14ac:dyDescent="0.25">
      <c r="B199" s="24" t="s">
        <v>312</v>
      </c>
      <c r="C199" s="117">
        <f>E39-C198/100</f>
        <v>0.625</v>
      </c>
      <c r="D199" s="116" t="s">
        <v>172</v>
      </c>
      <c r="E199" s="192" t="s">
        <v>313</v>
      </c>
      <c r="H199" s="27" t="s">
        <v>312</v>
      </c>
      <c r="I199" s="73" t="s">
        <v>314</v>
      </c>
    </row>
    <row r="200" spans="2:15" ht="18.75" x14ac:dyDescent="0.25">
      <c r="B200" s="27" t="s">
        <v>315</v>
      </c>
      <c r="C200" s="117">
        <f>E42+C199</f>
        <v>1.2250000000000001</v>
      </c>
      <c r="D200" s="116" t="s">
        <v>172</v>
      </c>
      <c r="E200" s="192" t="s">
        <v>313</v>
      </c>
      <c r="H200" s="27" t="s">
        <v>315</v>
      </c>
      <c r="I200" s="73" t="s">
        <v>316</v>
      </c>
    </row>
    <row r="201" spans="2:15" ht="18.75" x14ac:dyDescent="0.25">
      <c r="B201" s="27" t="s">
        <v>317</v>
      </c>
      <c r="C201" s="117">
        <f>E42+C199</f>
        <v>1.2250000000000001</v>
      </c>
      <c r="D201" s="116" t="s">
        <v>172</v>
      </c>
      <c r="E201" s="192" t="s">
        <v>313</v>
      </c>
      <c r="H201" s="27" t="s">
        <v>317</v>
      </c>
      <c r="I201" s="73" t="s">
        <v>316</v>
      </c>
    </row>
    <row r="202" spans="2:15" ht="18.75" x14ac:dyDescent="0.25">
      <c r="B202" s="14" t="s">
        <v>318</v>
      </c>
      <c r="C202" s="72">
        <v>40</v>
      </c>
      <c r="D202" s="116" t="str">
        <f>IF(C202=40,"Dado Central",IF(C202=30, "Dado a Borde","Dado en Esquina"))</f>
        <v>Dado Central</v>
      </c>
      <c r="E202" s="192" t="s">
        <v>313</v>
      </c>
      <c r="H202" s="71" t="s">
        <v>319</v>
      </c>
      <c r="I202" s="71"/>
    </row>
    <row r="203" spans="2:15" ht="18.75" x14ac:dyDescent="0.25">
      <c r="B203" s="27" t="s">
        <v>320</v>
      </c>
      <c r="C203" s="117">
        <f>IF(C202=40,2*(C200+C201),IF(C202=30,2*(C200+C201)*0.75,(C200+C201)))</f>
        <v>4.9000000000000004</v>
      </c>
      <c r="D203" s="116" t="s">
        <v>172</v>
      </c>
      <c r="E203" s="192" t="s">
        <v>313</v>
      </c>
      <c r="H203" s="27" t="s">
        <v>321</v>
      </c>
      <c r="I203" s="191" t="s">
        <v>322</v>
      </c>
    </row>
    <row r="205" spans="2:15" ht="15.75" x14ac:dyDescent="0.25">
      <c r="B205" s="68" t="s">
        <v>323</v>
      </c>
      <c r="C205" s="191"/>
    </row>
    <row r="206" spans="2:15" ht="15.75" x14ac:dyDescent="0.25">
      <c r="B206" s="92" t="s">
        <v>312</v>
      </c>
      <c r="C206" s="108" t="s">
        <v>324</v>
      </c>
    </row>
    <row r="207" spans="2:15" ht="18.75" x14ac:dyDescent="0.25">
      <c r="B207" s="92" t="s">
        <v>325</v>
      </c>
      <c r="C207" s="68" t="s">
        <v>326</v>
      </c>
    </row>
    <row r="208" spans="2:15" ht="18.75" x14ac:dyDescent="0.25">
      <c r="B208" s="92" t="s">
        <v>327</v>
      </c>
      <c r="C208" s="68" t="s">
        <v>328</v>
      </c>
    </row>
    <row r="209" spans="2:21" ht="18.75" x14ac:dyDescent="0.25">
      <c r="B209" s="89" t="s">
        <v>329</v>
      </c>
      <c r="C209" s="108" t="s">
        <v>330</v>
      </c>
    </row>
    <row r="210" spans="2:21" ht="18.75" x14ac:dyDescent="0.25">
      <c r="B210" s="92" t="s">
        <v>331</v>
      </c>
      <c r="C210" s="108" t="s">
        <v>332</v>
      </c>
    </row>
    <row r="212" spans="2:21" ht="15.75" x14ac:dyDescent="0.25">
      <c r="B212" s="87" t="s">
        <v>333</v>
      </c>
    </row>
    <row r="214" spans="2:21" x14ac:dyDescent="0.25">
      <c r="B214" s="116" t="s">
        <v>334</v>
      </c>
    </row>
    <row r="216" spans="2:21" ht="15.75" x14ac:dyDescent="0.25">
      <c r="B216" s="87" t="s">
        <v>335</v>
      </c>
    </row>
    <row r="218" spans="2:21" x14ac:dyDescent="0.25">
      <c r="B218" s="24" t="s">
        <v>336</v>
      </c>
      <c r="C218" s="116">
        <f>ABS(MIN(J177:K180))</f>
        <v>4.343</v>
      </c>
      <c r="D218" s="116" t="s">
        <v>337</v>
      </c>
      <c r="E218" s="193">
        <f>C218*100000</f>
        <v>434300</v>
      </c>
    </row>
    <row r="219" spans="2:21" ht="18" x14ac:dyDescent="0.25">
      <c r="B219" s="24" t="s">
        <v>338</v>
      </c>
      <c r="C219" s="194">
        <f>E218/(0.85*C194*100*((C199*100)^2)*E31)</f>
        <v>6.9206847183317767E-3</v>
      </c>
      <c r="D219" s="116" t="s">
        <v>339</v>
      </c>
      <c r="E219" s="192" t="s">
        <v>313</v>
      </c>
      <c r="H219" s="195" t="s">
        <v>338</v>
      </c>
      <c r="I219" s="81" t="s">
        <v>340</v>
      </c>
      <c r="T219" s="17">
        <v>6</v>
      </c>
      <c r="U219" s="17">
        <f>((PI()*T219*T219)/4)*0.01</f>
        <v>0.28274333882308139</v>
      </c>
    </row>
    <row r="220" spans="2:21" ht="15.75" x14ac:dyDescent="0.25">
      <c r="B220" s="24" t="s">
        <v>341</v>
      </c>
      <c r="C220" s="194">
        <f>1-SQRT(1-2*C219)</f>
        <v>6.9447998407458078E-3</v>
      </c>
      <c r="D220" s="116" t="s">
        <v>339</v>
      </c>
      <c r="E220" s="192" t="s">
        <v>313</v>
      </c>
      <c r="I220" s="74" t="s">
        <v>342</v>
      </c>
      <c r="T220" s="17">
        <v>8</v>
      </c>
      <c r="U220" s="17">
        <f t="shared" ref="U220:U230" si="32">((PI()*T220*T220)/4)*0.01</f>
        <v>0.50265482457436694</v>
      </c>
    </row>
    <row r="221" spans="2:21" ht="18" x14ac:dyDescent="0.25">
      <c r="B221" s="24" t="s">
        <v>343</v>
      </c>
      <c r="C221" s="194">
        <f>C220*(E31/E34)</f>
        <v>3.4723999203729042E-4</v>
      </c>
      <c r="D221" s="116" t="s">
        <v>339</v>
      </c>
      <c r="E221" s="192" t="s">
        <v>313</v>
      </c>
      <c r="H221" s="75" t="s">
        <v>344</v>
      </c>
      <c r="I221" s="74" t="s">
        <v>345</v>
      </c>
      <c r="T221" s="17">
        <v>10</v>
      </c>
      <c r="U221" s="17">
        <f t="shared" si="32"/>
        <v>0.78539816339744828</v>
      </c>
    </row>
    <row r="222" spans="2:21" ht="18" x14ac:dyDescent="0.25">
      <c r="B222" s="24" t="s">
        <v>346</v>
      </c>
      <c r="C222" s="194">
        <f>MIN(MAX(C221,C223),C224)</f>
        <v>1.8E-3</v>
      </c>
      <c r="D222" s="116" t="s">
        <v>339</v>
      </c>
      <c r="T222" s="17">
        <v>12</v>
      </c>
      <c r="U222" s="17">
        <f t="shared" si="32"/>
        <v>1.1309733552923256</v>
      </c>
    </row>
    <row r="223" spans="2:21" ht="18" x14ac:dyDescent="0.25">
      <c r="B223" s="24" t="s">
        <v>347</v>
      </c>
      <c r="C223" s="194">
        <v>1.8E-3</v>
      </c>
      <c r="D223" s="116" t="s">
        <v>339</v>
      </c>
      <c r="E223" s="192" t="s">
        <v>313</v>
      </c>
      <c r="H223" s="66" t="s">
        <v>348</v>
      </c>
      <c r="T223" s="17">
        <v>16</v>
      </c>
      <c r="U223" s="17">
        <f t="shared" si="32"/>
        <v>2.0106192982974678</v>
      </c>
    </row>
    <row r="224" spans="2:21" ht="18" x14ac:dyDescent="0.25">
      <c r="B224" s="24" t="s">
        <v>349</v>
      </c>
      <c r="C224" s="194">
        <f>(0.003/(0.002+0.006))*C189*0.85*(E31/E34)</f>
        <v>1.3546875E-2</v>
      </c>
      <c r="D224" s="116" t="s">
        <v>339</v>
      </c>
      <c r="T224" s="17">
        <v>18</v>
      </c>
      <c r="U224" s="17">
        <f t="shared" si="32"/>
        <v>2.5446900494077322</v>
      </c>
    </row>
    <row r="225" spans="2:21" ht="18" x14ac:dyDescent="0.25">
      <c r="B225" s="24" t="s">
        <v>350</v>
      </c>
      <c r="C225" s="153">
        <f>100*C199*100*C222</f>
        <v>11.25</v>
      </c>
      <c r="D225" s="116" t="s">
        <v>351</v>
      </c>
      <c r="E225" s="192" t="s">
        <v>313</v>
      </c>
      <c r="H225" s="195" t="s">
        <v>352</v>
      </c>
      <c r="I225" s="74" t="s">
        <v>353</v>
      </c>
      <c r="T225" s="17">
        <v>20</v>
      </c>
      <c r="U225" s="17">
        <f t="shared" si="32"/>
        <v>3.1415926535897931</v>
      </c>
    </row>
    <row r="226" spans="2:21" ht="15.75" x14ac:dyDescent="0.25">
      <c r="B226" s="24"/>
      <c r="C226" s="196"/>
      <c r="E226" s="192"/>
      <c r="H226" s="195"/>
      <c r="I226" s="74"/>
      <c r="T226" s="17">
        <v>22</v>
      </c>
      <c r="U226" s="17">
        <f t="shared" si="32"/>
        <v>3.8013271108436495</v>
      </c>
    </row>
    <row r="227" spans="2:21" ht="15.75" x14ac:dyDescent="0.25">
      <c r="D227" s="24" t="s">
        <v>354</v>
      </c>
      <c r="E227" s="58" t="s">
        <v>355</v>
      </c>
      <c r="T227" s="17">
        <v>25</v>
      </c>
      <c r="U227" s="17">
        <f t="shared" si="32"/>
        <v>4.908738521234052</v>
      </c>
    </row>
    <row r="228" spans="2:21" ht="18" x14ac:dyDescent="0.25">
      <c r="B228" s="109" t="s">
        <v>356</v>
      </c>
      <c r="E228" s="72" t="s">
        <v>365</v>
      </c>
      <c r="G228" s="78" t="s">
        <v>358</v>
      </c>
      <c r="H228" s="117">
        <f>VLOOKUP(E228,T219:U240,2,FALSE)</f>
        <v>1.99</v>
      </c>
      <c r="I228" s="116" t="s">
        <v>359</v>
      </c>
      <c r="J228" s="78" t="s">
        <v>360</v>
      </c>
      <c r="K228" s="117">
        <f>H228*E229</f>
        <v>11.94</v>
      </c>
      <c r="L228" s="116" t="s">
        <v>359</v>
      </c>
      <c r="T228" s="17">
        <v>28</v>
      </c>
      <c r="U228" s="17">
        <f t="shared" si="32"/>
        <v>6.1575216010359943</v>
      </c>
    </row>
    <row r="229" spans="2:21" ht="15.75" x14ac:dyDescent="0.25">
      <c r="B229" s="109" t="s">
        <v>361</v>
      </c>
      <c r="E229" s="2">
        <f>ROUNDUP(C225/H228,0)</f>
        <v>6</v>
      </c>
      <c r="H229" s="2">
        <f>ROUNDDOWN(MIN(100/E229,40),0)</f>
        <v>16</v>
      </c>
      <c r="I229" s="116" t="s">
        <v>249</v>
      </c>
      <c r="T229" s="17">
        <v>32</v>
      </c>
      <c r="U229" s="17">
        <f t="shared" si="32"/>
        <v>8.0424771931898711</v>
      </c>
    </row>
    <row r="230" spans="2:21" ht="15.75" x14ac:dyDescent="0.25">
      <c r="T230" s="17">
        <v>36</v>
      </c>
      <c r="U230" s="17">
        <f t="shared" si="32"/>
        <v>10.178760197630929</v>
      </c>
    </row>
    <row r="231" spans="2:21" ht="15.75" x14ac:dyDescent="0.25">
      <c r="D231" s="232" t="str">
        <f>IFERROR("SE REQUIEREN  VARILLAS DEL NÚMERO  "&amp;E228&amp;"  @  "&amp;H229&amp;" cm, ambos sentidos",C223)</f>
        <v>SE REQUIEREN  VARILLAS DEL NÚMERO  #5  @  16 cm, ambos sentidos</v>
      </c>
      <c r="E231" s="232"/>
      <c r="F231" s="232"/>
      <c r="G231" s="232"/>
      <c r="H231" s="232"/>
      <c r="I231" s="232"/>
      <c r="J231" s="232"/>
      <c r="K231" s="232"/>
      <c r="T231" s="14" t="s">
        <v>362</v>
      </c>
      <c r="U231" s="17">
        <v>0.71</v>
      </c>
    </row>
    <row r="232" spans="2:21" ht="15.75" x14ac:dyDescent="0.25">
      <c r="T232" s="14" t="s">
        <v>363</v>
      </c>
      <c r="U232" s="17">
        <v>1.27</v>
      </c>
    </row>
    <row r="233" spans="2:21" ht="15.75" x14ac:dyDescent="0.25">
      <c r="B233" s="87" t="s">
        <v>364</v>
      </c>
      <c r="T233" s="14" t="s">
        <v>365</v>
      </c>
      <c r="U233" s="17">
        <v>1.99</v>
      </c>
    </row>
    <row r="234" spans="2:21" ht="15.75" x14ac:dyDescent="0.25">
      <c r="B234" s="87"/>
      <c r="T234" s="14" t="s">
        <v>357</v>
      </c>
      <c r="U234" s="17">
        <v>2.87</v>
      </c>
    </row>
    <row r="235" spans="2:21" ht="15.75" x14ac:dyDescent="0.25">
      <c r="D235" s="24" t="s">
        <v>354</v>
      </c>
      <c r="E235" s="58" t="s">
        <v>355</v>
      </c>
      <c r="N235" s="110">
        <f>C218/M237</f>
        <v>0.138713065899116</v>
      </c>
      <c r="O235" s="116" t="s">
        <v>366</v>
      </c>
      <c r="T235" s="14" t="s">
        <v>367</v>
      </c>
      <c r="U235" s="17">
        <v>3.88</v>
      </c>
    </row>
    <row r="236" spans="2:21" ht="18.75" thickBot="1" x14ac:dyDescent="0.3">
      <c r="B236" s="109" t="s">
        <v>368</v>
      </c>
      <c r="E236" s="72" t="s">
        <v>365</v>
      </c>
      <c r="G236" s="78" t="s">
        <v>358</v>
      </c>
      <c r="H236" s="117">
        <f>VLOOKUP(E236,T219:U241,2,FALSE)</f>
        <v>1.99</v>
      </c>
      <c r="I236" s="116" t="s">
        <v>359</v>
      </c>
      <c r="J236" s="78" t="s">
        <v>369</v>
      </c>
      <c r="K236" s="76">
        <f>(100/E237)*H236</f>
        <v>13.266666666666667</v>
      </c>
      <c r="N236" s="110">
        <f>C225/K236</f>
        <v>0.84798994974874364</v>
      </c>
      <c r="O236" s="116" t="s">
        <v>370</v>
      </c>
      <c r="T236" s="14" t="s">
        <v>371</v>
      </c>
      <c r="U236" s="17">
        <v>5.07</v>
      </c>
    </row>
    <row r="237" spans="2:21" ht="19.5" thickBot="1" x14ac:dyDescent="0.3">
      <c r="B237" s="109" t="s">
        <v>372</v>
      </c>
      <c r="E237" s="72">
        <v>15</v>
      </c>
      <c r="F237" s="109" t="s">
        <v>249</v>
      </c>
      <c r="J237" s="75" t="s">
        <v>373</v>
      </c>
      <c r="K237" s="77">
        <f>K236/(100*$C$199*100)</f>
        <v>2.1226666666666668E-3</v>
      </c>
      <c r="L237" s="111" t="s">
        <v>374</v>
      </c>
      <c r="M237" s="93">
        <f>C194*K236*E34*C199*100*(1-0.5*K237)/100000</f>
        <v>31.309235160000004</v>
      </c>
      <c r="N237" s="112" t="s">
        <v>337</v>
      </c>
      <c r="T237" s="14" t="s">
        <v>375</v>
      </c>
      <c r="U237" s="17">
        <v>6.41</v>
      </c>
    </row>
    <row r="238" spans="2:21" ht="15.75" x14ac:dyDescent="0.25">
      <c r="T238" s="14" t="s">
        <v>376</v>
      </c>
      <c r="U238" s="17">
        <v>7.94</v>
      </c>
    </row>
    <row r="239" spans="2:21" ht="15.75" x14ac:dyDescent="0.25">
      <c r="D239" s="232" t="str">
        <f>IF(AND(MAX(N236,N235)&lt;1.05),"CUMPLE MOMENTO RESISTENTE","NO CUMPLE MOMENTO RESISTENTE")</f>
        <v>CUMPLE MOMENTO RESISTENTE</v>
      </c>
      <c r="E239" s="232"/>
      <c r="F239" s="232"/>
      <c r="G239" s="232"/>
      <c r="H239" s="232"/>
      <c r="I239" s="232"/>
      <c r="J239" s="232"/>
      <c r="K239" s="232"/>
      <c r="T239" s="14" t="s">
        <v>377</v>
      </c>
      <c r="U239" s="17">
        <v>9.58</v>
      </c>
    </row>
    <row r="240" spans="2:21" ht="15.75" x14ac:dyDescent="0.25">
      <c r="T240" s="14" t="s">
        <v>378</v>
      </c>
      <c r="U240" s="17">
        <v>11.4</v>
      </c>
    </row>
    <row r="241" spans="2:12" ht="15.75" x14ac:dyDescent="0.25">
      <c r="B241" s="87" t="s">
        <v>379</v>
      </c>
    </row>
    <row r="243" spans="2:12" x14ac:dyDescent="0.25">
      <c r="B243" s="24" t="s">
        <v>336</v>
      </c>
      <c r="C243" s="197">
        <f>MAX(J177:K180)</f>
        <v>3.254</v>
      </c>
      <c r="D243" s="116" t="s">
        <v>337</v>
      </c>
      <c r="E243" s="193">
        <f>C243*100000</f>
        <v>325400</v>
      </c>
    </row>
    <row r="244" spans="2:12" ht="18" x14ac:dyDescent="0.25">
      <c r="B244" s="78" t="s">
        <v>380</v>
      </c>
      <c r="C244" s="77">
        <v>1.8E-3</v>
      </c>
      <c r="D244" s="113" t="s">
        <v>381</v>
      </c>
      <c r="E244" s="192" t="s">
        <v>313</v>
      </c>
      <c r="H244" s="80" t="s">
        <v>382</v>
      </c>
    </row>
    <row r="245" spans="2:12" ht="18.75" x14ac:dyDescent="0.25">
      <c r="B245" s="92" t="s">
        <v>383</v>
      </c>
      <c r="C245" s="2">
        <f>C244*C199*100</f>
        <v>0.11249999999999999</v>
      </c>
      <c r="D245" s="116" t="s">
        <v>351</v>
      </c>
      <c r="E245" s="192" t="s">
        <v>313</v>
      </c>
      <c r="H245" s="116" t="s">
        <v>384</v>
      </c>
    </row>
    <row r="246" spans="2:12" ht="18" x14ac:dyDescent="0.25">
      <c r="B246" s="24" t="s">
        <v>338</v>
      </c>
      <c r="C246" s="194">
        <f>E243/(0.85*C194*100*((C199*100)^2)*E31)</f>
        <v>5.1853345782757543E-3</v>
      </c>
      <c r="D246" s="116" t="s">
        <v>381</v>
      </c>
      <c r="E246" s="192" t="s">
        <v>313</v>
      </c>
      <c r="H246" s="195" t="s">
        <v>338</v>
      </c>
      <c r="I246" s="81" t="s">
        <v>340</v>
      </c>
    </row>
    <row r="247" spans="2:12" ht="15.75" x14ac:dyDescent="0.25">
      <c r="B247" s="24" t="s">
        <v>341</v>
      </c>
      <c r="C247" s="194">
        <f>1-SQRT(1-2*C246)</f>
        <v>5.1988485916150129E-3</v>
      </c>
      <c r="D247" s="116" t="s">
        <v>381</v>
      </c>
      <c r="E247" s="192" t="s">
        <v>313</v>
      </c>
      <c r="H247" s="24"/>
      <c r="I247" s="74" t="s">
        <v>342</v>
      </c>
    </row>
    <row r="248" spans="2:12" ht="18" x14ac:dyDescent="0.25">
      <c r="B248" s="24" t="s">
        <v>343</v>
      </c>
      <c r="C248" s="194">
        <f>C247*(E31/E34)</f>
        <v>2.5994242958075068E-4</v>
      </c>
      <c r="D248" s="116" t="s">
        <v>381</v>
      </c>
      <c r="E248" s="192" t="s">
        <v>313</v>
      </c>
      <c r="H248" s="75" t="s">
        <v>344</v>
      </c>
      <c r="I248" s="74" t="s">
        <v>345</v>
      </c>
    </row>
    <row r="249" spans="2:12" ht="18" x14ac:dyDescent="0.25">
      <c r="B249" s="24" t="s">
        <v>346</v>
      </c>
      <c r="C249" s="194">
        <f>MIN(MAX(C248,C250),C251)</f>
        <v>1.8E-3</v>
      </c>
    </row>
    <row r="250" spans="2:12" ht="18" x14ac:dyDescent="0.25">
      <c r="B250" s="24" t="s">
        <v>347</v>
      </c>
      <c r="C250" s="194">
        <f>C223</f>
        <v>1.8E-3</v>
      </c>
      <c r="D250" s="116" t="s">
        <v>339</v>
      </c>
      <c r="E250" s="192" t="s">
        <v>313</v>
      </c>
      <c r="H250" s="66" t="s">
        <v>348</v>
      </c>
    </row>
    <row r="251" spans="2:12" ht="18" x14ac:dyDescent="0.25">
      <c r="B251" s="24" t="s">
        <v>349</v>
      </c>
      <c r="C251" s="194">
        <f>C224</f>
        <v>1.3546875E-2</v>
      </c>
      <c r="D251" s="116" t="s">
        <v>339</v>
      </c>
    </row>
    <row r="252" spans="2:12" ht="18" x14ac:dyDescent="0.25">
      <c r="B252" s="24" t="s">
        <v>350</v>
      </c>
      <c r="C252" s="153">
        <f>100*C199*100*C249</f>
        <v>11.25</v>
      </c>
      <c r="D252" s="116" t="s">
        <v>351</v>
      </c>
      <c r="E252" s="192" t="s">
        <v>313</v>
      </c>
      <c r="H252" s="195" t="s">
        <v>352</v>
      </c>
      <c r="I252" s="74" t="s">
        <v>353</v>
      </c>
    </row>
    <row r="254" spans="2:12" x14ac:dyDescent="0.25">
      <c r="D254" s="24" t="s">
        <v>354</v>
      </c>
      <c r="E254" s="58" t="s">
        <v>355</v>
      </c>
    </row>
    <row r="255" spans="2:12" ht="18" x14ac:dyDescent="0.25">
      <c r="B255" s="109" t="s">
        <v>356</v>
      </c>
      <c r="E255" s="119" t="s">
        <v>365</v>
      </c>
      <c r="G255" s="78" t="s">
        <v>358</v>
      </c>
      <c r="H255" s="117">
        <f>VLOOKUP(E255,T219:U240,2,FALSE)</f>
        <v>1.99</v>
      </c>
      <c r="I255" s="116" t="s">
        <v>359</v>
      </c>
      <c r="J255" s="78" t="s">
        <v>360</v>
      </c>
      <c r="K255" s="117">
        <f>H255*E256</f>
        <v>11.94</v>
      </c>
      <c r="L255" s="116" t="s">
        <v>359</v>
      </c>
    </row>
    <row r="256" spans="2:12" x14ac:dyDescent="0.25">
      <c r="B256" s="109" t="s">
        <v>361</v>
      </c>
      <c r="E256" s="2">
        <f>ROUNDUP(C252/H255,0)</f>
        <v>6</v>
      </c>
      <c r="H256" s="2">
        <f>ROUNDDOWN(MIN(100/E256,40),0)</f>
        <v>16</v>
      </c>
      <c r="I256" s="116" t="s">
        <v>249</v>
      </c>
    </row>
    <row r="258" spans="2:15" ht="15.75" x14ac:dyDescent="0.25">
      <c r="D258" s="232" t="str">
        <f>IFERROR("SE REQUIEREN  VARILLAS DEL NÚMERO  "&amp;E255&amp;"  @  "&amp;H256&amp;" cm, ambos sentidos",C250)</f>
        <v>SE REQUIEREN  VARILLAS DEL NÚMERO  #5  @  16 cm, ambos sentidos</v>
      </c>
      <c r="E258" s="232"/>
      <c r="F258" s="232"/>
      <c r="G258" s="232"/>
      <c r="H258" s="232"/>
      <c r="I258" s="232"/>
      <c r="J258" s="232"/>
      <c r="K258" s="232"/>
    </row>
    <row r="260" spans="2:15" ht="15.75" x14ac:dyDescent="0.25">
      <c r="B260" s="87" t="s">
        <v>364</v>
      </c>
    </row>
    <row r="261" spans="2:15" x14ac:dyDescent="0.25">
      <c r="B261" s="118"/>
    </row>
    <row r="262" spans="2:15" x14ac:dyDescent="0.25">
      <c r="D262" s="24" t="s">
        <v>354</v>
      </c>
      <c r="E262" s="58" t="s">
        <v>355</v>
      </c>
      <c r="N262" s="110">
        <f>C243/M264</f>
        <v>0.10393099618598284</v>
      </c>
      <c r="O262" s="116" t="s">
        <v>366</v>
      </c>
    </row>
    <row r="263" spans="2:15" ht="18.75" thickBot="1" x14ac:dyDescent="0.3">
      <c r="B263" s="109" t="s">
        <v>368</v>
      </c>
      <c r="E263" s="119" t="s">
        <v>365</v>
      </c>
      <c r="G263" s="78" t="s">
        <v>358</v>
      </c>
      <c r="H263" s="117">
        <f>VLOOKUP(E263,T219:U240,2,FALSE)</f>
        <v>1.99</v>
      </c>
      <c r="I263" s="116" t="s">
        <v>359</v>
      </c>
      <c r="J263" s="78" t="s">
        <v>369</v>
      </c>
      <c r="K263" s="76">
        <f>(100/E264)*H263</f>
        <v>13.266666666666667</v>
      </c>
      <c r="N263" s="110">
        <f>C252/K263</f>
        <v>0.84798994974874364</v>
      </c>
      <c r="O263" s="116" t="s">
        <v>370</v>
      </c>
    </row>
    <row r="264" spans="2:15" ht="18.75" thickBot="1" x14ac:dyDescent="0.3">
      <c r="B264" s="109" t="s">
        <v>372</v>
      </c>
      <c r="E264" s="119">
        <v>15</v>
      </c>
      <c r="F264" s="109" t="s">
        <v>249</v>
      </c>
      <c r="J264" s="75" t="s">
        <v>373</v>
      </c>
      <c r="K264" s="77">
        <f>K263/(100*$C$199*100)</f>
        <v>2.1226666666666668E-3</v>
      </c>
      <c r="L264" s="120" t="s">
        <v>385</v>
      </c>
      <c r="M264" s="93">
        <f>C194*K263*E34*C199*100*(1-0.5*K264)/100000</f>
        <v>31.309235160000004</v>
      </c>
      <c r="N264" s="112" t="s">
        <v>337</v>
      </c>
    </row>
    <row r="266" spans="2:15" ht="15.75" x14ac:dyDescent="0.25">
      <c r="D266" s="232" t="str">
        <f>IF(AND(MAX(N263,N262)&lt;1.05),"CUMPLE MOMENTO RESISTENTE","NO CUMPLE MOMENTO RESISTENTE")</f>
        <v>CUMPLE MOMENTO RESISTENTE</v>
      </c>
      <c r="E266" s="232"/>
      <c r="F266" s="232"/>
      <c r="G266" s="232"/>
      <c r="H266" s="232"/>
      <c r="I266" s="232"/>
      <c r="J266" s="232"/>
      <c r="K266" s="232"/>
    </row>
    <row r="268" spans="2:15" ht="15.75" x14ac:dyDescent="0.25">
      <c r="B268" s="87" t="s">
        <v>386</v>
      </c>
    </row>
    <row r="270" spans="2:15" ht="15.75" x14ac:dyDescent="0.25">
      <c r="B270" s="87" t="s">
        <v>387</v>
      </c>
    </row>
    <row r="272" spans="2:15" x14ac:dyDescent="0.25">
      <c r="B272" s="109" t="s">
        <v>388</v>
      </c>
    </row>
    <row r="274" spans="2:11" ht="18.75" x14ac:dyDescent="0.25">
      <c r="B274" s="86" t="s">
        <v>389</v>
      </c>
      <c r="C274" s="117">
        <f>MAX(ABS(MIN(E167:F170)),MAX(E167:F170))*10</f>
        <v>16.11</v>
      </c>
      <c r="D274" s="88" t="s">
        <v>390</v>
      </c>
    </row>
    <row r="275" spans="2:11" x14ac:dyDescent="0.25">
      <c r="B275" s="24" t="s">
        <v>391</v>
      </c>
      <c r="C275" s="117">
        <f>MIN(SQRT(2/(1+0.04*C199*100)),1)</f>
        <v>0.7559289460184544</v>
      </c>
      <c r="D275" s="2" t="s">
        <v>381</v>
      </c>
      <c r="G275" s="116" t="s">
        <v>392</v>
      </c>
    </row>
    <row r="276" spans="2:11" x14ac:dyDescent="0.25">
      <c r="B276" s="24" t="s">
        <v>393</v>
      </c>
      <c r="C276" s="2">
        <v>1</v>
      </c>
      <c r="D276" s="2" t="s">
        <v>381</v>
      </c>
    </row>
    <row r="279" spans="2:11" ht="18" x14ac:dyDescent="0.25">
      <c r="B279" s="90" t="s">
        <v>394</v>
      </c>
      <c r="C279" s="117">
        <f>G194*1.1*C275*C276*SQRT($E$31)*10</f>
        <v>90.374221988352389</v>
      </c>
      <c r="D279" s="114" t="s">
        <v>395</v>
      </c>
      <c r="G279" s="116" t="s">
        <v>396</v>
      </c>
      <c r="I279" s="91" t="s">
        <v>397</v>
      </c>
      <c r="J279" s="115">
        <f>C274</f>
        <v>16.11</v>
      </c>
      <c r="K279" s="88" t="s">
        <v>390</v>
      </c>
    </row>
    <row r="280" spans="2:11" ht="18" x14ac:dyDescent="0.25">
      <c r="B280" s="90" t="s">
        <v>398</v>
      </c>
      <c r="C280" s="117">
        <f>G194*0.53*(1+2)*C275*C276*SQRT($E$31)*10</f>
        <v>130.6318299649821</v>
      </c>
      <c r="D280" s="114" t="s">
        <v>395</v>
      </c>
      <c r="G280" s="116" t="s">
        <v>396</v>
      </c>
      <c r="I280" s="91" t="s">
        <v>399</v>
      </c>
      <c r="J280" s="115">
        <f>MIN(C279:C281)</f>
        <v>90.374221988352389</v>
      </c>
      <c r="K280" s="88" t="s">
        <v>390</v>
      </c>
    </row>
    <row r="281" spans="2:11" ht="18" x14ac:dyDescent="0.25">
      <c r="B281" s="90" t="s">
        <v>400</v>
      </c>
      <c r="C281" s="117">
        <f>G194*0.27*(2+C202*C199/C203)*C276*SQRT($E$31)*10</f>
        <v>208.40965700081014</v>
      </c>
      <c r="D281" s="114" t="s">
        <v>395</v>
      </c>
      <c r="G281" s="116" t="s">
        <v>396</v>
      </c>
      <c r="I281" s="230" t="str">
        <f>IF(J279/J280&lt;=1,"CUMPLE LA REVISIÓN","NO CUMPLE LA REVISIÓN")</f>
        <v>CUMPLE LA REVISIÓN</v>
      </c>
      <c r="J281" s="230"/>
      <c r="K281" s="230"/>
    </row>
    <row r="283" spans="2:11" ht="18" x14ac:dyDescent="0.25">
      <c r="B283" s="24" t="s">
        <v>401</v>
      </c>
      <c r="C283" s="117">
        <f>G194*(0.53*C276*SQRT($E$31))*10</f>
        <v>57.603222566103014</v>
      </c>
      <c r="D283" s="114" t="s">
        <v>395</v>
      </c>
      <c r="G283" s="116" t="s">
        <v>402</v>
      </c>
    </row>
    <row r="285" spans="2:11" x14ac:dyDescent="0.25">
      <c r="B285" s="195" t="s">
        <v>403</v>
      </c>
      <c r="C285" s="198"/>
    </row>
    <row r="286" spans="2:11" x14ac:dyDescent="0.25">
      <c r="B286" s="195" t="s">
        <v>404</v>
      </c>
      <c r="C286" s="199" t="s">
        <v>405</v>
      </c>
    </row>
    <row r="288" spans="2:11" ht="15.75" x14ac:dyDescent="0.25">
      <c r="B288" s="87" t="s">
        <v>406</v>
      </c>
    </row>
    <row r="290" spans="2:13" x14ac:dyDescent="0.25">
      <c r="B290" s="94" t="s">
        <v>407</v>
      </c>
    </row>
    <row r="292" spans="2:13" ht="16.5" x14ac:dyDescent="0.25">
      <c r="B292" s="90" t="s">
        <v>408</v>
      </c>
      <c r="C292" s="119">
        <v>14</v>
      </c>
      <c r="D292" s="2" t="s">
        <v>409</v>
      </c>
      <c r="E292" s="119" t="s">
        <v>363</v>
      </c>
      <c r="F292" s="24" t="s">
        <v>410</v>
      </c>
      <c r="G292" s="117">
        <f>VLOOKUP(E292,T219:U240,2,FALSE)</f>
        <v>1.27</v>
      </c>
      <c r="H292" s="116" t="s">
        <v>359</v>
      </c>
      <c r="J292" s="24" t="s">
        <v>411</v>
      </c>
      <c r="K292" s="2">
        <f>G292*C292</f>
        <v>17.78</v>
      </c>
      <c r="L292" s="116" t="s">
        <v>359</v>
      </c>
    </row>
    <row r="293" spans="2:13" ht="16.5" x14ac:dyDescent="0.25">
      <c r="B293" s="90" t="s">
        <v>408</v>
      </c>
      <c r="C293" s="119">
        <v>10</v>
      </c>
      <c r="D293" s="2" t="s">
        <v>409</v>
      </c>
      <c r="E293" s="119" t="s">
        <v>363</v>
      </c>
      <c r="F293" s="24" t="s">
        <v>410</v>
      </c>
      <c r="G293" s="117">
        <f>VLOOKUP(E293,T219:U240,2,FALSE)</f>
        <v>1.27</v>
      </c>
      <c r="H293" s="116" t="s">
        <v>359</v>
      </c>
      <c r="J293" s="24" t="s">
        <v>411</v>
      </c>
      <c r="K293" s="2">
        <f>G293*C293</f>
        <v>12.7</v>
      </c>
      <c r="L293" s="116" t="s">
        <v>359</v>
      </c>
    </row>
    <row r="294" spans="2:13" ht="15.75" x14ac:dyDescent="0.25">
      <c r="B294" s="90" t="s">
        <v>412</v>
      </c>
      <c r="C294" s="119">
        <v>1</v>
      </c>
      <c r="D294" s="116" t="s">
        <v>413</v>
      </c>
      <c r="E294" s="119" t="s">
        <v>362</v>
      </c>
      <c r="F294" s="24" t="s">
        <v>414</v>
      </c>
      <c r="G294" s="119">
        <v>15</v>
      </c>
      <c r="H294" s="116" t="s">
        <v>249</v>
      </c>
      <c r="J294" s="230" t="str">
        <f>IF(0.005*C298&lt;=SUM(K292:K293),"CUMPLE CUANTÍA","NO CUMPLE CUANTÍA")</f>
        <v>CUMPLE CUANTÍA</v>
      </c>
      <c r="K294" s="230"/>
      <c r="L294" s="230"/>
      <c r="M294" s="200" t="s">
        <v>415</v>
      </c>
    </row>
    <row r="296" spans="2:13" ht="18" x14ac:dyDescent="0.35">
      <c r="B296" s="87" t="s">
        <v>416</v>
      </c>
      <c r="F296" s="79" t="s">
        <v>417</v>
      </c>
    </row>
    <row r="298" spans="2:13" ht="16.5" x14ac:dyDescent="0.25">
      <c r="B298" s="24" t="s">
        <v>418</v>
      </c>
      <c r="C298" s="2">
        <f>(E42*100)^2</f>
        <v>3600</v>
      </c>
      <c r="D298" s="116" t="s">
        <v>359</v>
      </c>
    </row>
    <row r="299" spans="2:13" ht="18" x14ac:dyDescent="0.25">
      <c r="B299" s="24" t="s">
        <v>419</v>
      </c>
      <c r="C299" s="2">
        <f>SUM(K292:K293)</f>
        <v>30.48</v>
      </c>
      <c r="D299" s="116" t="s">
        <v>359</v>
      </c>
    </row>
    <row r="300" spans="2:13" ht="18" x14ac:dyDescent="0.35">
      <c r="B300" s="121" t="s">
        <v>420</v>
      </c>
      <c r="C300" s="201">
        <f>M194*0.8*(0.85*E31*(C298-C299)+E34*C299)/1000</f>
        <v>397.89116639999997</v>
      </c>
      <c r="D300" s="122" t="s">
        <v>231</v>
      </c>
    </row>
    <row r="301" spans="2:13" ht="18" x14ac:dyDescent="0.25">
      <c r="B301" s="91" t="s">
        <v>421</v>
      </c>
      <c r="C301" s="201">
        <f>MAX(L23:L26,I24:I26,F24:F26)</f>
        <v>84.98</v>
      </c>
      <c r="D301" s="122" t="s">
        <v>231</v>
      </c>
    </row>
    <row r="302" spans="2:13" ht="15.75" x14ac:dyDescent="0.25">
      <c r="B302" s="230" t="str">
        <f>IF(C301/C300&lt;=1,"CUMPLE LA REVISIÓN","NO CUMPLE REVISIÓN")</f>
        <v>CUMPLE LA REVISIÓN</v>
      </c>
      <c r="C302" s="230"/>
      <c r="D302" s="230"/>
      <c r="E302" s="123" t="s">
        <v>422</v>
      </c>
      <c r="F302" s="124">
        <f>C301/C300</f>
        <v>0.21357599056262941</v>
      </c>
    </row>
    <row r="304" spans="2:13" ht="18" x14ac:dyDescent="0.35">
      <c r="B304" s="87" t="s">
        <v>423</v>
      </c>
      <c r="F304" s="79" t="s">
        <v>424</v>
      </c>
    </row>
    <row r="306" spans="2:6" ht="18" x14ac:dyDescent="0.25">
      <c r="B306" s="91" t="s">
        <v>425</v>
      </c>
      <c r="C306" s="201">
        <f>C194*C299*E34/1000</f>
        <v>115.21440000000001</v>
      </c>
      <c r="D306" s="122" t="s">
        <v>231</v>
      </c>
    </row>
    <row r="307" spans="2:6" ht="18" x14ac:dyDescent="0.25">
      <c r="B307" s="91" t="s">
        <v>426</v>
      </c>
      <c r="C307" s="201">
        <f>ABS(MIN(F24:F26,I24:I26,L24:L26))</f>
        <v>69.98</v>
      </c>
      <c r="D307" s="122" t="s">
        <v>231</v>
      </c>
    </row>
    <row r="308" spans="2:6" ht="15.75" x14ac:dyDescent="0.25">
      <c r="B308" s="230" t="str">
        <f>IF(C307/C306&lt;=1,"CUMPLE LA REVISIÓN","NO CUMPLE REVISIÓN")</f>
        <v>CUMPLE LA REVISIÓN</v>
      </c>
      <c r="C308" s="230"/>
      <c r="D308" s="230"/>
      <c r="E308" s="123" t="s">
        <v>422</v>
      </c>
      <c r="F308" s="124">
        <f>C307/C306</f>
        <v>0.60738935410851413</v>
      </c>
    </row>
    <row r="310" spans="2:6" ht="15.75" x14ac:dyDescent="0.25">
      <c r="B310" s="87" t="s">
        <v>427</v>
      </c>
    </row>
  </sheetData>
  <mergeCells count="52">
    <mergeCell ref="AH3:AI3"/>
    <mergeCell ref="AC23:AD23"/>
    <mergeCell ref="AC17:AD17"/>
    <mergeCell ref="E22:G22"/>
    <mergeCell ref="H22:J22"/>
    <mergeCell ref="K22:M22"/>
    <mergeCell ref="X17:Y17"/>
    <mergeCell ref="X9:Y9"/>
    <mergeCell ref="AH19:AI19"/>
    <mergeCell ref="AH23:AI23"/>
    <mergeCell ref="N8:O8"/>
    <mergeCell ref="E3:J8"/>
    <mergeCell ref="N3:O3"/>
    <mergeCell ref="N4:O4"/>
    <mergeCell ref="B189:B191"/>
    <mergeCell ref="N5:O5"/>
    <mergeCell ref="Z9:AA9"/>
    <mergeCell ref="AB9:AC9"/>
    <mergeCell ref="E14:G14"/>
    <mergeCell ref="H14:J14"/>
    <mergeCell ref="K14:M14"/>
    <mergeCell ref="C189:C191"/>
    <mergeCell ref="E88:F89"/>
    <mergeCell ref="I137:N137"/>
    <mergeCell ref="I138:N138"/>
    <mergeCell ref="B158:D158"/>
    <mergeCell ref="B157:D157"/>
    <mergeCell ref="B156:D156"/>
    <mergeCell ref="N6:O6"/>
    <mergeCell ref="N7:O7"/>
    <mergeCell ref="B302:D302"/>
    <mergeCell ref="B308:D308"/>
    <mergeCell ref="D258:K258"/>
    <mergeCell ref="D266:K266"/>
    <mergeCell ref="D231:K231"/>
    <mergeCell ref="D239:K239"/>
    <mergeCell ref="X26:Y26"/>
    <mergeCell ref="Z26:AA26"/>
    <mergeCell ref="AB26:AC26"/>
    <mergeCell ref="I281:K281"/>
    <mergeCell ref="J294:L294"/>
    <mergeCell ref="I136:N136"/>
    <mergeCell ref="J188:M188"/>
    <mergeCell ref="G81:L81"/>
    <mergeCell ref="G82:L82"/>
    <mergeCell ref="G83:L83"/>
    <mergeCell ref="AK9:AL9"/>
    <mergeCell ref="AM9:AN9"/>
    <mergeCell ref="AO9:AP9"/>
    <mergeCell ref="AK28:AL28"/>
    <mergeCell ref="AM28:AN28"/>
    <mergeCell ref="AO28:AP28"/>
  </mergeCells>
  <phoneticPr fontId="32" type="noConversion"/>
  <conditionalFormatting sqref="E81:E83">
    <cfRule type="cellIs" dxfId="1" priority="3" operator="equal">
      <formula>MAX($E$81:$E$83)</formula>
    </cfRule>
  </conditionalFormatting>
  <conditionalFormatting sqref="G136:G138">
    <cfRule type="cellIs" dxfId="0" priority="1" operator="equal">
      <formula>MAX($G$136:$G$138)</formula>
    </cfRule>
  </conditionalFormatting>
  <dataValidations count="8">
    <dataValidation type="whole" allowBlank="1" showInputMessage="1" showErrorMessage="1" sqref="N3" xr:uid="{BD36C360-B427-4F7F-922C-7974DF2B9605}">
      <formula1>1000</formula1>
      <formula2>999999</formula2>
    </dataValidation>
    <dataValidation type="list" allowBlank="1" showInputMessage="1" showErrorMessage="1" sqref="N7:O7" xr:uid="{00ABA79E-2B6A-4F6A-9A30-E44C32E4F233}">
      <formula1>País</formula1>
    </dataValidation>
    <dataValidation type="list" allowBlank="1" showInputMessage="1" showErrorMessage="1" sqref="L31" xr:uid="{73DBC9D8-4619-4755-8C7E-42325719BAB0}">
      <formula1>"Si,No"</formula1>
    </dataValidation>
    <dataValidation type="list" allowBlank="1" showInputMessage="1" showErrorMessage="1" sqref="C202" xr:uid="{68FF1909-5C81-4B71-ADF6-DE2203AD3558}">
      <formula1>"20,30,40"</formula1>
    </dataValidation>
    <dataValidation type="list" allowBlank="1" showInputMessage="1" showErrorMessage="1" sqref="E236 E263" xr:uid="{3FB1990B-5360-4154-9014-3BA9D4C58832}">
      <formula1>IF($E$235="In",In,mm)</formula1>
    </dataValidation>
    <dataValidation type="list" allowBlank="1" showInputMessage="1" showErrorMessage="1" sqref="E227 E235 E254 E262" xr:uid="{31451F66-B0B0-4DEE-84D3-6175D7CB7281}">
      <formula1>"In,mm"</formula1>
    </dataValidation>
    <dataValidation type="list" allowBlank="1" showInputMessage="1" showErrorMessage="1" sqref="E228 E255" xr:uid="{7C436F9F-64D5-4F94-AA19-AAA69566471F}">
      <formula1>IF($E$227="In",In,mm)</formula1>
    </dataValidation>
    <dataValidation type="list" allowBlank="1" showInputMessage="1" showErrorMessage="1" sqref="E292:E294" xr:uid="{775AFDC3-0603-4A8A-8C3D-675EC783B48D}">
      <formula1>$T$219:$T$240</formula1>
    </dataValidation>
  </dataValidations>
  <hyperlinks>
    <hyperlink ref="Q4" r:id="rId1" xr:uid="{B3354A16-0AF2-4A8C-AAA9-344947252F49}"/>
  </hyperlinks>
  <pageMargins left="0.7" right="0.7" top="0.75" bottom="0.75" header="0.3" footer="0.3"/>
  <pageSetup paperSize="119" scale="44" fitToHeight="0" orientation="portrait" horizontalDpi="1200" verticalDpi="1200" r:id="rId2"/>
  <rowBreaks count="3" manualBreakCount="3">
    <brk id="84" max="15" man="1"/>
    <brk id="183" max="15" man="1"/>
    <brk id="266" max="15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11" r:id="rId5" name="Button 339">
              <controlPr defaultSize="0" print="0" autoFill="0" autoPict="0" macro="[0]!CrearSTDFINAL">
                <anchor moveWithCells="1" sizeWithCells="1">
                  <from>
                    <xdr:col>2</xdr:col>
                    <xdr:colOff>790575</xdr:colOff>
                    <xdr:row>158</xdr:row>
                    <xdr:rowOff>152400</xdr:rowOff>
                  </from>
                  <to>
                    <xdr:col>4</xdr:col>
                    <xdr:colOff>114300</xdr:colOff>
                    <xdr:row>160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2" r:id="rId6" name="Button 960">
              <controlPr defaultSize="0" print="0" autoFill="0" autoPict="0" macro="[0]!CrearSTD.CrearSTD">
                <anchor moveWithCells="1" sizeWithCells="1">
                  <from>
                    <xdr:col>2</xdr:col>
                    <xdr:colOff>933450</xdr:colOff>
                    <xdr:row>138</xdr:row>
                    <xdr:rowOff>114300</xdr:rowOff>
                  </from>
                  <to>
                    <xdr:col>4</xdr:col>
                    <xdr:colOff>371475</xdr:colOff>
                    <xdr:row>140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" r:id="rId7" name="Button 962">
              <controlPr defaultSize="0" print="0" autoFill="0" autoPict="0" macro="[0]!Tabla.Tabla">
                <anchor moveWithCells="1" sizeWithCells="1">
                  <from>
                    <xdr:col>5</xdr:col>
                    <xdr:colOff>895350</xdr:colOff>
                    <xdr:row>86</xdr:row>
                    <xdr:rowOff>114300</xdr:rowOff>
                  </from>
                  <to>
                    <xdr:col>7</xdr:col>
                    <xdr:colOff>523875</xdr:colOff>
                    <xdr:row>88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9E53A-7CB6-4DE1-9525-B15D3BD22D5D}">
  <sheetPr codeName="Hoja3"/>
  <dimension ref="A1:J39"/>
  <sheetViews>
    <sheetView topLeftCell="F1" workbookViewId="0">
      <selection activeCell="J5" sqref="J5:J11"/>
    </sheetView>
  </sheetViews>
  <sheetFormatPr baseColWidth="10" defaultColWidth="11.42578125" defaultRowHeight="15" x14ac:dyDescent="0.25"/>
  <cols>
    <col min="1" max="2" width="2.7109375" hidden="1" customWidth="1"/>
    <col min="3" max="3" width="5.7109375" hidden="1" customWidth="1"/>
    <col min="4" max="4" width="2" hidden="1" customWidth="1"/>
    <col min="5" max="5" width="12" hidden="1" customWidth="1"/>
    <col min="6" max="6" width="15.7109375" customWidth="1"/>
    <col min="7" max="7" width="2.7109375" customWidth="1"/>
    <col min="8" max="8" width="15.7109375" customWidth="1"/>
    <col min="9" max="9" width="2.7109375" customWidth="1"/>
    <col min="10" max="10" width="15.7109375" customWidth="1"/>
  </cols>
  <sheetData>
    <row r="1" spans="1:10" x14ac:dyDescent="0.25">
      <c r="B1">
        <f>COUNT(B3:B35)-1</f>
        <v>6</v>
      </c>
      <c r="F1" s="244" t="s">
        <v>428</v>
      </c>
      <c r="G1" s="244"/>
      <c r="H1" s="244"/>
      <c r="I1" s="244"/>
      <c r="J1" s="244"/>
    </row>
    <row r="2" spans="1:10" x14ac:dyDescent="0.25">
      <c r="F2" t="s">
        <v>429</v>
      </c>
      <c r="H2" t="s">
        <v>430</v>
      </c>
      <c r="J2" t="s">
        <v>42</v>
      </c>
    </row>
    <row r="3" spans="1:10" x14ac:dyDescent="0.25">
      <c r="A3">
        <v>1</v>
      </c>
      <c r="B3">
        <f>IF(Vértices!C2="","",A3)</f>
        <v>1</v>
      </c>
      <c r="C3">
        <f>Codigo!R3</f>
        <v>-4.8659999999999997</v>
      </c>
      <c r="D3">
        <f>Codigo!S3</f>
        <v>0</v>
      </c>
      <c r="E3">
        <f>IF(Codigo!T3="","",-Codigo!T3)</f>
        <v>-1.6547000000000001</v>
      </c>
    </row>
    <row r="4" spans="1:10" x14ac:dyDescent="0.25">
      <c r="A4">
        <v>2</v>
      </c>
      <c r="B4">
        <f>IF(Vértices!C3="","",A4)</f>
        <v>2</v>
      </c>
      <c r="C4">
        <f>Codigo!R4</f>
        <v>-3.8660000000000001</v>
      </c>
      <c r="D4">
        <f>Codigo!S4</f>
        <v>0</v>
      </c>
      <c r="E4">
        <f>IF(Codigo!T4="","",-Codigo!T4)</f>
        <v>-3.3868</v>
      </c>
      <c r="F4" t="s">
        <v>431</v>
      </c>
      <c r="G4" s="5" t="s">
        <v>432</v>
      </c>
      <c r="H4" t="s">
        <v>431</v>
      </c>
      <c r="I4" s="5" t="s">
        <v>432</v>
      </c>
      <c r="J4" t="s">
        <v>431</v>
      </c>
    </row>
    <row r="5" spans="1:10" x14ac:dyDescent="0.25">
      <c r="A5">
        <v>3</v>
      </c>
      <c r="B5">
        <f>IF(Vértices!C4="","",A5)</f>
        <v>3</v>
      </c>
      <c r="C5">
        <f>Codigo!R5</f>
        <v>3.8660000000000001</v>
      </c>
      <c r="D5">
        <f>Codigo!S5</f>
        <v>0</v>
      </c>
      <c r="E5">
        <f>IF(Codigo!T5="","",-Codigo!T5)</f>
        <v>-3.3868</v>
      </c>
      <c r="F5" t="s">
        <v>792</v>
      </c>
      <c r="G5" s="5" t="s">
        <v>432</v>
      </c>
      <c r="H5" t="s">
        <v>793</v>
      </c>
      <c r="I5" s="5" t="s">
        <v>432</v>
      </c>
      <c r="J5" t="s">
        <v>794</v>
      </c>
    </row>
    <row r="6" spans="1:10" x14ac:dyDescent="0.25">
      <c r="A6">
        <v>4</v>
      </c>
      <c r="B6">
        <f>IF(Vértices!C5="","",A6)</f>
        <v>4</v>
      </c>
      <c r="C6">
        <f>Codigo!R6</f>
        <v>4.8659999999999997</v>
      </c>
      <c r="D6">
        <f>Codigo!S6</f>
        <v>0</v>
      </c>
      <c r="E6">
        <f>IF(Codigo!T6="","",-Codigo!T6)</f>
        <v>-1.6547000000000001</v>
      </c>
      <c r="F6" t="s">
        <v>795</v>
      </c>
      <c r="G6" s="5" t="s">
        <v>432</v>
      </c>
      <c r="H6" t="s">
        <v>796</v>
      </c>
      <c r="I6" s="5" t="s">
        <v>432</v>
      </c>
      <c r="J6" t="s">
        <v>797</v>
      </c>
    </row>
    <row r="7" spans="1:10" x14ac:dyDescent="0.25">
      <c r="A7">
        <v>5</v>
      </c>
      <c r="B7">
        <f>IF(Vértices!C6="","",A7)</f>
        <v>5</v>
      </c>
      <c r="C7">
        <f>Codigo!R7</f>
        <v>1</v>
      </c>
      <c r="D7">
        <f>Codigo!S7</f>
        <v>0</v>
      </c>
      <c r="E7">
        <f>IF(Codigo!T7="","",-Codigo!T7)</f>
        <v>5.0415000000000001</v>
      </c>
      <c r="F7" t="s">
        <v>798</v>
      </c>
      <c r="G7" s="5" t="s">
        <v>432</v>
      </c>
      <c r="H7" t="s">
        <v>799</v>
      </c>
      <c r="I7" s="5" t="s">
        <v>432</v>
      </c>
      <c r="J7" t="s">
        <v>800</v>
      </c>
    </row>
    <row r="8" spans="1:10" x14ac:dyDescent="0.25">
      <c r="A8">
        <v>6</v>
      </c>
      <c r="B8">
        <f>IF(Vértices!C7="","",A8)</f>
        <v>6</v>
      </c>
      <c r="C8">
        <f>Codigo!R8</f>
        <v>-1</v>
      </c>
      <c r="D8">
        <f>Codigo!S8</f>
        <v>0</v>
      </c>
      <c r="E8">
        <f>IF(Codigo!T8="","",-Codigo!T8)</f>
        <v>5.0415000000000001</v>
      </c>
      <c r="F8" t="s">
        <v>801</v>
      </c>
      <c r="G8" s="5" t="s">
        <v>432</v>
      </c>
      <c r="H8" t="s">
        <v>802</v>
      </c>
      <c r="I8" s="5" t="s">
        <v>432</v>
      </c>
      <c r="J8" t="s">
        <v>803</v>
      </c>
    </row>
    <row r="9" spans="1:10" x14ac:dyDescent="0.25">
      <c r="A9">
        <v>7</v>
      </c>
      <c r="B9">
        <f>IF(Vértices!C8="","",A9)</f>
        <v>7</v>
      </c>
      <c r="C9">
        <f>Codigo!R9</f>
        <v>-4.8659999999999997</v>
      </c>
      <c r="D9">
        <f>Codigo!S9</f>
        <v>0</v>
      </c>
      <c r="E9">
        <f>IF(Codigo!T9="","",-Codigo!T9)</f>
        <v>-1.6547000000000001</v>
      </c>
      <c r="F9" t="s">
        <v>804</v>
      </c>
      <c r="G9" s="5" t="s">
        <v>432</v>
      </c>
      <c r="H9" t="s">
        <v>805</v>
      </c>
      <c r="I9" s="5" t="s">
        <v>432</v>
      </c>
      <c r="J9" t="s">
        <v>806</v>
      </c>
    </row>
    <row r="10" spans="1:10" x14ac:dyDescent="0.25">
      <c r="A10">
        <v>8</v>
      </c>
      <c r="B10" t="str">
        <f>IF(Vértices!C9="","",A10)</f>
        <v/>
      </c>
      <c r="C10" t="str">
        <f>Codigo!R10</f>
        <v/>
      </c>
      <c r="D10">
        <f>Codigo!S10</f>
        <v>0</v>
      </c>
      <c r="E10" t="str">
        <f>IF(Codigo!T10="","",-Codigo!T10)</f>
        <v/>
      </c>
      <c r="F10" t="s">
        <v>807</v>
      </c>
      <c r="G10" s="5" t="s">
        <v>432</v>
      </c>
      <c r="H10" t="s">
        <v>808</v>
      </c>
      <c r="I10" s="5" t="s">
        <v>432</v>
      </c>
      <c r="J10" t="s">
        <v>809</v>
      </c>
    </row>
    <row r="11" spans="1:10" x14ac:dyDescent="0.25">
      <c r="A11">
        <v>9</v>
      </c>
      <c r="B11" t="str">
        <f>IF(Vértices!C10="","",A11)</f>
        <v/>
      </c>
      <c r="C11" t="str">
        <f>Codigo!R11</f>
        <v/>
      </c>
      <c r="D11">
        <f>Codigo!S11</f>
        <v>0</v>
      </c>
      <c r="E11" t="str">
        <f>IF(Codigo!T11="","",-Codigo!T11)</f>
        <v/>
      </c>
      <c r="F11" t="s">
        <v>433</v>
      </c>
      <c r="G11" s="5" t="s">
        <v>432</v>
      </c>
      <c r="H11" t="s">
        <v>433</v>
      </c>
      <c r="I11" s="5" t="s">
        <v>432</v>
      </c>
      <c r="J11" t="s">
        <v>433</v>
      </c>
    </row>
    <row r="12" spans="1:10" x14ac:dyDescent="0.25">
      <c r="A12">
        <v>10</v>
      </c>
      <c r="B12" t="str">
        <f>IF(Vértices!C11="","",A12)</f>
        <v/>
      </c>
      <c r="C12" t="str">
        <f>Codigo!R12</f>
        <v/>
      </c>
      <c r="D12">
        <f>Codigo!S12</f>
        <v>0</v>
      </c>
      <c r="E12" t="str">
        <f>IF(Codigo!T12="","",-Codigo!T12)</f>
        <v/>
      </c>
      <c r="G12" s="5"/>
      <c r="I12" s="5"/>
    </row>
    <row r="13" spans="1:10" x14ac:dyDescent="0.25">
      <c r="A13">
        <v>11</v>
      </c>
      <c r="B13" t="str">
        <f>IF(Vértices!C12="","",A13)</f>
        <v/>
      </c>
      <c r="C13" t="str">
        <f>Codigo!R13</f>
        <v/>
      </c>
      <c r="D13" t="str">
        <f>Codigo!S13</f>
        <v/>
      </c>
      <c r="E13" t="str">
        <f>IF(Codigo!T13="","",-Codigo!T13)</f>
        <v/>
      </c>
      <c r="G13" s="5"/>
      <c r="I13" s="5"/>
    </row>
    <row r="14" spans="1:10" x14ac:dyDescent="0.25">
      <c r="A14">
        <v>12</v>
      </c>
      <c r="B14" t="str">
        <f>IF(Vértices!C13="","",A14)</f>
        <v/>
      </c>
      <c r="C14" t="str">
        <f>Codigo!R14</f>
        <v/>
      </c>
      <c r="D14" t="str">
        <f>Codigo!S14</f>
        <v/>
      </c>
      <c r="E14" t="str">
        <f>IF(Codigo!T14="","",-Codigo!T14)</f>
        <v/>
      </c>
    </row>
    <row r="15" spans="1:10" x14ac:dyDescent="0.25">
      <c r="A15">
        <v>13</v>
      </c>
      <c r="B15" t="str">
        <f>IF(Vértices!C14="","",A15)</f>
        <v/>
      </c>
      <c r="C15" t="str">
        <f>Codigo!R15</f>
        <v/>
      </c>
      <c r="D15" t="str">
        <f>Codigo!S15</f>
        <v/>
      </c>
      <c r="E15" t="str">
        <f>IF(Codigo!T15="","",-Codigo!T15)</f>
        <v/>
      </c>
    </row>
    <row r="16" spans="1:10" x14ac:dyDescent="0.25">
      <c r="A16">
        <v>14</v>
      </c>
      <c r="B16" t="str">
        <f>IF(Vértices!C15="","",A16)</f>
        <v/>
      </c>
      <c r="C16" t="str">
        <f>Codigo!R16</f>
        <v/>
      </c>
      <c r="D16" t="str">
        <f>Codigo!S16</f>
        <v/>
      </c>
      <c r="E16" t="str">
        <f>IF(Codigo!T16="","",-Codigo!T16)</f>
        <v/>
      </c>
    </row>
    <row r="17" spans="1:5" x14ac:dyDescent="0.25">
      <c r="A17">
        <v>15</v>
      </c>
      <c r="B17" t="str">
        <f>IF(Vértices!C16="","",A17)</f>
        <v/>
      </c>
      <c r="C17" t="str">
        <f>Codigo!R17</f>
        <v/>
      </c>
      <c r="D17" t="str">
        <f>Codigo!S17</f>
        <v/>
      </c>
      <c r="E17" t="str">
        <f>IF(Codigo!T17="","",-Codigo!T17)</f>
        <v/>
      </c>
    </row>
    <row r="18" spans="1:5" x14ac:dyDescent="0.25">
      <c r="A18">
        <v>16</v>
      </c>
      <c r="B18" t="str">
        <f>IF(Vértices!C17="","",A18)</f>
        <v/>
      </c>
      <c r="C18" t="str">
        <f>Codigo!R18</f>
        <v/>
      </c>
      <c r="D18" t="str">
        <f>Codigo!S18</f>
        <v/>
      </c>
      <c r="E18" t="str">
        <f>IF(Codigo!T18="","",-Codigo!T18)</f>
        <v/>
      </c>
    </row>
    <row r="19" spans="1:5" x14ac:dyDescent="0.25">
      <c r="A19">
        <v>17</v>
      </c>
      <c r="B19" t="str">
        <f>IF(Vértices!C18="","",A19)</f>
        <v/>
      </c>
      <c r="C19" t="str">
        <f>Codigo!R19</f>
        <v/>
      </c>
      <c r="D19" t="str">
        <f>Codigo!S19</f>
        <v/>
      </c>
      <c r="E19" t="str">
        <f>IF(Codigo!T19="","",-Codigo!T19)</f>
        <v/>
      </c>
    </row>
    <row r="20" spans="1:5" x14ac:dyDescent="0.25">
      <c r="A20">
        <v>18</v>
      </c>
      <c r="B20" t="str">
        <f>IF(Vértices!C19="","",A20)</f>
        <v/>
      </c>
      <c r="C20" t="str">
        <f>Codigo!R20</f>
        <v/>
      </c>
      <c r="D20" t="str">
        <f>Codigo!S20</f>
        <v/>
      </c>
      <c r="E20" t="str">
        <f>IF(Codigo!T20="","",-Codigo!T20)</f>
        <v/>
      </c>
    </row>
    <row r="21" spans="1:5" x14ac:dyDescent="0.25">
      <c r="A21">
        <v>19</v>
      </c>
      <c r="B21" t="str">
        <f>IF(Vértices!C20="","",A21)</f>
        <v/>
      </c>
      <c r="C21" t="str">
        <f>Codigo!R21</f>
        <v/>
      </c>
      <c r="D21" t="str">
        <f>Codigo!S21</f>
        <v/>
      </c>
      <c r="E21" t="str">
        <f>IF(Codigo!T21="","",-Codigo!T21)</f>
        <v/>
      </c>
    </row>
    <row r="22" spans="1:5" x14ac:dyDescent="0.25">
      <c r="A22">
        <v>20</v>
      </c>
      <c r="B22" t="str">
        <f>IF(Vértices!C21="","",A22)</f>
        <v/>
      </c>
      <c r="C22" t="str">
        <f>Codigo!R22</f>
        <v/>
      </c>
      <c r="D22" t="str">
        <f>Codigo!S22</f>
        <v/>
      </c>
      <c r="E22" t="str">
        <f>IF(Codigo!T22="","",-Codigo!T22)</f>
        <v/>
      </c>
    </row>
    <row r="23" spans="1:5" x14ac:dyDescent="0.25">
      <c r="A23">
        <v>21</v>
      </c>
      <c r="B23" t="str">
        <f>IF(Vértices!C22="","",A23)</f>
        <v/>
      </c>
      <c r="C23" t="str">
        <f>Codigo!R23</f>
        <v/>
      </c>
      <c r="D23" t="str">
        <f>Codigo!S23</f>
        <v/>
      </c>
      <c r="E23" t="str">
        <f>IF(Codigo!T23="","",-Codigo!T23)</f>
        <v/>
      </c>
    </row>
    <row r="24" spans="1:5" x14ac:dyDescent="0.25">
      <c r="A24">
        <v>22</v>
      </c>
      <c r="B24" t="str">
        <f>IF(Vértices!C23="","",A24)</f>
        <v/>
      </c>
      <c r="C24" t="str">
        <f>Codigo!R24</f>
        <v/>
      </c>
      <c r="D24" t="str">
        <f>Codigo!S24</f>
        <v/>
      </c>
      <c r="E24" t="str">
        <f>IF(Codigo!T24="","",-Codigo!T24)</f>
        <v/>
      </c>
    </row>
    <row r="25" spans="1:5" x14ac:dyDescent="0.25">
      <c r="A25">
        <v>23</v>
      </c>
      <c r="B25" t="str">
        <f>IF(Vértices!C24="","",A25)</f>
        <v/>
      </c>
      <c r="C25" t="str">
        <f>Codigo!R25</f>
        <v/>
      </c>
      <c r="D25" t="str">
        <f>Codigo!S25</f>
        <v/>
      </c>
      <c r="E25" t="str">
        <f>IF(Codigo!T25="","",-Codigo!T25)</f>
        <v/>
      </c>
    </row>
    <row r="26" spans="1:5" x14ac:dyDescent="0.25">
      <c r="A26">
        <v>24</v>
      </c>
      <c r="B26" t="str">
        <f>IF(Vértices!C25="","",A26)</f>
        <v/>
      </c>
      <c r="C26" t="str">
        <f>Codigo!R26</f>
        <v/>
      </c>
      <c r="D26" t="str">
        <f>Codigo!S26</f>
        <v/>
      </c>
      <c r="E26" t="str">
        <f>IF(Codigo!T26="","",-Codigo!T26)</f>
        <v/>
      </c>
    </row>
    <row r="27" spans="1:5" x14ac:dyDescent="0.25">
      <c r="A27">
        <v>25</v>
      </c>
      <c r="B27" t="str">
        <f>IF(Vértices!C26="","",A27)</f>
        <v/>
      </c>
      <c r="C27" t="str">
        <f>Codigo!R27</f>
        <v/>
      </c>
      <c r="D27" t="str">
        <f>Codigo!S27</f>
        <v/>
      </c>
      <c r="E27" t="str">
        <f>IF(Codigo!T27="","",-Codigo!T27)</f>
        <v/>
      </c>
    </row>
    <row r="28" spans="1:5" x14ac:dyDescent="0.25">
      <c r="A28">
        <v>26</v>
      </c>
      <c r="B28" t="str">
        <f>IF(Vértices!C27="","",A28)</f>
        <v/>
      </c>
      <c r="C28" t="str">
        <f>Codigo!R28</f>
        <v/>
      </c>
      <c r="D28" t="str">
        <f>Codigo!S28</f>
        <v/>
      </c>
      <c r="E28" t="str">
        <f>IF(Codigo!T28="","",-Codigo!T28)</f>
        <v/>
      </c>
    </row>
    <row r="29" spans="1:5" x14ac:dyDescent="0.25">
      <c r="A29">
        <v>27</v>
      </c>
      <c r="B29" t="str">
        <f>IF(Vértices!C28="","",A29)</f>
        <v/>
      </c>
      <c r="C29" t="str">
        <f>Codigo!R29</f>
        <v/>
      </c>
      <c r="D29" t="str">
        <f>Codigo!S29</f>
        <v/>
      </c>
      <c r="E29" t="str">
        <f>IF(Codigo!T29="","",-Codigo!T29)</f>
        <v/>
      </c>
    </row>
    <row r="30" spans="1:5" x14ac:dyDescent="0.25">
      <c r="A30">
        <v>28</v>
      </c>
      <c r="B30" t="str">
        <f>IF(Vértices!C29="","",A30)</f>
        <v/>
      </c>
      <c r="C30" t="str">
        <f>Codigo!R30</f>
        <v/>
      </c>
      <c r="D30" t="str">
        <f>Codigo!S30</f>
        <v/>
      </c>
      <c r="E30" t="str">
        <f>IF(Codigo!T30="","",-Codigo!T30)</f>
        <v/>
      </c>
    </row>
    <row r="31" spans="1:5" x14ac:dyDescent="0.25">
      <c r="A31">
        <v>29</v>
      </c>
      <c r="B31" t="str">
        <f>IF(Vértices!C30="","",A31)</f>
        <v/>
      </c>
      <c r="C31" t="str">
        <f>Codigo!R31</f>
        <v/>
      </c>
      <c r="D31" t="str">
        <f>Codigo!S31</f>
        <v/>
      </c>
      <c r="E31" t="str">
        <f>IF(Codigo!T31="","",-Codigo!T31)</f>
        <v/>
      </c>
    </row>
    <row r="32" spans="1:5" x14ac:dyDescent="0.25">
      <c r="A32">
        <v>30</v>
      </c>
      <c r="B32" t="str">
        <f>IF(Vértices!C31="","",A32)</f>
        <v/>
      </c>
      <c r="C32" t="str">
        <f>Codigo!R32</f>
        <v/>
      </c>
      <c r="D32" t="str">
        <f>Codigo!S32</f>
        <v/>
      </c>
      <c r="E32" t="str">
        <f>IF(Codigo!T32="","",-Codigo!T32)</f>
        <v/>
      </c>
    </row>
    <row r="33" spans="1:5" x14ac:dyDescent="0.25">
      <c r="A33">
        <v>31</v>
      </c>
      <c r="B33" t="str">
        <f>IF(Vértices!C32="","",A33)</f>
        <v/>
      </c>
      <c r="C33" t="str">
        <f>Codigo!R33</f>
        <v/>
      </c>
      <c r="D33" t="str">
        <f>Codigo!S33</f>
        <v/>
      </c>
      <c r="E33" t="str">
        <f>IF(Codigo!T33="","",-Codigo!T33)</f>
        <v/>
      </c>
    </row>
    <row r="34" spans="1:5" x14ac:dyDescent="0.25">
      <c r="A34">
        <v>32</v>
      </c>
      <c r="B34" t="str">
        <f>IF(Vértices!C33="","",A34)</f>
        <v/>
      </c>
      <c r="C34" t="str">
        <f>Codigo!R34</f>
        <v/>
      </c>
      <c r="D34" t="str">
        <f>Codigo!S34</f>
        <v/>
      </c>
      <c r="E34" t="str">
        <f>IF(Codigo!T34="","",-Codigo!T34)</f>
        <v/>
      </c>
    </row>
    <row r="35" spans="1:5" x14ac:dyDescent="0.25">
      <c r="A35">
        <v>33</v>
      </c>
      <c r="B35" t="str">
        <f>IF(Vértices!C34="","",A35)</f>
        <v/>
      </c>
      <c r="C35" t="str">
        <f>Codigo!R35</f>
        <v/>
      </c>
      <c r="D35" t="str">
        <f>Codigo!S35</f>
        <v/>
      </c>
      <c r="E35" t="str">
        <f>IF(Codigo!T35="","",-Codigo!T35)</f>
        <v/>
      </c>
    </row>
    <row r="37" spans="1:5" x14ac:dyDescent="0.25">
      <c r="A37" t="s">
        <v>434</v>
      </c>
      <c r="C37">
        <f>Cálculo!G74</f>
        <v>-1.1021740846744774</v>
      </c>
      <c r="E37">
        <f>Cálculo!H74</f>
        <v>1.0991023827521917E-4</v>
      </c>
    </row>
    <row r="38" spans="1:5" x14ac:dyDescent="0.25">
      <c r="A38" t="s">
        <v>435</v>
      </c>
      <c r="C38">
        <f>Cálculo!G75</f>
        <v>-0.92724326333539775</v>
      </c>
      <c r="E38">
        <f>Cálculo!H75</f>
        <v>0.53543827972218183</v>
      </c>
    </row>
    <row r="39" spans="1:5" x14ac:dyDescent="0.25">
      <c r="A39" t="s">
        <v>436</v>
      </c>
      <c r="C39">
        <f>Cálculo!G76</f>
        <v>0</v>
      </c>
      <c r="E39">
        <f>Cálculo!H76</f>
        <v>1.1960847611330361</v>
      </c>
    </row>
  </sheetData>
  <mergeCells count="1">
    <mergeCell ref="F1:J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utoCAD">
                <anchor moveWithCells="1" sizeWithCells="1">
                  <from>
                    <xdr:col>12</xdr:col>
                    <xdr:colOff>19050</xdr:colOff>
                    <xdr:row>0</xdr:row>
                    <xdr:rowOff>9525</xdr:rowOff>
                  </from>
                  <to>
                    <xdr:col>12</xdr:col>
                    <xdr:colOff>781050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9B3FB-07FC-44F6-A514-CA27B0D1C266}">
  <sheetPr codeName="Hoja1"/>
  <dimension ref="A1:N46"/>
  <sheetViews>
    <sheetView workbookViewId="0"/>
  </sheetViews>
  <sheetFormatPr baseColWidth="10" defaultColWidth="11.42578125" defaultRowHeight="15" x14ac:dyDescent="0.25"/>
  <cols>
    <col min="8" max="8" width="12.28515625" bestFit="1" customWidth="1"/>
    <col min="9" max="9" width="14.140625" bestFit="1" customWidth="1"/>
    <col min="10" max="10" width="11.42578125" customWidth="1"/>
    <col min="11" max="11" width="12.140625" customWidth="1"/>
  </cols>
  <sheetData>
    <row r="1" spans="7:14" x14ac:dyDescent="0.25">
      <c r="G1" s="24" t="s">
        <v>437</v>
      </c>
      <c r="H1" s="2" t="s">
        <v>435</v>
      </c>
      <c r="I1" s="202" t="str">
        <f>_xlfn.CONCAT("Esfuerzos a ",H1)</f>
        <v>Esfuerzos a 60°</v>
      </c>
      <c r="J1" t="str">
        <f>_xlfn.CONCAT("Esfuerzos promedio a ",H1)</f>
        <v>Esfuerzos promedio a 60°</v>
      </c>
    </row>
    <row r="2" spans="7:14" x14ac:dyDescent="0.25">
      <c r="G2" s="24"/>
      <c r="H2" s="53"/>
    </row>
    <row r="3" spans="7:14" x14ac:dyDescent="0.25">
      <c r="H3" s="54" t="s">
        <v>92</v>
      </c>
      <c r="I3" s="54" t="s">
        <v>93</v>
      </c>
    </row>
    <row r="4" spans="7:14" x14ac:dyDescent="0.25">
      <c r="G4" s="24" t="s">
        <v>438</v>
      </c>
      <c r="H4" s="55">
        <v>-1.7594977252930448</v>
      </c>
      <c r="I4" s="55">
        <v>-1.7611361398526242</v>
      </c>
      <c r="J4" s="202">
        <v>0</v>
      </c>
      <c r="K4" s="203">
        <f>H5-H4</f>
        <v>2.7280123652425914</v>
      </c>
    </row>
    <row r="5" spans="7:14" x14ac:dyDescent="0.25">
      <c r="G5" s="24" t="s">
        <v>439</v>
      </c>
      <c r="H5" s="55">
        <v>0.96851463994954656</v>
      </c>
      <c r="I5" s="55">
        <v>2.1379858541227463</v>
      </c>
      <c r="J5" s="202">
        <v>0</v>
      </c>
      <c r="K5" s="203">
        <f>ABS(I4)+ABS(I5)</f>
        <v>3.8991219939753705</v>
      </c>
    </row>
    <row r="6" spans="7:14" x14ac:dyDescent="0.25">
      <c r="H6">
        <f>(I4-I5)/(H4-H5)</f>
        <v>1.4292904400485138</v>
      </c>
      <c r="I6">
        <f>-H6*H4+I4</f>
        <v>0.75369713819583106</v>
      </c>
    </row>
    <row r="15" spans="7:14" x14ac:dyDescent="0.25">
      <c r="L15" s="204" t="s">
        <v>440</v>
      </c>
      <c r="M15" s="205">
        <f>MIN(D22:D42)</f>
        <v>-9.7926421031693209</v>
      </c>
      <c r="N15" s="1" t="s">
        <v>441</v>
      </c>
    </row>
    <row r="16" spans="7:14" x14ac:dyDescent="0.25">
      <c r="L16" s="204" t="s">
        <v>442</v>
      </c>
      <c r="M16" s="205">
        <f>MAX(D22:D42)</f>
        <v>-3.627201216232772</v>
      </c>
      <c r="N16" s="1" t="s">
        <v>441</v>
      </c>
    </row>
    <row r="17" spans="1:14" x14ac:dyDescent="0.25">
      <c r="L17" s="1"/>
      <c r="M17" s="83"/>
      <c r="N17" s="1"/>
    </row>
    <row r="18" spans="1:14" x14ac:dyDescent="0.25">
      <c r="M18" s="2"/>
    </row>
    <row r="19" spans="1:14" x14ac:dyDescent="0.25">
      <c r="M19" s="2"/>
    </row>
    <row r="20" spans="1:14" x14ac:dyDescent="0.25">
      <c r="M20" s="2"/>
    </row>
    <row r="21" spans="1:14" x14ac:dyDescent="0.25">
      <c r="B21" s="28">
        <f>B22</f>
        <v>-1.7594977252930448</v>
      </c>
      <c r="D21">
        <v>0</v>
      </c>
      <c r="E21" s="28">
        <v>0</v>
      </c>
      <c r="F21" s="28"/>
      <c r="M21" s="2"/>
    </row>
    <row r="22" spans="1:14" x14ac:dyDescent="0.25">
      <c r="A22">
        <v>1</v>
      </c>
      <c r="B22" s="28">
        <f>H4</f>
        <v>-1.7594977252930448</v>
      </c>
      <c r="C22" s="28">
        <f>$H$6*$B22+$I$6</f>
        <v>-1.7611361398526242</v>
      </c>
      <c r="D22" s="28">
        <f>IF($H$1="90°",((Cálculo!$F$95/Cálculo!$E$43)-(Cálculo!$D$95*(C22-Cálculo!$AF$5)/Cálculo!$AF$8)+(Cálculo!$E$95*(B22-Cálculo!$AF$4)/Cálculo!$AF$9))*-1,IF($H$1="60°",((Cálculo!$F$96/Cálculo!$E$43)-(Cálculo!$D$96*(C22-Cálculo!$AF$5)/Cálculo!$AF$8)+(Cálculo!$E$96*(B22-Cálculo!$AF$4)/Cálculo!$AF$9))*-1,((Cálculo!$F$97/Cálculo!$E$43)-(Cálculo!$D$97*(C22-Cálculo!$AF$5)/Cálculo!$AF$8)+(Cálculo!$E$97*(B22-Cálculo!$AF$4)/Cálculo!$AF$9))*-1))</f>
        <v>-9.7926421031693209</v>
      </c>
      <c r="E22" s="28">
        <f>($D$22+$D$42)/2</f>
        <v>-6.7099216597010463</v>
      </c>
      <c r="F22" s="28"/>
      <c r="M22" s="2"/>
    </row>
    <row r="23" spans="1:14" x14ac:dyDescent="0.25">
      <c r="A23">
        <v>2</v>
      </c>
      <c r="B23" s="28">
        <f>B22+($K$4/20)</f>
        <v>-1.6230971070309153</v>
      </c>
      <c r="C23" s="28">
        <f t="shared" ref="C23:C43" si="0">$H$6*$B23+$I$6</f>
        <v>-1.5661800401538555</v>
      </c>
      <c r="D23" s="28">
        <f>IF($H$1="90°",((Cálculo!$F$95/Cálculo!$E$43)-(Cálculo!$D$95*(C23-Cálculo!$AF$5)/Cálculo!$AF$8)+(Cálculo!$E$95*(B23-Cálculo!$AF$4)/Cálculo!$AF$9))*-1,IF($H$1="60°",((Cálculo!$F$96/Cálculo!$E$43)-(Cálculo!$D$96*(C23-Cálculo!$AF$5)/Cálculo!$AF$8)+(Cálculo!$E$96*(B23-Cálculo!$AF$4)/Cálculo!$AF$9))*-1,((Cálculo!$F$97/Cálculo!$E$43)-(Cálculo!$D$97*(C23-Cálculo!$AF$5)/Cálculo!$AF$8)+(Cálculo!$E$97*(B23-Cálculo!$AF$4)/Cálculo!$AF$9))*-1))</f>
        <v>-9.4843700588224937</v>
      </c>
      <c r="E23" s="28">
        <f t="shared" ref="E23:E42" si="1">($D$22+$D$42)/2</f>
        <v>-6.7099216597010463</v>
      </c>
      <c r="F23" s="28"/>
      <c r="M23" s="2"/>
    </row>
    <row r="24" spans="1:14" x14ac:dyDescent="0.25">
      <c r="A24">
        <v>3</v>
      </c>
      <c r="B24" s="28">
        <f t="shared" ref="B24:B39" si="2">B23+($K$4/20)</f>
        <v>-1.4866964887687857</v>
      </c>
      <c r="C24" s="28">
        <f t="shared" si="0"/>
        <v>-1.3712239404550868</v>
      </c>
      <c r="D24" s="28">
        <f>IF($H$1="90°",((Cálculo!$F$95/Cálculo!$E$43)-(Cálculo!$D$95*(C24-Cálculo!$AF$5)/Cálculo!$AF$8)+(Cálculo!$E$95*(B24-Cálculo!$AF$4)/Cálculo!$AF$9))*-1,IF($H$1="60°",((Cálculo!$F$96/Cálculo!$E$43)-(Cálculo!$D$96*(C24-Cálculo!$AF$5)/Cálculo!$AF$8)+(Cálculo!$E$96*(B24-Cálculo!$AF$4)/Cálculo!$AF$9))*-1,((Cálculo!$F$97/Cálculo!$E$43)-(Cálculo!$D$97*(C24-Cálculo!$AF$5)/Cálculo!$AF$8)+(Cálculo!$E$97*(B24-Cálculo!$AF$4)/Cálculo!$AF$9))*-1))</f>
        <v>-9.1760980144756665</v>
      </c>
      <c r="E24" s="28">
        <f t="shared" si="1"/>
        <v>-6.7099216597010463</v>
      </c>
      <c r="F24" s="28"/>
      <c r="M24" s="2"/>
    </row>
    <row r="25" spans="1:14" x14ac:dyDescent="0.25">
      <c r="A25">
        <v>4</v>
      </c>
      <c r="B25" s="28">
        <f t="shared" si="2"/>
        <v>-1.3502958705066561</v>
      </c>
      <c r="C25" s="28">
        <f t="shared" si="0"/>
        <v>-1.1762678407563185</v>
      </c>
      <c r="D25" s="28">
        <f>IF($H$1="90°",((Cálculo!$F$95/Cálculo!$E$43)-(Cálculo!$D$95*(C25-Cálculo!$AF$5)/Cálculo!$AF$8)+(Cálculo!$E$95*(B25-Cálculo!$AF$4)/Cálculo!$AF$9))*-1,IF($H$1="60°",((Cálculo!$F$96/Cálculo!$E$43)-(Cálculo!$D$96*(C25-Cálculo!$AF$5)/Cálculo!$AF$8)+(Cálculo!$E$96*(B25-Cálculo!$AF$4)/Cálculo!$AF$9))*-1,((Cálculo!$F$97/Cálculo!$E$43)-(Cálculo!$D$97*(C25-Cálculo!$AF$5)/Cálculo!$AF$8)+(Cálculo!$E$97*(B25-Cálculo!$AF$4)/Cálculo!$AF$9))*-1))</f>
        <v>-8.8678259701288393</v>
      </c>
      <c r="E25" s="28">
        <f t="shared" si="1"/>
        <v>-6.7099216597010463</v>
      </c>
      <c r="F25" s="28"/>
      <c r="M25" s="2"/>
    </row>
    <row r="26" spans="1:14" x14ac:dyDescent="0.25">
      <c r="A26">
        <v>5</v>
      </c>
      <c r="B26" s="28">
        <f t="shared" si="2"/>
        <v>-1.2138952522445265</v>
      </c>
      <c r="C26" s="28">
        <f t="shared" si="0"/>
        <v>-0.98131174105755004</v>
      </c>
      <c r="D26" s="28">
        <f>IF($H$1="90°",((Cálculo!$F$95/Cálculo!$E$43)-(Cálculo!$D$95*(C26-Cálculo!$AF$5)/Cálculo!$AF$8)+(Cálculo!$E$95*(B26-Cálculo!$AF$4)/Cálculo!$AF$9))*-1,IF($H$1="60°",((Cálculo!$F$96/Cálculo!$E$43)-(Cálculo!$D$96*(C26-Cálculo!$AF$5)/Cálculo!$AF$8)+(Cálculo!$E$96*(B26-Cálculo!$AF$4)/Cálculo!$AF$9))*-1,((Cálculo!$F$97/Cálculo!$E$43)-(Cálculo!$D$97*(C26-Cálculo!$AF$5)/Cálculo!$AF$8)+(Cálculo!$E$97*(B26-Cálculo!$AF$4)/Cálculo!$AF$9))*-1))</f>
        <v>-8.5595539257820121</v>
      </c>
      <c r="E26" s="28">
        <f t="shared" si="1"/>
        <v>-6.7099216597010463</v>
      </c>
      <c r="F26" s="28"/>
      <c r="M26" s="2"/>
    </row>
    <row r="27" spans="1:14" x14ac:dyDescent="0.25">
      <c r="A27">
        <v>6</v>
      </c>
      <c r="B27" s="28">
        <f t="shared" si="2"/>
        <v>-1.077494633982397</v>
      </c>
      <c r="C27" s="28">
        <f t="shared" si="0"/>
        <v>-0.78635564135878133</v>
      </c>
      <c r="D27" s="28">
        <f>IF($H$1="90°",((Cálculo!$F$95/Cálculo!$E$43)-(Cálculo!$D$95*(C27-Cálculo!$AF$5)/Cálculo!$AF$8)+(Cálculo!$E$95*(B27-Cálculo!$AF$4)/Cálculo!$AF$9))*-1,IF($H$1="60°",((Cálculo!$F$96/Cálculo!$E$43)-(Cálculo!$D$96*(C27-Cálculo!$AF$5)/Cálculo!$AF$8)+(Cálculo!$E$96*(B27-Cálculo!$AF$4)/Cálculo!$AF$9))*-1,((Cálculo!$F$97/Cálculo!$E$43)-(Cálculo!$D$97*(C27-Cálculo!$AF$5)/Cálculo!$AF$8)+(Cálculo!$E$97*(B27-Cálculo!$AF$4)/Cálculo!$AF$9))*-1))</f>
        <v>-8.2512818814351832</v>
      </c>
      <c r="E27" s="28">
        <f t="shared" si="1"/>
        <v>-6.7099216597010463</v>
      </c>
      <c r="F27" s="28"/>
      <c r="M27" s="2"/>
    </row>
    <row r="28" spans="1:14" x14ac:dyDescent="0.25">
      <c r="A28">
        <v>7</v>
      </c>
      <c r="B28" s="28">
        <f t="shared" si="2"/>
        <v>-0.94109401572026741</v>
      </c>
      <c r="C28" s="28">
        <f t="shared" si="0"/>
        <v>-0.59139954166001285</v>
      </c>
      <c r="D28" s="28">
        <f>IF($H$1="90°",((Cálculo!$F$95/Cálculo!$E$43)-(Cálculo!$D$95*(C28-Cálculo!$AF$5)/Cálculo!$AF$8)+(Cálculo!$E$95*(B28-Cálculo!$AF$4)/Cálculo!$AF$9))*-1,IF($H$1="60°",((Cálculo!$F$96/Cálculo!$E$43)-(Cálculo!$D$96*(C28-Cálculo!$AF$5)/Cálculo!$AF$8)+(Cálculo!$E$96*(B28-Cálculo!$AF$4)/Cálculo!$AF$9))*-1,((Cálculo!$F$97/Cálculo!$E$43)-(Cálculo!$D$97*(C28-Cálculo!$AF$5)/Cálculo!$AF$8)+(Cálculo!$E$97*(B28-Cálculo!$AF$4)/Cálculo!$AF$9))*-1))</f>
        <v>-7.943009837088356</v>
      </c>
      <c r="E28" s="28">
        <f t="shared" si="1"/>
        <v>-6.7099216597010463</v>
      </c>
      <c r="F28" s="28"/>
    </row>
    <row r="29" spans="1:14" x14ac:dyDescent="0.25">
      <c r="A29">
        <v>8</v>
      </c>
      <c r="B29" s="28">
        <f t="shared" si="2"/>
        <v>-0.80469339745813784</v>
      </c>
      <c r="C29" s="28">
        <f t="shared" si="0"/>
        <v>-0.39644344196124437</v>
      </c>
      <c r="D29" s="28">
        <f>IF($H$1="90°",((Cálculo!$F$95/Cálculo!$E$43)-(Cálculo!$D$95*(C29-Cálculo!$AF$5)/Cálculo!$AF$8)+(Cálculo!$E$95*(B29-Cálculo!$AF$4)/Cálculo!$AF$9))*-1,IF($H$1="60°",((Cálculo!$F$96/Cálculo!$E$43)-(Cálculo!$D$96*(C29-Cálculo!$AF$5)/Cálculo!$AF$8)+(Cálculo!$E$96*(B29-Cálculo!$AF$4)/Cálculo!$AF$9))*-1,((Cálculo!$F$97/Cálculo!$E$43)-(Cálculo!$D$97*(C29-Cálculo!$AF$5)/Cálculo!$AF$8)+(Cálculo!$E$97*(B29-Cálculo!$AF$4)/Cálculo!$AF$9))*-1))</f>
        <v>-7.6347377927415288</v>
      </c>
      <c r="E29" s="28">
        <f t="shared" si="1"/>
        <v>-6.7099216597010463</v>
      </c>
      <c r="F29" s="28"/>
    </row>
    <row r="30" spans="1:14" x14ac:dyDescent="0.25">
      <c r="A30">
        <v>9</v>
      </c>
      <c r="B30" s="28">
        <f t="shared" si="2"/>
        <v>-0.66829277919600827</v>
      </c>
      <c r="C30" s="28">
        <f t="shared" si="0"/>
        <v>-0.20148734226247589</v>
      </c>
      <c r="D30" s="28">
        <f>IF($H$1="90°",((Cálculo!$F$95/Cálculo!$E$43)-(Cálculo!$D$95*(C30-Cálculo!$AF$5)/Cálculo!$AF$8)+(Cálculo!$E$95*(B30-Cálculo!$AF$4)/Cálculo!$AF$9))*-1,IF($H$1="60°",((Cálculo!$F$96/Cálculo!$E$43)-(Cálculo!$D$96*(C30-Cálculo!$AF$5)/Cálculo!$AF$8)+(Cálculo!$E$96*(B30-Cálculo!$AF$4)/Cálculo!$AF$9))*-1,((Cálculo!$F$97/Cálculo!$E$43)-(Cálculo!$D$97*(C30-Cálculo!$AF$5)/Cálculo!$AF$8)+(Cálculo!$E$97*(B30-Cálculo!$AF$4)/Cálculo!$AF$9))*-1))</f>
        <v>-7.3264657483947015</v>
      </c>
      <c r="E30" s="28">
        <f t="shared" si="1"/>
        <v>-6.7099216597010463</v>
      </c>
      <c r="F30" s="28"/>
      <c r="L30" s="204" t="s">
        <v>443</v>
      </c>
      <c r="M30" s="205">
        <f>E22</f>
        <v>-6.7099216597010463</v>
      </c>
      <c r="N30" s="1" t="s">
        <v>441</v>
      </c>
    </row>
    <row r="31" spans="1:14" x14ac:dyDescent="0.25">
      <c r="A31">
        <v>10</v>
      </c>
      <c r="B31" s="28">
        <f t="shared" si="2"/>
        <v>-0.5318921609338787</v>
      </c>
      <c r="C31" s="28">
        <f t="shared" si="0"/>
        <v>-6.5312425637072957E-3</v>
      </c>
      <c r="D31" s="28">
        <f>IF($H$1="90°",((Cálculo!$F$95/Cálculo!$E$43)-(Cálculo!$D$95*(C31-Cálculo!$AF$5)/Cálculo!$AF$8)+(Cálculo!$E$95*(B31-Cálculo!$AF$4)/Cálculo!$AF$9))*-1,IF($H$1="60°",((Cálculo!$F$96/Cálculo!$E$43)-(Cálculo!$D$96*(C31-Cálculo!$AF$5)/Cálculo!$AF$8)+(Cálculo!$E$96*(B31-Cálculo!$AF$4)/Cálculo!$AF$9))*-1,((Cálculo!$F$97/Cálculo!$E$43)-(Cálculo!$D$97*(C31-Cálculo!$AF$5)/Cálculo!$AF$8)+(Cálculo!$E$97*(B31-Cálculo!$AF$4)/Cálculo!$AF$9))*-1))</f>
        <v>-7.0181937040478735</v>
      </c>
      <c r="E31" s="28">
        <f t="shared" si="1"/>
        <v>-6.7099216597010463</v>
      </c>
      <c r="F31" s="28"/>
    </row>
    <row r="32" spans="1:14" x14ac:dyDescent="0.25">
      <c r="A32">
        <v>11</v>
      </c>
      <c r="B32" s="28">
        <f t="shared" si="2"/>
        <v>-0.39549154267174913</v>
      </c>
      <c r="C32" s="28">
        <f t="shared" si="0"/>
        <v>0.18842485713506119</v>
      </c>
      <c r="D32" s="28">
        <f>IF($H$1="90°",((Cálculo!$F$95/Cálculo!$E$43)-(Cálculo!$D$95*(C32-Cálculo!$AF$5)/Cálculo!$AF$8)+(Cálculo!$E$95*(B32-Cálculo!$AF$4)/Cálculo!$AF$9))*-1,IF($H$1="60°",((Cálculo!$F$96/Cálculo!$E$43)-(Cálculo!$D$96*(C32-Cálculo!$AF$5)/Cálculo!$AF$8)+(Cálculo!$E$96*(B32-Cálculo!$AF$4)/Cálculo!$AF$9))*-1,((Cálculo!$F$97/Cálculo!$E$43)-(Cálculo!$D$97*(C32-Cálculo!$AF$5)/Cálculo!$AF$8)+(Cálculo!$E$97*(B32-Cálculo!$AF$4)/Cálculo!$AF$9))*-1))</f>
        <v>-6.7099216597010463</v>
      </c>
      <c r="E32" s="28">
        <f t="shared" si="1"/>
        <v>-6.7099216597010463</v>
      </c>
      <c r="F32" s="28"/>
    </row>
    <row r="33" spans="1:6" x14ac:dyDescent="0.25">
      <c r="A33">
        <v>12</v>
      </c>
      <c r="B33" s="28">
        <f t="shared" si="2"/>
        <v>-0.25909092440961956</v>
      </c>
      <c r="C33" s="28">
        <f t="shared" si="0"/>
        <v>0.38338095683382972</v>
      </c>
      <c r="D33" s="28">
        <f>IF($H$1="90°",((Cálculo!$F$95/Cálculo!$E$43)-(Cálculo!$D$95*(C33-Cálculo!$AF$5)/Cálculo!$AF$8)+(Cálculo!$E$95*(B33-Cálculo!$AF$4)/Cálculo!$AF$9))*-1,IF($H$1="60°",((Cálculo!$F$96/Cálculo!$E$43)-(Cálculo!$D$96*(C33-Cálculo!$AF$5)/Cálculo!$AF$8)+(Cálculo!$E$96*(B33-Cálculo!$AF$4)/Cálculo!$AF$9))*-1,((Cálculo!$F$97/Cálculo!$E$43)-(Cálculo!$D$97*(C33-Cálculo!$AF$5)/Cálculo!$AF$8)+(Cálculo!$E$97*(B33-Cálculo!$AF$4)/Cálculo!$AF$9))*-1))</f>
        <v>-6.4016496153542191</v>
      </c>
      <c r="E33" s="28">
        <f t="shared" si="1"/>
        <v>-6.7099216597010463</v>
      </c>
      <c r="F33" s="28"/>
    </row>
    <row r="34" spans="1:6" x14ac:dyDescent="0.25">
      <c r="A34">
        <v>13</v>
      </c>
      <c r="B34" s="28">
        <f t="shared" si="2"/>
        <v>-0.12269030614748999</v>
      </c>
      <c r="C34" s="28">
        <f t="shared" si="0"/>
        <v>0.57833705653259826</v>
      </c>
      <c r="D34" s="28">
        <f>IF($H$1="90°",((Cálculo!$F$95/Cálculo!$E$43)-(Cálculo!$D$95*(C34-Cálculo!$AF$5)/Cálculo!$AF$8)+(Cálculo!$E$95*(B34-Cálculo!$AF$4)/Cálculo!$AF$9))*-1,IF($H$1="60°",((Cálculo!$F$96/Cálculo!$E$43)-(Cálculo!$D$96*(C34-Cálculo!$AF$5)/Cálculo!$AF$8)+(Cálculo!$E$96*(B34-Cálculo!$AF$4)/Cálculo!$AF$9))*-1,((Cálculo!$F$97/Cálculo!$E$43)-(Cálculo!$D$97*(C34-Cálculo!$AF$5)/Cálculo!$AF$8)+(Cálculo!$E$97*(B34-Cálculo!$AF$4)/Cálculo!$AF$9))*-1))</f>
        <v>-6.0933775710073919</v>
      </c>
      <c r="E34" s="28">
        <f t="shared" si="1"/>
        <v>-6.7099216597010463</v>
      </c>
      <c r="F34" s="28"/>
    </row>
    <row r="35" spans="1:6" x14ac:dyDescent="0.25">
      <c r="A35">
        <v>14</v>
      </c>
      <c r="B35" s="28">
        <f t="shared" si="2"/>
        <v>1.3710312114639578E-2</v>
      </c>
      <c r="C35" s="28">
        <f t="shared" si="0"/>
        <v>0.77329315623136674</v>
      </c>
      <c r="D35" s="28">
        <f>IF($H$1="90°",((Cálculo!$F$95/Cálculo!$E$43)-(Cálculo!$D$95*(C35-Cálculo!$AF$5)/Cálculo!$AF$8)+(Cálculo!$E$95*(B35-Cálculo!$AF$4)/Cálculo!$AF$9))*-1,IF($H$1="60°",((Cálculo!$F$96/Cálculo!$E$43)-(Cálculo!$D$96*(C35-Cálculo!$AF$5)/Cálculo!$AF$8)+(Cálculo!$E$96*(B35-Cálculo!$AF$4)/Cálculo!$AF$9))*-1,((Cálculo!$F$97/Cálculo!$E$43)-(Cálculo!$D$97*(C35-Cálculo!$AF$5)/Cálculo!$AF$8)+(Cálculo!$E$97*(B35-Cálculo!$AF$4)/Cálculo!$AF$9))*-1))</f>
        <v>-5.7851055266605638</v>
      </c>
      <c r="E35" s="28">
        <f t="shared" si="1"/>
        <v>-6.7099216597010463</v>
      </c>
      <c r="F35" s="28"/>
    </row>
    <row r="36" spans="1:6" x14ac:dyDescent="0.25">
      <c r="A36">
        <v>15</v>
      </c>
      <c r="B36" s="28">
        <f t="shared" si="2"/>
        <v>0.15011093037676915</v>
      </c>
      <c r="C36" s="28">
        <f t="shared" si="0"/>
        <v>0.96824925593013522</v>
      </c>
      <c r="D36" s="28">
        <f>IF($H$1="90°",((Cálculo!$F$95/Cálculo!$E$43)-(Cálculo!$D$95*(C36-Cálculo!$AF$5)/Cálculo!$AF$8)+(Cálculo!$E$95*(B36-Cálculo!$AF$4)/Cálculo!$AF$9))*-1,IF($H$1="60°",((Cálculo!$F$96/Cálculo!$E$43)-(Cálculo!$D$96*(C36-Cálculo!$AF$5)/Cálculo!$AF$8)+(Cálculo!$E$96*(B36-Cálculo!$AF$4)/Cálculo!$AF$9))*-1,((Cálculo!$F$97/Cálculo!$E$43)-(Cálculo!$D$97*(C36-Cálculo!$AF$5)/Cálculo!$AF$8)+(Cálculo!$E$97*(B36-Cálculo!$AF$4)/Cálculo!$AF$9))*-1))</f>
        <v>-5.4768334823137366</v>
      </c>
      <c r="E36" s="28">
        <f t="shared" si="1"/>
        <v>-6.7099216597010463</v>
      </c>
      <c r="F36" s="28"/>
    </row>
    <row r="37" spans="1:6" x14ac:dyDescent="0.25">
      <c r="A37">
        <v>16</v>
      </c>
      <c r="B37" s="28">
        <f t="shared" si="2"/>
        <v>0.28651154863889872</v>
      </c>
      <c r="C37" s="28">
        <f t="shared" si="0"/>
        <v>1.1632053556289037</v>
      </c>
      <c r="D37" s="28">
        <f>IF($H$1="90°",((Cálculo!$F$95/Cálculo!$E$43)-(Cálculo!$D$95*(C37-Cálculo!$AF$5)/Cálculo!$AF$8)+(Cálculo!$E$95*(B37-Cálculo!$AF$4)/Cálculo!$AF$9))*-1,IF($H$1="60°",((Cálculo!$F$96/Cálculo!$E$43)-(Cálculo!$D$96*(C37-Cálculo!$AF$5)/Cálculo!$AF$8)+(Cálculo!$E$96*(B37-Cálculo!$AF$4)/Cálculo!$AF$9))*-1,((Cálculo!$F$97/Cálculo!$E$43)-(Cálculo!$D$97*(C37-Cálculo!$AF$5)/Cálculo!$AF$8)+(Cálculo!$E$97*(B37-Cálculo!$AF$4)/Cálculo!$AF$9))*-1))</f>
        <v>-5.1685614379669094</v>
      </c>
      <c r="E37" s="28">
        <f t="shared" si="1"/>
        <v>-6.7099216597010463</v>
      </c>
      <c r="F37" s="28"/>
    </row>
    <row r="38" spans="1:6" x14ac:dyDescent="0.25">
      <c r="A38">
        <v>17</v>
      </c>
      <c r="B38" s="28">
        <f t="shared" si="2"/>
        <v>0.42291216690102829</v>
      </c>
      <c r="C38" s="28">
        <f t="shared" si="0"/>
        <v>1.3581614553276724</v>
      </c>
      <c r="D38" s="28">
        <f>IF($H$1="90°",((Cálculo!$F$95/Cálculo!$E$43)-(Cálculo!$D$95*(C38-Cálculo!$AF$5)/Cálculo!$AF$8)+(Cálculo!$E$95*(B38-Cálculo!$AF$4)/Cálculo!$AF$9))*-1,IF($H$1="60°",((Cálculo!$F$96/Cálculo!$E$43)-(Cálculo!$D$96*(C38-Cálculo!$AF$5)/Cálculo!$AF$8)+(Cálculo!$E$96*(B38-Cálculo!$AF$4)/Cálculo!$AF$9))*-1,((Cálculo!$F$97/Cálculo!$E$43)-(Cálculo!$D$97*(C38-Cálculo!$AF$5)/Cálculo!$AF$8)+(Cálculo!$E$97*(B38-Cálculo!$AF$4)/Cálculo!$AF$9))*-1))</f>
        <v>-4.8602893936200822</v>
      </c>
      <c r="E38" s="28">
        <f t="shared" si="1"/>
        <v>-6.7099216597010463</v>
      </c>
      <c r="F38" s="28"/>
    </row>
    <row r="39" spans="1:6" x14ac:dyDescent="0.25">
      <c r="A39">
        <v>18</v>
      </c>
      <c r="B39" s="28">
        <f t="shared" si="2"/>
        <v>0.55931278516315786</v>
      </c>
      <c r="C39" s="28">
        <f t="shared" si="0"/>
        <v>1.5531175550264407</v>
      </c>
      <c r="D39" s="28">
        <f>IF($H$1="90°",((Cálculo!$F$95/Cálculo!$E$43)-(Cálculo!$D$95*(C39-Cálculo!$AF$5)/Cálculo!$AF$8)+(Cálculo!$E$95*(B39-Cálculo!$AF$4)/Cálculo!$AF$9))*-1,IF($H$1="60°",((Cálculo!$F$96/Cálculo!$E$43)-(Cálculo!$D$96*(C39-Cálculo!$AF$5)/Cálculo!$AF$8)+(Cálculo!$E$96*(B39-Cálculo!$AF$4)/Cálculo!$AF$9))*-1,((Cálculo!$F$97/Cálculo!$E$43)-(Cálculo!$D$97*(C39-Cálculo!$AF$5)/Cálculo!$AF$8)+(Cálculo!$E$97*(B39-Cálculo!$AF$4)/Cálculo!$AF$9))*-1))</f>
        <v>-4.552017349273255</v>
      </c>
      <c r="E39" s="28">
        <f t="shared" si="1"/>
        <v>-6.7099216597010463</v>
      </c>
      <c r="F39" s="28"/>
    </row>
    <row r="40" spans="1:6" x14ac:dyDescent="0.25">
      <c r="A40">
        <v>19</v>
      </c>
      <c r="B40" s="28">
        <f>B39+($K$4/20)</f>
        <v>0.69571340342528742</v>
      </c>
      <c r="C40" s="28">
        <f t="shared" si="0"/>
        <v>1.7480736547252094</v>
      </c>
      <c r="D40" s="28">
        <f>IF($H$1="90°",((Cálculo!$F$95/Cálculo!$E$43)-(Cálculo!$D$95*(C40-Cálculo!$AF$5)/Cálculo!$AF$8)+(Cálculo!$E$95*(B40-Cálculo!$AF$4)/Cálculo!$AF$9))*-1,IF($H$1="60°",((Cálculo!$F$96/Cálculo!$E$43)-(Cálculo!$D$96*(C40-Cálculo!$AF$5)/Cálculo!$AF$8)+(Cálculo!$E$96*(B40-Cálculo!$AF$4)/Cálculo!$AF$9))*-1,((Cálculo!$F$97/Cálculo!$E$43)-(Cálculo!$D$97*(C40-Cálculo!$AF$5)/Cálculo!$AF$8)+(Cálculo!$E$97*(B40-Cálculo!$AF$4)/Cálculo!$AF$9))*-1))</f>
        <v>-4.2437453049264269</v>
      </c>
      <c r="E40" s="28">
        <f t="shared" si="1"/>
        <v>-6.7099216597010463</v>
      </c>
      <c r="F40" s="28"/>
    </row>
    <row r="41" spans="1:6" x14ac:dyDescent="0.25">
      <c r="A41">
        <v>20</v>
      </c>
      <c r="B41" s="28">
        <f>B40+($K$4/20)</f>
        <v>0.83211402168741699</v>
      </c>
      <c r="C41" s="28">
        <f t="shared" si="0"/>
        <v>1.9430297544239779</v>
      </c>
      <c r="D41" s="28">
        <f>IF($H$1="90°",((Cálculo!$F$95/Cálculo!$E$43)-(Cálculo!$D$95*(C41-Cálculo!$AF$5)/Cálculo!$AF$8)+(Cálculo!$E$95*(B41-Cálculo!$AF$4)/Cálculo!$AF$9))*-1,IF($H$1="60°",((Cálculo!$F$96/Cálculo!$E$43)-(Cálculo!$D$96*(C41-Cálculo!$AF$5)/Cálculo!$AF$8)+(Cálculo!$E$96*(B41-Cálculo!$AF$4)/Cálculo!$AF$9))*-1,((Cálculo!$F$97/Cálculo!$E$43)-(Cálculo!$D$97*(C41-Cálculo!$AF$5)/Cálculo!$AF$8)+(Cálculo!$E$97*(B41-Cálculo!$AF$4)/Cálculo!$AF$9))*-1))</f>
        <v>-3.9354732605795988</v>
      </c>
      <c r="E41" s="28">
        <f t="shared" si="1"/>
        <v>-6.7099216597010463</v>
      </c>
      <c r="F41" s="28"/>
    </row>
    <row r="42" spans="1:6" x14ac:dyDescent="0.25">
      <c r="A42">
        <v>21</v>
      </c>
      <c r="B42" s="28">
        <f>B41+($K$4/20)</f>
        <v>0.96851463994954656</v>
      </c>
      <c r="C42" s="28">
        <f t="shared" si="0"/>
        <v>2.1379858541227463</v>
      </c>
      <c r="D42" s="28">
        <f>IF($H$1="90°",((Cálculo!$F$95/Cálculo!$E$43)-(Cálculo!$D$95*(C42-Cálculo!$AF$5)/Cálculo!$AF$8)+(Cálculo!$E$95*(B42-Cálculo!$AF$4)/Cálculo!$AF$9))*-1,IF($H$1="60°",((Cálculo!$F$96/Cálculo!$E$43)-(Cálculo!$D$96*(C42-Cálculo!$AF$5)/Cálculo!$AF$8)+(Cálculo!$E$96*(B42-Cálculo!$AF$4)/Cálculo!$AF$9))*-1,((Cálculo!$F$97/Cálculo!$E$43)-(Cálculo!$D$97*(C42-Cálculo!$AF$5)/Cálculo!$AF$8)+(Cálculo!$E$97*(B42-Cálculo!$AF$4)/Cálculo!$AF$9))*-1))</f>
        <v>-3.627201216232772</v>
      </c>
      <c r="E42" s="28">
        <f t="shared" si="1"/>
        <v>-6.7099216597010463</v>
      </c>
      <c r="F42" s="28"/>
    </row>
    <row r="43" spans="1:6" x14ac:dyDescent="0.25">
      <c r="A43">
        <v>22</v>
      </c>
      <c r="B43" s="28">
        <f>B42</f>
        <v>0.96851463994954656</v>
      </c>
      <c r="C43" s="28">
        <f t="shared" si="0"/>
        <v>2.1379858541227463</v>
      </c>
      <c r="D43" s="28">
        <f>D21</f>
        <v>0</v>
      </c>
      <c r="E43" s="28">
        <f>E21</f>
        <v>0</v>
      </c>
      <c r="F43" s="28"/>
    </row>
    <row r="44" spans="1:6" x14ac:dyDescent="0.25">
      <c r="A44">
        <v>23</v>
      </c>
      <c r="B44" s="28">
        <f>B21</f>
        <v>-1.7594977252930448</v>
      </c>
      <c r="C44" s="28"/>
      <c r="D44">
        <v>0</v>
      </c>
      <c r="E44" s="28">
        <v>0</v>
      </c>
      <c r="F44" s="28"/>
    </row>
    <row r="45" spans="1:6" x14ac:dyDescent="0.25">
      <c r="E45" s="28"/>
      <c r="F45" s="28"/>
    </row>
    <row r="46" spans="1:6" x14ac:dyDescent="0.25">
      <c r="E46" s="28"/>
      <c r="F46" s="28"/>
    </row>
  </sheetData>
  <dataValidations count="1">
    <dataValidation type="list" allowBlank="1" showInputMessage="1" showErrorMessage="1" sqref="H1" xr:uid="{2E2C622D-02EA-4F5D-A5FD-A12C4D61537C}">
      <formula1>"90°,60°,Normal"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3365-1FB4-4D15-9DC5-D8ED3B51D77F}">
  <sheetPr codeName="Hoja6"/>
  <dimension ref="A3:X107"/>
  <sheetViews>
    <sheetView workbookViewId="0"/>
  </sheetViews>
  <sheetFormatPr baseColWidth="10" defaultColWidth="11.42578125" defaultRowHeight="15" x14ac:dyDescent="0.25"/>
  <cols>
    <col min="7" max="7" width="14.140625" bestFit="1" customWidth="1"/>
    <col min="9" max="9" width="14.140625" bestFit="1" customWidth="1"/>
    <col min="11" max="11" width="14.140625" bestFit="1" customWidth="1"/>
  </cols>
  <sheetData>
    <row r="3" spans="1:19" x14ac:dyDescent="0.25">
      <c r="A3" s="292" t="s">
        <v>444</v>
      </c>
      <c r="B3" s="292"/>
      <c r="C3" s="292"/>
      <c r="D3" s="292"/>
      <c r="E3" s="292"/>
      <c r="F3" s="292"/>
      <c r="G3" s="292"/>
      <c r="H3" s="292"/>
      <c r="I3" s="292"/>
      <c r="J3" s="292"/>
      <c r="K3" s="292"/>
      <c r="L3" s="292"/>
      <c r="M3" s="292"/>
      <c r="N3" s="292"/>
      <c r="O3" s="292"/>
      <c r="P3" s="292"/>
      <c r="Q3" s="292"/>
      <c r="R3" s="292"/>
      <c r="S3" s="292"/>
    </row>
    <row r="5" spans="1:19" x14ac:dyDescent="0.25">
      <c r="A5" s="31"/>
      <c r="B5" s="31"/>
      <c r="C5" s="31"/>
      <c r="D5" s="292" t="s">
        <v>445</v>
      </c>
      <c r="E5" s="292"/>
      <c r="F5" s="292"/>
      <c r="G5" s="292"/>
      <c r="H5" s="292"/>
      <c r="I5" s="292"/>
      <c r="J5" s="292"/>
      <c r="K5" s="292"/>
      <c r="L5" s="292"/>
    </row>
    <row r="6" spans="1:19" x14ac:dyDescent="0.25">
      <c r="A6" s="31"/>
      <c r="B6" s="31"/>
      <c r="C6" s="31"/>
      <c r="D6" s="31"/>
      <c r="E6" s="31"/>
      <c r="F6" s="31"/>
      <c r="G6" s="31"/>
      <c r="H6" s="292" t="s">
        <v>446</v>
      </c>
      <c r="I6" s="292"/>
      <c r="J6" s="292"/>
      <c r="K6" s="31"/>
      <c r="L6" s="31"/>
    </row>
    <row r="7" spans="1:19" x14ac:dyDescent="0.25">
      <c r="A7" s="292" t="s">
        <v>447</v>
      </c>
      <c r="B7" s="292"/>
      <c r="C7" s="292"/>
      <c r="D7" s="31" t="s">
        <v>448</v>
      </c>
      <c r="E7" s="31" t="s">
        <v>29</v>
      </c>
      <c r="F7" s="31" t="s">
        <v>449</v>
      </c>
      <c r="G7" s="31" t="s">
        <v>31</v>
      </c>
      <c r="H7" s="31" t="s">
        <v>32</v>
      </c>
      <c r="I7" s="31" t="s">
        <v>33</v>
      </c>
      <c r="J7" s="31" t="s">
        <v>450</v>
      </c>
      <c r="K7" s="31" t="s">
        <v>451</v>
      </c>
      <c r="L7" s="31" t="s">
        <v>33</v>
      </c>
    </row>
    <row r="8" spans="1:19" x14ac:dyDescent="0.25">
      <c r="A8" s="244" t="s">
        <v>452</v>
      </c>
      <c r="B8" s="244"/>
      <c r="C8" s="244"/>
      <c r="D8" s="32">
        <v>4.9000000000000004</v>
      </c>
      <c r="E8" s="33">
        <v>0</v>
      </c>
      <c r="F8" s="34">
        <v>240</v>
      </c>
      <c r="G8" s="35" t="s">
        <v>36</v>
      </c>
      <c r="H8" s="36">
        <v>-4.9000000000000004</v>
      </c>
      <c r="I8" s="36">
        <v>-50.52</v>
      </c>
      <c r="J8" s="37">
        <v>-2.63</v>
      </c>
      <c r="K8" s="30">
        <v>9</v>
      </c>
      <c r="L8" s="30">
        <f>ROUND((I8*1000)/K8,3)*-1</f>
        <v>5613.3329999999996</v>
      </c>
    </row>
    <row r="9" spans="1:19" x14ac:dyDescent="0.25">
      <c r="A9" s="244"/>
      <c r="B9" s="244"/>
      <c r="C9" s="244"/>
      <c r="D9" s="32">
        <v>4.9000000000000004</v>
      </c>
      <c r="E9" s="33">
        <v>0</v>
      </c>
      <c r="F9" s="34">
        <v>120</v>
      </c>
      <c r="G9" s="35" t="s">
        <v>37</v>
      </c>
      <c r="H9" s="36">
        <v>-5.94</v>
      </c>
      <c r="I9" s="36">
        <v>61.81</v>
      </c>
      <c r="J9" s="37">
        <v>2.99</v>
      </c>
      <c r="K9" s="30">
        <v>9</v>
      </c>
      <c r="L9" s="30">
        <f t="shared" ref="L9:L16" si="0">ROUND((I9*1000)/K9,3)*-1</f>
        <v>-6867.7780000000002</v>
      </c>
    </row>
    <row r="10" spans="1:19" x14ac:dyDescent="0.25">
      <c r="A10" s="244"/>
      <c r="B10" s="244"/>
      <c r="C10" s="244"/>
      <c r="D10" s="32">
        <v>4.9000000000000004</v>
      </c>
      <c r="E10" s="33">
        <v>0</v>
      </c>
      <c r="F10" s="34">
        <v>0</v>
      </c>
      <c r="G10" s="38">
        <v>1</v>
      </c>
      <c r="H10" s="36">
        <v>-0.5</v>
      </c>
      <c r="I10" s="36">
        <v>5.58</v>
      </c>
      <c r="J10" s="37">
        <v>-0.36</v>
      </c>
      <c r="K10" s="30">
        <v>9</v>
      </c>
      <c r="L10" s="30">
        <f t="shared" si="0"/>
        <v>-620</v>
      </c>
    </row>
    <row r="11" spans="1:19" x14ac:dyDescent="0.25">
      <c r="A11" s="244" t="s">
        <v>453</v>
      </c>
      <c r="B11" s="244"/>
      <c r="C11" s="244"/>
      <c r="D11" s="32">
        <v>4.9000000000000004</v>
      </c>
      <c r="E11" s="33">
        <v>0</v>
      </c>
      <c r="F11" s="34">
        <v>240</v>
      </c>
      <c r="G11" s="35" t="s">
        <v>36</v>
      </c>
      <c r="H11" s="36">
        <v>-5.43</v>
      </c>
      <c r="I11" s="36">
        <v>-57.71</v>
      </c>
      <c r="J11" s="37">
        <v>-3.13</v>
      </c>
      <c r="K11" s="30">
        <v>9</v>
      </c>
      <c r="L11" s="30">
        <f t="shared" si="0"/>
        <v>6412.2219999999998</v>
      </c>
    </row>
    <row r="12" spans="1:19" x14ac:dyDescent="0.25">
      <c r="A12" s="244"/>
      <c r="B12" s="244"/>
      <c r="C12" s="244"/>
      <c r="D12" s="32">
        <v>4.9000000000000004</v>
      </c>
      <c r="E12" s="33">
        <v>0</v>
      </c>
      <c r="F12" s="34">
        <v>120</v>
      </c>
      <c r="G12" s="35" t="s">
        <v>37</v>
      </c>
      <c r="H12" s="36">
        <v>-3.6</v>
      </c>
      <c r="I12" s="36">
        <v>37.299999999999997</v>
      </c>
      <c r="J12" s="37">
        <v>1.47</v>
      </c>
      <c r="K12" s="30">
        <v>9</v>
      </c>
      <c r="L12" s="30">
        <f t="shared" si="0"/>
        <v>-4144.4440000000004</v>
      </c>
    </row>
    <row r="13" spans="1:19" x14ac:dyDescent="0.25">
      <c r="A13" s="244"/>
      <c r="B13" s="244"/>
      <c r="C13" s="244"/>
      <c r="D13" s="32">
        <v>4.9000000000000004</v>
      </c>
      <c r="E13" s="33">
        <v>0</v>
      </c>
      <c r="F13" s="34">
        <v>0</v>
      </c>
      <c r="G13" s="38">
        <v>1</v>
      </c>
      <c r="H13" s="36">
        <v>-0.52</v>
      </c>
      <c r="I13" s="36">
        <v>37.28</v>
      </c>
      <c r="J13" s="37">
        <v>-3.85</v>
      </c>
      <c r="K13" s="30">
        <v>9</v>
      </c>
      <c r="L13" s="30">
        <f t="shared" si="0"/>
        <v>-4142.2219999999998</v>
      </c>
    </row>
    <row r="14" spans="1:19" x14ac:dyDescent="0.25">
      <c r="A14" s="244" t="s">
        <v>454</v>
      </c>
      <c r="B14" s="244"/>
      <c r="C14" s="244"/>
      <c r="D14" s="32">
        <v>4.9000000000000004</v>
      </c>
      <c r="E14" s="33">
        <v>0</v>
      </c>
      <c r="F14" s="34">
        <v>240</v>
      </c>
      <c r="G14" s="35" t="s">
        <v>36</v>
      </c>
      <c r="H14" s="36">
        <v>-2.72</v>
      </c>
      <c r="I14" s="36">
        <v>-29.02</v>
      </c>
      <c r="J14" s="37">
        <v>-2.04</v>
      </c>
      <c r="K14" s="30">
        <v>9</v>
      </c>
      <c r="L14" s="30">
        <f t="shared" si="0"/>
        <v>3224.444</v>
      </c>
    </row>
    <row r="15" spans="1:19" x14ac:dyDescent="0.25">
      <c r="A15" s="244"/>
      <c r="B15" s="244"/>
      <c r="C15" s="244"/>
      <c r="D15" s="32">
        <v>4.9000000000000004</v>
      </c>
      <c r="E15" s="33">
        <v>0</v>
      </c>
      <c r="F15" s="34">
        <v>120</v>
      </c>
      <c r="G15" s="35" t="s">
        <v>37</v>
      </c>
      <c r="H15" s="36">
        <v>2.77</v>
      </c>
      <c r="I15" s="36">
        <v>-29.09</v>
      </c>
      <c r="J15" s="37">
        <v>-2.0099999999999998</v>
      </c>
      <c r="K15" s="30">
        <v>9</v>
      </c>
      <c r="L15" s="30">
        <f t="shared" si="0"/>
        <v>3232.2220000000002</v>
      </c>
    </row>
    <row r="16" spans="1:19" x14ac:dyDescent="0.25">
      <c r="A16" s="244"/>
      <c r="B16" s="244"/>
      <c r="C16" s="244"/>
      <c r="D16" s="32">
        <v>4.9000000000000004</v>
      </c>
      <c r="E16" s="33">
        <v>0</v>
      </c>
      <c r="F16" s="34">
        <v>0</v>
      </c>
      <c r="G16" s="38">
        <v>1</v>
      </c>
      <c r="H16" s="36">
        <v>-0.05</v>
      </c>
      <c r="I16" s="36">
        <v>74.98</v>
      </c>
      <c r="J16" s="37">
        <v>-8.24</v>
      </c>
      <c r="K16" s="30">
        <v>9</v>
      </c>
      <c r="L16" s="30">
        <f t="shared" si="0"/>
        <v>-8331.1110000000008</v>
      </c>
    </row>
    <row r="18" spans="1:11" x14ac:dyDescent="0.25">
      <c r="B18" s="292" t="s">
        <v>455</v>
      </c>
      <c r="C18" s="292"/>
      <c r="D18" s="292"/>
      <c r="E18" s="292"/>
      <c r="F18" s="31"/>
      <c r="G18" s="292" t="s">
        <v>456</v>
      </c>
      <c r="H18" s="292"/>
      <c r="I18" s="292"/>
      <c r="J18" s="292"/>
      <c r="K18" s="292"/>
    </row>
    <row r="19" spans="1:11" x14ac:dyDescent="0.25">
      <c r="B19" s="31" t="s">
        <v>31</v>
      </c>
      <c r="C19" s="31" t="s">
        <v>92</v>
      </c>
      <c r="D19" s="31" t="s">
        <v>93</v>
      </c>
      <c r="E19" s="31" t="s">
        <v>457</v>
      </c>
      <c r="F19" s="31"/>
      <c r="G19" s="31" t="s">
        <v>452</v>
      </c>
      <c r="H19" s="31"/>
      <c r="I19" s="31" t="s">
        <v>453</v>
      </c>
      <c r="J19" s="31"/>
      <c r="K19" s="31" t="s">
        <v>454</v>
      </c>
    </row>
    <row r="20" spans="1:11" x14ac:dyDescent="0.25">
      <c r="A20">
        <v>1</v>
      </c>
      <c r="B20" s="30">
        <v>7</v>
      </c>
      <c r="C20" s="30">
        <v>-4.7789999999999999</v>
      </c>
      <c r="D20" s="30">
        <v>0</v>
      </c>
      <c r="E20" s="30">
        <v>2.2970000000000002</v>
      </c>
      <c r="G20" t="str">
        <f t="shared" ref="G20:G28" si="1">B20&amp;" "&amp;"FY "&amp;$L$8</f>
        <v>7 FY 5613.333</v>
      </c>
      <c r="I20" t="str">
        <f t="shared" ref="I20:I28" si="2">B20&amp;" "&amp;"FY "&amp;$L$11</f>
        <v>7 FY 6412.222</v>
      </c>
      <c r="K20" t="str">
        <f t="shared" ref="K20:K28" si="3">B20&amp;" "&amp;"FY "&amp;$L$14</f>
        <v>7 FY 3224.444</v>
      </c>
    </row>
    <row r="21" spans="1:11" x14ac:dyDescent="0.25">
      <c r="A21">
        <v>2</v>
      </c>
      <c r="B21" s="30">
        <v>8</v>
      </c>
      <c r="C21" s="30">
        <v>-4.3789999999999996</v>
      </c>
      <c r="D21" s="30">
        <v>0</v>
      </c>
      <c r="E21" s="30">
        <v>2.99</v>
      </c>
      <c r="G21" t="str">
        <f t="shared" si="1"/>
        <v>8 FY 5613.333</v>
      </c>
      <c r="I21" t="str">
        <f t="shared" si="2"/>
        <v>8 FY 6412.222</v>
      </c>
      <c r="K21" t="str">
        <f t="shared" si="3"/>
        <v>8 FY 3224.444</v>
      </c>
    </row>
    <row r="22" spans="1:11" x14ac:dyDescent="0.25">
      <c r="A22">
        <v>3</v>
      </c>
      <c r="B22" s="30">
        <v>9</v>
      </c>
      <c r="C22" s="30">
        <v>-3.6859999999999999</v>
      </c>
      <c r="D22" s="30">
        <v>0</v>
      </c>
      <c r="E22" s="30">
        <v>2.59</v>
      </c>
      <c r="G22" t="str">
        <f t="shared" si="1"/>
        <v>9 FY 5613.333</v>
      </c>
      <c r="I22" t="str">
        <f t="shared" si="2"/>
        <v>9 FY 6412.222</v>
      </c>
      <c r="K22" t="str">
        <f t="shared" si="3"/>
        <v>9 FY 3224.444</v>
      </c>
    </row>
    <row r="23" spans="1:11" x14ac:dyDescent="0.25">
      <c r="A23">
        <v>4</v>
      </c>
      <c r="B23" s="30">
        <v>10</v>
      </c>
      <c r="C23" s="30">
        <v>-4.0860000000000003</v>
      </c>
      <c r="D23" s="30">
        <v>0</v>
      </c>
      <c r="E23" s="30">
        <v>1.897</v>
      </c>
      <c r="G23" t="str">
        <f t="shared" si="1"/>
        <v>10 FY 5613.333</v>
      </c>
      <c r="I23" t="str">
        <f t="shared" si="2"/>
        <v>10 FY 6412.222</v>
      </c>
      <c r="K23" t="str">
        <f t="shared" si="3"/>
        <v>10 FY 3224.444</v>
      </c>
    </row>
    <row r="24" spans="1:11" x14ac:dyDescent="0.25">
      <c r="A24">
        <v>5</v>
      </c>
      <c r="B24" s="30">
        <v>19</v>
      </c>
      <c r="C24" s="30">
        <v>-4.5789999999999997</v>
      </c>
      <c r="D24" s="30">
        <v>0</v>
      </c>
      <c r="E24" s="30">
        <v>2.6435</v>
      </c>
      <c r="G24" t="str">
        <f t="shared" si="1"/>
        <v>19 FY 5613.333</v>
      </c>
      <c r="I24" t="str">
        <f t="shared" si="2"/>
        <v>19 FY 6412.222</v>
      </c>
      <c r="K24" t="str">
        <f t="shared" si="3"/>
        <v>19 FY 3224.444</v>
      </c>
    </row>
    <row r="25" spans="1:11" x14ac:dyDescent="0.25">
      <c r="A25">
        <v>6</v>
      </c>
      <c r="B25" s="30">
        <v>20</v>
      </c>
      <c r="C25" s="30">
        <v>-4.2324999999999999</v>
      </c>
      <c r="D25" s="30">
        <v>0</v>
      </c>
      <c r="E25" s="30">
        <v>2.4434999999999998</v>
      </c>
      <c r="G25" t="str">
        <f t="shared" si="1"/>
        <v>20 FY 5613.333</v>
      </c>
      <c r="I25" t="str">
        <f t="shared" si="2"/>
        <v>20 FY 6412.222</v>
      </c>
      <c r="K25" t="str">
        <f t="shared" si="3"/>
        <v>20 FY 3224.444</v>
      </c>
    </row>
    <row r="26" spans="1:11" x14ac:dyDescent="0.25">
      <c r="A26">
        <v>7</v>
      </c>
      <c r="B26" s="30">
        <v>21</v>
      </c>
      <c r="C26" s="30">
        <v>-4.4325000000000001</v>
      </c>
      <c r="D26" s="30">
        <v>0</v>
      </c>
      <c r="E26" s="30">
        <v>2.097</v>
      </c>
      <c r="G26" t="str">
        <f t="shared" si="1"/>
        <v>21 FY 5613.333</v>
      </c>
      <c r="I26" t="str">
        <f t="shared" si="2"/>
        <v>21 FY 6412.222</v>
      </c>
      <c r="K26" t="str">
        <f t="shared" si="3"/>
        <v>21 FY 3224.444</v>
      </c>
    </row>
    <row r="27" spans="1:11" x14ac:dyDescent="0.25">
      <c r="A27">
        <v>8</v>
      </c>
      <c r="B27" s="30">
        <v>22</v>
      </c>
      <c r="C27" s="30">
        <v>-4.0324999999999998</v>
      </c>
      <c r="D27" s="30">
        <v>0</v>
      </c>
      <c r="E27" s="30">
        <v>2.79</v>
      </c>
      <c r="G27" t="str">
        <f t="shared" si="1"/>
        <v>22 FY 5613.333</v>
      </c>
      <c r="I27" t="str">
        <f t="shared" si="2"/>
        <v>22 FY 6412.222</v>
      </c>
      <c r="K27" t="str">
        <f t="shared" si="3"/>
        <v>22 FY 3224.444</v>
      </c>
    </row>
    <row r="28" spans="1:11" x14ac:dyDescent="0.25">
      <c r="A28">
        <v>9</v>
      </c>
      <c r="B28" s="30">
        <v>23</v>
      </c>
      <c r="C28" s="30">
        <v>-3.8860000000000001</v>
      </c>
      <c r="D28" s="30">
        <v>0</v>
      </c>
      <c r="E28" s="30">
        <v>2.2435</v>
      </c>
      <c r="G28" t="str">
        <f t="shared" si="1"/>
        <v>23 FY 5613.333</v>
      </c>
      <c r="I28" t="str">
        <f t="shared" si="2"/>
        <v>23 FY 6412.222</v>
      </c>
      <c r="K28" t="str">
        <f t="shared" si="3"/>
        <v>23 FY 3224.444</v>
      </c>
    </row>
    <row r="29" spans="1:11" x14ac:dyDescent="0.25">
      <c r="A29">
        <v>10</v>
      </c>
      <c r="B29" s="30"/>
      <c r="C29" s="30"/>
      <c r="D29" s="30"/>
      <c r="E29" s="30"/>
    </row>
    <row r="30" spans="1:11" x14ac:dyDescent="0.25">
      <c r="A30">
        <v>11</v>
      </c>
      <c r="B30" s="30"/>
      <c r="C30" s="30"/>
      <c r="D30" s="30"/>
      <c r="E30" s="30"/>
    </row>
    <row r="31" spans="1:11" x14ac:dyDescent="0.25">
      <c r="A31">
        <v>12</v>
      </c>
      <c r="B31" s="30"/>
      <c r="C31" s="30"/>
      <c r="D31" s="30"/>
      <c r="E31" s="30"/>
    </row>
    <row r="32" spans="1:11" x14ac:dyDescent="0.25">
      <c r="A32">
        <v>13</v>
      </c>
      <c r="B32" s="30"/>
      <c r="C32" s="30"/>
      <c r="D32" s="30"/>
      <c r="E32" s="30"/>
    </row>
    <row r="33" spans="1:11" x14ac:dyDescent="0.25">
      <c r="A33">
        <v>14</v>
      </c>
      <c r="B33" s="30"/>
      <c r="C33" s="30"/>
      <c r="D33" s="30"/>
      <c r="E33" s="30"/>
    </row>
    <row r="34" spans="1:11" x14ac:dyDescent="0.25">
      <c r="A34">
        <v>15</v>
      </c>
      <c r="B34" s="30"/>
      <c r="C34" s="30"/>
      <c r="D34" s="30"/>
      <c r="E34" s="30"/>
    </row>
    <row r="35" spans="1:11" ht="12" customHeight="1" x14ac:dyDescent="0.25">
      <c r="A35">
        <v>16</v>
      </c>
      <c r="B35" s="30"/>
      <c r="C35" s="30"/>
      <c r="D35" s="30"/>
      <c r="E35" s="30"/>
    </row>
    <row r="36" spans="1:11" x14ac:dyDescent="0.25">
      <c r="A36">
        <v>17</v>
      </c>
      <c r="B36" s="30"/>
      <c r="C36" s="30"/>
      <c r="D36" s="30"/>
      <c r="E36" s="30"/>
    </row>
    <row r="38" spans="1:11" x14ac:dyDescent="0.25">
      <c r="B38" s="292" t="s">
        <v>458</v>
      </c>
      <c r="C38" s="292"/>
      <c r="D38" s="292"/>
      <c r="E38" s="292"/>
      <c r="F38" s="31"/>
      <c r="G38" s="292" t="s">
        <v>456</v>
      </c>
      <c r="H38" s="292"/>
      <c r="I38" s="292"/>
      <c r="J38" s="292"/>
      <c r="K38" s="292"/>
    </row>
    <row r="39" spans="1:11" x14ac:dyDescent="0.25">
      <c r="B39" s="31" t="s">
        <v>31</v>
      </c>
      <c r="C39" s="31" t="s">
        <v>92</v>
      </c>
      <c r="D39" s="31" t="s">
        <v>93</v>
      </c>
      <c r="E39" s="31" t="s">
        <v>457</v>
      </c>
      <c r="F39" s="31"/>
      <c r="G39" s="31" t="s">
        <v>452</v>
      </c>
      <c r="H39" s="31"/>
      <c r="I39" s="31" t="s">
        <v>453</v>
      </c>
      <c r="J39" s="31"/>
      <c r="K39" s="31" t="s">
        <v>454</v>
      </c>
    </row>
    <row r="40" spans="1:11" x14ac:dyDescent="0.25">
      <c r="A40">
        <v>1</v>
      </c>
      <c r="B40" s="30">
        <v>11</v>
      </c>
      <c r="C40" s="30">
        <v>3.6859999999999999</v>
      </c>
      <c r="D40" s="30">
        <v>0</v>
      </c>
      <c r="E40" s="30">
        <v>2.59</v>
      </c>
      <c r="G40" t="str">
        <f t="shared" ref="G40:G48" si="4">B40&amp;" "&amp;"FY "&amp;$L$9</f>
        <v>11 FY -6867.778</v>
      </c>
      <c r="I40" t="str">
        <f t="shared" ref="I40:I48" si="5">B40&amp;" "&amp;"FY "&amp;$L$12</f>
        <v>11 FY -4144.444</v>
      </c>
      <c r="K40" t="str">
        <f t="shared" ref="K40:K48" si="6">B40&amp;" "&amp;"FY "&amp;$L$15</f>
        <v>11 FY 3232.222</v>
      </c>
    </row>
    <row r="41" spans="1:11" x14ac:dyDescent="0.25">
      <c r="A41">
        <v>2</v>
      </c>
      <c r="B41" s="30">
        <v>12</v>
      </c>
      <c r="C41" s="30">
        <v>4.3789999999999996</v>
      </c>
      <c r="D41" s="30">
        <v>0</v>
      </c>
      <c r="E41" s="30">
        <v>2.99</v>
      </c>
      <c r="G41" t="str">
        <f t="shared" si="4"/>
        <v>12 FY -6867.778</v>
      </c>
      <c r="I41" t="str">
        <f t="shared" si="5"/>
        <v>12 FY -4144.444</v>
      </c>
      <c r="K41" t="str">
        <f t="shared" si="6"/>
        <v>12 FY 3232.222</v>
      </c>
    </row>
    <row r="42" spans="1:11" x14ac:dyDescent="0.25">
      <c r="A42">
        <v>3</v>
      </c>
      <c r="B42" s="30">
        <v>13</v>
      </c>
      <c r="C42" s="30">
        <v>4.7789999999999999</v>
      </c>
      <c r="D42" s="30">
        <v>0</v>
      </c>
      <c r="E42" s="30">
        <v>2.2970000000000002</v>
      </c>
      <c r="G42" t="str">
        <f t="shared" si="4"/>
        <v>13 FY -6867.778</v>
      </c>
      <c r="I42" t="str">
        <f t="shared" si="5"/>
        <v>13 FY -4144.444</v>
      </c>
      <c r="K42" t="str">
        <f t="shared" si="6"/>
        <v>13 FY 3232.222</v>
      </c>
    </row>
    <row r="43" spans="1:11" x14ac:dyDescent="0.25">
      <c r="A43">
        <v>4</v>
      </c>
      <c r="B43" s="30">
        <v>14</v>
      </c>
      <c r="C43" s="30">
        <v>4.0860000000000003</v>
      </c>
      <c r="D43" s="30">
        <v>0</v>
      </c>
      <c r="E43" s="30">
        <v>1.897</v>
      </c>
      <c r="G43" t="str">
        <f t="shared" si="4"/>
        <v>14 FY -6867.778</v>
      </c>
      <c r="I43" t="str">
        <f t="shared" si="5"/>
        <v>14 FY -4144.444</v>
      </c>
      <c r="K43" t="str">
        <f t="shared" si="6"/>
        <v>14 FY 3232.222</v>
      </c>
    </row>
    <row r="44" spans="1:11" x14ac:dyDescent="0.25">
      <c r="A44">
        <v>5</v>
      </c>
      <c r="B44" s="30">
        <v>24</v>
      </c>
      <c r="C44" s="30">
        <v>4.0324999999999998</v>
      </c>
      <c r="D44" s="30">
        <v>0</v>
      </c>
      <c r="E44" s="30">
        <v>2.79</v>
      </c>
      <c r="G44" t="str">
        <f t="shared" si="4"/>
        <v>24 FY -6867.778</v>
      </c>
      <c r="I44" t="str">
        <f t="shared" si="5"/>
        <v>24 FY -4144.444</v>
      </c>
      <c r="K44" t="str">
        <f t="shared" si="6"/>
        <v>24 FY 3232.222</v>
      </c>
    </row>
    <row r="45" spans="1:11" x14ac:dyDescent="0.25">
      <c r="A45">
        <v>6</v>
      </c>
      <c r="B45" s="30">
        <v>25</v>
      </c>
      <c r="C45" s="30">
        <v>4.2324999999999999</v>
      </c>
      <c r="D45" s="30">
        <v>0</v>
      </c>
      <c r="E45" s="30">
        <v>2.4434999999999998</v>
      </c>
      <c r="G45" t="str">
        <f t="shared" si="4"/>
        <v>25 FY -6867.778</v>
      </c>
      <c r="I45" t="str">
        <f t="shared" si="5"/>
        <v>25 FY -4144.444</v>
      </c>
      <c r="K45" t="str">
        <f t="shared" si="6"/>
        <v>25 FY 3232.222</v>
      </c>
    </row>
    <row r="46" spans="1:11" x14ac:dyDescent="0.25">
      <c r="A46">
        <v>7</v>
      </c>
      <c r="B46" s="30">
        <v>26</v>
      </c>
      <c r="C46" s="30">
        <v>3.8860000000000001</v>
      </c>
      <c r="D46" s="30">
        <v>0</v>
      </c>
      <c r="E46" s="30">
        <v>2.2435</v>
      </c>
      <c r="G46" t="str">
        <f t="shared" si="4"/>
        <v>26 FY -6867.778</v>
      </c>
      <c r="I46" t="str">
        <f t="shared" si="5"/>
        <v>26 FY -4144.444</v>
      </c>
      <c r="K46" t="str">
        <f t="shared" si="6"/>
        <v>26 FY 3232.222</v>
      </c>
    </row>
    <row r="47" spans="1:11" x14ac:dyDescent="0.25">
      <c r="A47">
        <v>8</v>
      </c>
      <c r="B47" s="30">
        <v>27</v>
      </c>
      <c r="C47" s="30">
        <v>4.5789999999999997</v>
      </c>
      <c r="D47" s="30">
        <v>0</v>
      </c>
      <c r="E47" s="30">
        <v>2.6435</v>
      </c>
      <c r="G47" t="str">
        <f t="shared" si="4"/>
        <v>27 FY -6867.778</v>
      </c>
      <c r="I47" t="str">
        <f t="shared" si="5"/>
        <v>27 FY -4144.444</v>
      </c>
      <c r="K47" t="str">
        <f t="shared" si="6"/>
        <v>27 FY 3232.222</v>
      </c>
    </row>
    <row r="48" spans="1:11" x14ac:dyDescent="0.25">
      <c r="A48">
        <v>9</v>
      </c>
      <c r="B48" s="30">
        <v>28</v>
      </c>
      <c r="C48" s="30">
        <v>4.4325000000000001</v>
      </c>
      <c r="D48" s="30">
        <v>0</v>
      </c>
      <c r="E48" s="30">
        <v>2.097</v>
      </c>
      <c r="G48" t="str">
        <f t="shared" si="4"/>
        <v>28 FY -6867.778</v>
      </c>
      <c r="I48" t="str">
        <f t="shared" si="5"/>
        <v>28 FY -4144.444</v>
      </c>
      <c r="K48" t="str">
        <f t="shared" si="6"/>
        <v>28 FY 3232.222</v>
      </c>
    </row>
    <row r="49" spans="1:11" x14ac:dyDescent="0.25">
      <c r="A49">
        <v>10</v>
      </c>
      <c r="B49" s="30"/>
      <c r="C49" s="30"/>
      <c r="D49" s="30"/>
      <c r="E49" s="30"/>
    </row>
    <row r="50" spans="1:11" x14ac:dyDescent="0.25">
      <c r="A50">
        <v>11</v>
      </c>
      <c r="B50" s="30"/>
      <c r="C50" s="30"/>
      <c r="D50" s="30"/>
      <c r="E50" s="30"/>
    </row>
    <row r="51" spans="1:11" x14ac:dyDescent="0.25">
      <c r="A51">
        <v>12</v>
      </c>
      <c r="B51" s="30"/>
      <c r="C51" s="30"/>
      <c r="D51" s="30"/>
      <c r="E51" s="30"/>
    </row>
    <row r="52" spans="1:11" x14ac:dyDescent="0.25">
      <c r="A52">
        <v>13</v>
      </c>
      <c r="B52" s="30"/>
      <c r="C52" s="30"/>
      <c r="D52" s="30"/>
      <c r="E52" s="30"/>
    </row>
    <row r="53" spans="1:11" x14ac:dyDescent="0.25">
      <c r="A53">
        <v>14</v>
      </c>
      <c r="B53" s="30"/>
      <c r="C53" s="30"/>
      <c r="D53" s="30"/>
      <c r="E53" s="30"/>
    </row>
    <row r="54" spans="1:11" x14ac:dyDescent="0.25">
      <c r="A54">
        <v>15</v>
      </c>
      <c r="B54" s="30"/>
      <c r="C54" s="30"/>
      <c r="D54" s="30"/>
      <c r="E54" s="30"/>
    </row>
    <row r="55" spans="1:11" x14ac:dyDescent="0.25">
      <c r="A55">
        <v>16</v>
      </c>
      <c r="B55" s="30"/>
      <c r="C55" s="30"/>
      <c r="D55" s="30"/>
      <c r="E55" s="30"/>
    </row>
    <row r="56" spans="1:11" x14ac:dyDescent="0.25">
      <c r="A56">
        <v>17</v>
      </c>
      <c r="B56" s="30"/>
      <c r="C56" s="30"/>
      <c r="D56" s="30"/>
      <c r="E56" s="30"/>
    </row>
    <row r="58" spans="1:11" x14ac:dyDescent="0.25">
      <c r="B58" s="292" t="s">
        <v>459</v>
      </c>
      <c r="C58" s="292"/>
      <c r="D58" s="292"/>
      <c r="E58" s="292"/>
      <c r="F58" s="31"/>
      <c r="G58" s="292" t="s">
        <v>456</v>
      </c>
      <c r="H58" s="292"/>
      <c r="I58" s="292"/>
      <c r="J58" s="292"/>
      <c r="K58" s="292"/>
    </row>
    <row r="59" spans="1:11" x14ac:dyDescent="0.25">
      <c r="B59" s="31" t="s">
        <v>31</v>
      </c>
      <c r="C59" s="31" t="s">
        <v>92</v>
      </c>
      <c r="D59" s="31" t="s">
        <v>93</v>
      </c>
      <c r="E59" s="31" t="s">
        <v>457</v>
      </c>
      <c r="F59" s="31"/>
      <c r="G59" s="31" t="s">
        <v>452</v>
      </c>
      <c r="H59" s="31"/>
      <c r="I59" s="31" t="s">
        <v>453</v>
      </c>
      <c r="J59" s="31"/>
      <c r="K59" s="31" t="s">
        <v>454</v>
      </c>
    </row>
    <row r="60" spans="1:11" x14ac:dyDescent="0.25">
      <c r="A60">
        <v>1</v>
      </c>
      <c r="B60" s="30">
        <v>15</v>
      </c>
      <c r="C60" s="30">
        <v>-0.4</v>
      </c>
      <c r="D60" s="30">
        <v>0</v>
      </c>
      <c r="E60" s="30">
        <v>-4.4870000000000001</v>
      </c>
      <c r="G60" t="str">
        <f t="shared" ref="G60:G68" si="7">B60&amp;" "&amp;"FY "&amp;$L$10</f>
        <v>15 FY -620</v>
      </c>
      <c r="I60" t="str">
        <f t="shared" ref="I60:I68" si="8">B60&amp;" "&amp;"FY "&amp;$L$13</f>
        <v>15 FY -4142.222</v>
      </c>
      <c r="K60" t="str">
        <f t="shared" ref="K60:K68" si="9">B60&amp;" "&amp;"FY "&amp;$L$16</f>
        <v>15 FY -8331.111</v>
      </c>
    </row>
    <row r="61" spans="1:11" x14ac:dyDescent="0.25">
      <c r="A61">
        <v>2</v>
      </c>
      <c r="B61" s="30">
        <v>16</v>
      </c>
      <c r="C61" s="30">
        <v>0.4</v>
      </c>
      <c r="D61" s="30">
        <v>0</v>
      </c>
      <c r="E61" s="30">
        <v>-4.4870000000000001</v>
      </c>
      <c r="G61" t="str">
        <f t="shared" si="7"/>
        <v>16 FY -620</v>
      </c>
      <c r="I61" t="str">
        <f t="shared" si="8"/>
        <v>16 FY -4142.222</v>
      </c>
      <c r="K61" t="str">
        <f t="shared" si="9"/>
        <v>16 FY -8331.111</v>
      </c>
    </row>
    <row r="62" spans="1:11" x14ac:dyDescent="0.25">
      <c r="A62">
        <v>3</v>
      </c>
      <c r="B62" s="30">
        <v>17</v>
      </c>
      <c r="C62" s="30">
        <v>0.4</v>
      </c>
      <c r="D62" s="30">
        <v>0</v>
      </c>
      <c r="E62" s="30">
        <v>-5.2869999999999999</v>
      </c>
      <c r="G62" t="str">
        <f t="shared" si="7"/>
        <v>17 FY -620</v>
      </c>
      <c r="I62" t="str">
        <f t="shared" si="8"/>
        <v>17 FY -4142.222</v>
      </c>
      <c r="K62" t="str">
        <f t="shared" si="9"/>
        <v>17 FY -8331.111</v>
      </c>
    </row>
    <row r="63" spans="1:11" x14ac:dyDescent="0.25">
      <c r="A63">
        <v>4</v>
      </c>
      <c r="B63" s="30">
        <v>18</v>
      </c>
      <c r="C63" s="30">
        <v>-0.4</v>
      </c>
      <c r="D63" s="30">
        <v>0</v>
      </c>
      <c r="E63" s="30">
        <v>-5.2869999999999999</v>
      </c>
      <c r="G63" t="str">
        <f t="shared" si="7"/>
        <v>18 FY -620</v>
      </c>
      <c r="I63" t="str">
        <f t="shared" si="8"/>
        <v>18 FY -4142.222</v>
      </c>
      <c r="K63" t="str">
        <f t="shared" si="9"/>
        <v>18 FY -8331.111</v>
      </c>
    </row>
    <row r="64" spans="1:11" x14ac:dyDescent="0.25">
      <c r="A64">
        <v>5</v>
      </c>
      <c r="B64" s="30">
        <v>29</v>
      </c>
      <c r="C64" s="30">
        <v>0</v>
      </c>
      <c r="D64" s="30">
        <v>0</v>
      </c>
      <c r="E64" s="30">
        <v>-4.4870000000000001</v>
      </c>
      <c r="G64" t="str">
        <f t="shared" si="7"/>
        <v>29 FY -620</v>
      </c>
      <c r="I64" t="str">
        <f t="shared" si="8"/>
        <v>29 FY -4142.222</v>
      </c>
      <c r="K64" t="str">
        <f t="shared" si="9"/>
        <v>29 FY -8331.111</v>
      </c>
    </row>
    <row r="65" spans="1:24" x14ac:dyDescent="0.25">
      <c r="A65">
        <v>6</v>
      </c>
      <c r="B65" s="30">
        <v>30</v>
      </c>
      <c r="C65" s="30">
        <v>0</v>
      </c>
      <c r="D65" s="30">
        <v>0</v>
      </c>
      <c r="E65" s="30">
        <v>-4.8869999999999996</v>
      </c>
      <c r="G65" t="str">
        <f t="shared" si="7"/>
        <v>30 FY -620</v>
      </c>
      <c r="I65" t="str">
        <f t="shared" si="8"/>
        <v>30 FY -4142.222</v>
      </c>
      <c r="K65" t="str">
        <f t="shared" si="9"/>
        <v>30 FY -8331.111</v>
      </c>
    </row>
    <row r="66" spans="1:24" x14ac:dyDescent="0.25">
      <c r="A66">
        <v>7</v>
      </c>
      <c r="B66" s="30">
        <v>31</v>
      </c>
      <c r="C66" s="30">
        <v>-0.4</v>
      </c>
      <c r="D66" s="30">
        <v>0</v>
      </c>
      <c r="E66" s="30">
        <v>-4.8869999999999996</v>
      </c>
      <c r="G66" t="str">
        <f t="shared" si="7"/>
        <v>31 FY -620</v>
      </c>
      <c r="I66" t="str">
        <f t="shared" si="8"/>
        <v>31 FY -4142.222</v>
      </c>
      <c r="K66" t="str">
        <f t="shared" si="9"/>
        <v>31 FY -8331.111</v>
      </c>
    </row>
    <row r="67" spans="1:24" x14ac:dyDescent="0.25">
      <c r="A67">
        <v>8</v>
      </c>
      <c r="B67" s="30">
        <v>32</v>
      </c>
      <c r="C67" s="30">
        <v>0.4</v>
      </c>
      <c r="D67" s="30">
        <v>0</v>
      </c>
      <c r="E67" s="30">
        <v>-4.8869999999999996</v>
      </c>
      <c r="G67" t="str">
        <f t="shared" si="7"/>
        <v>32 FY -620</v>
      </c>
      <c r="I67" t="str">
        <f t="shared" si="8"/>
        <v>32 FY -4142.222</v>
      </c>
      <c r="K67" t="str">
        <f t="shared" si="9"/>
        <v>32 FY -8331.111</v>
      </c>
    </row>
    <row r="68" spans="1:24" x14ac:dyDescent="0.25">
      <c r="A68">
        <v>9</v>
      </c>
      <c r="B68" s="30">
        <v>33</v>
      </c>
      <c r="C68" s="30">
        <v>0</v>
      </c>
      <c r="D68" s="30">
        <v>0</v>
      </c>
      <c r="E68" s="30">
        <v>-5.2869999999999999</v>
      </c>
      <c r="G68" t="str">
        <f t="shared" si="7"/>
        <v>33 FY -620</v>
      </c>
      <c r="I68" t="str">
        <f t="shared" si="8"/>
        <v>33 FY -4142.222</v>
      </c>
      <c r="K68" t="str">
        <f t="shared" si="9"/>
        <v>33 FY -8331.111</v>
      </c>
    </row>
    <row r="69" spans="1:24" x14ac:dyDescent="0.25">
      <c r="A69">
        <v>10</v>
      </c>
      <c r="B69" s="30"/>
      <c r="C69" s="30"/>
      <c r="D69" s="30"/>
      <c r="E69" s="30"/>
    </row>
    <row r="70" spans="1:24" x14ac:dyDescent="0.25">
      <c r="A70">
        <v>11</v>
      </c>
      <c r="B70" s="30"/>
      <c r="C70" s="30"/>
      <c r="D70" s="30"/>
      <c r="E70" s="30"/>
    </row>
    <row r="71" spans="1:24" x14ac:dyDescent="0.25">
      <c r="A71">
        <v>12</v>
      </c>
      <c r="B71" s="30"/>
      <c r="C71" s="30"/>
      <c r="D71" s="30"/>
      <c r="E71" s="30"/>
    </row>
    <row r="72" spans="1:24" x14ac:dyDescent="0.25">
      <c r="A72">
        <v>13</v>
      </c>
      <c r="B72" s="30"/>
      <c r="C72" s="30"/>
      <c r="D72" s="30"/>
      <c r="E72" s="30"/>
    </row>
    <row r="73" spans="1:24" x14ac:dyDescent="0.25">
      <c r="A73">
        <v>14</v>
      </c>
      <c r="B73" s="30"/>
      <c r="C73" s="30"/>
      <c r="D73" s="30"/>
      <c r="E73" s="30"/>
    </row>
    <row r="74" spans="1:24" x14ac:dyDescent="0.25">
      <c r="A74">
        <v>15</v>
      </c>
      <c r="B74" s="30"/>
      <c r="C74" s="30"/>
      <c r="D74" s="30"/>
      <c r="E74" s="30"/>
    </row>
    <row r="75" spans="1:24" x14ac:dyDescent="0.25">
      <c r="A75">
        <v>16</v>
      </c>
      <c r="B75" s="30"/>
      <c r="C75" s="30"/>
      <c r="D75" s="30"/>
      <c r="E75" s="30"/>
    </row>
    <row r="76" spans="1:24" x14ac:dyDescent="0.25">
      <c r="A76">
        <v>17</v>
      </c>
      <c r="B76" s="30"/>
      <c r="C76" s="30"/>
      <c r="D76" s="30"/>
      <c r="E76" s="30"/>
    </row>
    <row r="78" spans="1:24" x14ac:dyDescent="0.25">
      <c r="B78" s="292" t="s">
        <v>460</v>
      </c>
      <c r="C78" s="292"/>
      <c r="D78" s="292"/>
      <c r="E78" s="292"/>
      <c r="F78" s="292"/>
      <c r="H78" s="292" t="s">
        <v>461</v>
      </c>
      <c r="I78" s="292"/>
      <c r="J78" s="292"/>
      <c r="K78" s="292"/>
      <c r="L78" s="292"/>
      <c r="N78" s="292" t="s">
        <v>462</v>
      </c>
      <c r="O78" s="292"/>
      <c r="P78" s="292"/>
      <c r="Q78" s="292"/>
      <c r="R78" s="292"/>
      <c r="T78" s="292" t="s">
        <v>463</v>
      </c>
      <c r="U78" s="292"/>
      <c r="V78" s="292"/>
      <c r="W78" s="292"/>
      <c r="X78" s="292"/>
    </row>
    <row r="79" spans="1:24" x14ac:dyDescent="0.25">
      <c r="B79" s="29" t="str">
        <f>"LOAD 3 LOADTYPE None  TITLE "&amp;A8</f>
        <v>LOAD 3 LOADTYPE None  TITLE 1.2D + 1.0W 90°</v>
      </c>
      <c r="H79" s="29" t="str">
        <f>"LOAD 4 LOADTYPE None  TITLE "&amp;A11</f>
        <v>LOAD 4 LOADTYPE None  TITLE 1.2D + 1.0W 60°</v>
      </c>
      <c r="N79" s="29" t="str">
        <f>"LOAD 5 LOADTYPE None  TITLE "&amp;A14</f>
        <v>LOAD 5 LOADTYPE None  TITLE 1.2D + 1.0W N</v>
      </c>
      <c r="T79" s="294" t="s">
        <v>464</v>
      </c>
      <c r="U79" s="295"/>
      <c r="V79" s="295"/>
      <c r="W79" s="295"/>
      <c r="X79" s="295"/>
    </row>
    <row r="80" spans="1:24" x14ac:dyDescent="0.25">
      <c r="B80" s="29" t="s">
        <v>465</v>
      </c>
      <c r="H80" s="29" t="s">
        <v>465</v>
      </c>
      <c r="N80" s="29" t="s">
        <v>465</v>
      </c>
      <c r="T80" s="295"/>
      <c r="U80" s="295"/>
      <c r="V80" s="295"/>
      <c r="W80" s="295"/>
      <c r="X80" s="295"/>
    </row>
    <row r="81" spans="1:24" x14ac:dyDescent="0.25">
      <c r="A81" s="293" t="s">
        <v>466</v>
      </c>
      <c r="B81" s="29" t="s">
        <v>467</v>
      </c>
      <c r="H81" s="29" t="s">
        <v>468</v>
      </c>
      <c r="N81" s="29" t="s">
        <v>469</v>
      </c>
      <c r="T81" s="295"/>
      <c r="U81" s="295"/>
      <c r="V81" s="295"/>
      <c r="W81" s="295"/>
      <c r="X81" s="295"/>
    </row>
    <row r="82" spans="1:24" x14ac:dyDescent="0.25">
      <c r="A82" s="293"/>
      <c r="B82" s="29" t="s">
        <v>470</v>
      </c>
      <c r="H82" s="29" t="s">
        <v>471</v>
      </c>
      <c r="N82" s="29" t="s">
        <v>472</v>
      </c>
      <c r="T82" s="295"/>
      <c r="U82" s="295"/>
      <c r="V82" s="295"/>
      <c r="W82" s="295"/>
      <c r="X82" s="295"/>
    </row>
    <row r="83" spans="1:24" x14ac:dyDescent="0.25">
      <c r="A83" s="293"/>
      <c r="B83" s="29" t="s">
        <v>473</v>
      </c>
      <c r="H83" s="29" t="s">
        <v>474</v>
      </c>
      <c r="N83" s="29" t="s">
        <v>475</v>
      </c>
      <c r="T83" s="295"/>
      <c r="U83" s="295"/>
      <c r="V83" s="295"/>
      <c r="W83" s="295"/>
      <c r="X83" s="295"/>
    </row>
    <row r="84" spans="1:24" x14ac:dyDescent="0.25">
      <c r="A84" s="293"/>
      <c r="B84" s="29" t="s">
        <v>476</v>
      </c>
      <c r="H84" s="29" t="s">
        <v>477</v>
      </c>
      <c r="N84" s="29" t="s">
        <v>478</v>
      </c>
      <c r="T84" s="295"/>
      <c r="U84" s="295"/>
      <c r="V84" s="295"/>
      <c r="W84" s="295"/>
      <c r="X84" s="295"/>
    </row>
    <row r="85" spans="1:24" x14ac:dyDescent="0.25">
      <c r="A85" s="293"/>
      <c r="B85" s="29" t="s">
        <v>479</v>
      </c>
      <c r="H85" s="29" t="s">
        <v>480</v>
      </c>
      <c r="N85" s="29" t="s">
        <v>481</v>
      </c>
      <c r="T85" s="295"/>
      <c r="U85" s="295"/>
      <c r="V85" s="295"/>
      <c r="W85" s="295"/>
      <c r="X85" s="295"/>
    </row>
    <row r="86" spans="1:24" x14ac:dyDescent="0.25">
      <c r="A86" s="293"/>
      <c r="B86" s="29" t="s">
        <v>482</v>
      </c>
      <c r="H86" s="29" t="s">
        <v>483</v>
      </c>
      <c r="N86" s="29" t="s">
        <v>484</v>
      </c>
      <c r="T86" s="295"/>
      <c r="U86" s="295"/>
      <c r="V86" s="295"/>
      <c r="W86" s="295"/>
      <c r="X86" s="295"/>
    </row>
    <row r="87" spans="1:24" x14ac:dyDescent="0.25">
      <c r="A87" s="293"/>
      <c r="B87" s="29" t="s">
        <v>485</v>
      </c>
      <c r="H87" s="29" t="s">
        <v>486</v>
      </c>
      <c r="N87" s="29" t="s">
        <v>487</v>
      </c>
      <c r="T87" s="295"/>
      <c r="U87" s="295"/>
      <c r="V87" s="295"/>
      <c r="W87" s="295"/>
      <c r="X87" s="295"/>
    </row>
    <row r="88" spans="1:24" x14ac:dyDescent="0.25">
      <c r="A88" s="293"/>
      <c r="B88" s="29" t="s">
        <v>488</v>
      </c>
      <c r="H88" s="29" t="s">
        <v>489</v>
      </c>
      <c r="N88" s="29" t="s">
        <v>490</v>
      </c>
      <c r="T88" s="295"/>
      <c r="U88" s="295"/>
      <c r="V88" s="295"/>
      <c r="W88" s="295"/>
      <c r="X88" s="295"/>
    </row>
    <row r="89" spans="1:24" x14ac:dyDescent="0.25">
      <c r="A89" s="293"/>
      <c r="B89" s="29" t="s">
        <v>491</v>
      </c>
      <c r="H89" s="29" t="s">
        <v>492</v>
      </c>
      <c r="N89" s="29" t="s">
        <v>493</v>
      </c>
      <c r="T89" s="295"/>
      <c r="U89" s="295"/>
      <c r="V89" s="295"/>
      <c r="W89" s="295"/>
      <c r="X89" s="295"/>
    </row>
    <row r="90" spans="1:24" x14ac:dyDescent="0.25">
      <c r="A90" s="293"/>
      <c r="B90" s="29" t="s">
        <v>494</v>
      </c>
      <c r="H90" s="29" t="s">
        <v>495</v>
      </c>
      <c r="N90" s="29" t="s">
        <v>496</v>
      </c>
    </row>
    <row r="91" spans="1:24" x14ac:dyDescent="0.25">
      <c r="A91" s="293"/>
      <c r="B91" s="29" t="s">
        <v>497</v>
      </c>
      <c r="H91" s="29" t="s">
        <v>498</v>
      </c>
      <c r="N91" s="29" t="s">
        <v>499</v>
      </c>
    </row>
    <row r="92" spans="1:24" x14ac:dyDescent="0.25">
      <c r="A92" s="293"/>
      <c r="B92" s="29" t="s">
        <v>500</v>
      </c>
      <c r="H92" s="29" t="s">
        <v>501</v>
      </c>
      <c r="N92" s="29" t="s">
        <v>502</v>
      </c>
    </row>
    <row r="93" spans="1:24" x14ac:dyDescent="0.25">
      <c r="A93" s="293"/>
      <c r="B93" s="29" t="s">
        <v>503</v>
      </c>
      <c r="H93" s="29" t="s">
        <v>504</v>
      </c>
      <c r="N93" s="29" t="s">
        <v>505</v>
      </c>
    </row>
    <row r="94" spans="1:24" x14ac:dyDescent="0.25">
      <c r="A94" s="293"/>
      <c r="B94" s="29" t="s">
        <v>506</v>
      </c>
      <c r="H94" s="29" t="s">
        <v>507</v>
      </c>
      <c r="N94" s="29" t="s">
        <v>508</v>
      </c>
    </row>
    <row r="95" spans="1:24" x14ac:dyDescent="0.25">
      <c r="A95" s="293"/>
      <c r="B95" s="29" t="s">
        <v>509</v>
      </c>
      <c r="H95" s="29" t="s">
        <v>510</v>
      </c>
      <c r="N95" s="29" t="s">
        <v>511</v>
      </c>
    </row>
    <row r="96" spans="1:24" x14ac:dyDescent="0.25">
      <c r="A96" s="293"/>
      <c r="B96" s="29" t="s">
        <v>512</v>
      </c>
      <c r="H96" s="29" t="s">
        <v>513</v>
      </c>
      <c r="N96" s="29" t="s">
        <v>514</v>
      </c>
    </row>
    <row r="97" spans="1:14" x14ac:dyDescent="0.25">
      <c r="A97" s="293"/>
      <c r="B97" s="29" t="s">
        <v>515</v>
      </c>
      <c r="H97" s="29" t="s">
        <v>516</v>
      </c>
      <c r="N97" s="29" t="s">
        <v>517</v>
      </c>
    </row>
    <row r="98" spans="1:14" x14ac:dyDescent="0.25">
      <c r="A98" s="293"/>
      <c r="B98" s="29" t="s">
        <v>518</v>
      </c>
      <c r="H98" s="29" t="s">
        <v>519</v>
      </c>
      <c r="N98" s="29" t="s">
        <v>520</v>
      </c>
    </row>
    <row r="99" spans="1:14" x14ac:dyDescent="0.25">
      <c r="A99" s="293"/>
      <c r="B99" s="29" t="s">
        <v>521</v>
      </c>
      <c r="H99" s="29" t="s">
        <v>522</v>
      </c>
      <c r="N99" s="29" t="s">
        <v>523</v>
      </c>
    </row>
    <row r="100" spans="1:14" x14ac:dyDescent="0.25">
      <c r="A100" s="293"/>
      <c r="B100" s="29" t="s">
        <v>524</v>
      </c>
      <c r="H100" s="29" t="s">
        <v>525</v>
      </c>
      <c r="N100" s="29" t="s">
        <v>526</v>
      </c>
    </row>
    <row r="101" spans="1:14" x14ac:dyDescent="0.25">
      <c r="A101" s="293"/>
      <c r="B101" s="29" t="s">
        <v>527</v>
      </c>
      <c r="H101" s="29" t="s">
        <v>528</v>
      </c>
      <c r="N101" s="29" t="s">
        <v>529</v>
      </c>
    </row>
    <row r="102" spans="1:14" x14ac:dyDescent="0.25">
      <c r="A102" s="293"/>
      <c r="B102" s="29" t="s">
        <v>530</v>
      </c>
      <c r="H102" s="29" t="s">
        <v>531</v>
      </c>
      <c r="N102" s="29" t="s">
        <v>532</v>
      </c>
    </row>
    <row r="103" spans="1:14" x14ac:dyDescent="0.25">
      <c r="A103" s="293"/>
      <c r="B103" s="29" t="s">
        <v>533</v>
      </c>
      <c r="H103" s="29" t="s">
        <v>534</v>
      </c>
      <c r="N103" s="29" t="s">
        <v>535</v>
      </c>
    </row>
    <row r="104" spans="1:14" x14ac:dyDescent="0.25">
      <c r="A104" s="293"/>
      <c r="B104" s="29" t="s">
        <v>536</v>
      </c>
      <c r="H104" s="29" t="s">
        <v>537</v>
      </c>
      <c r="N104" s="29" t="s">
        <v>538</v>
      </c>
    </row>
    <row r="105" spans="1:14" x14ac:dyDescent="0.25">
      <c r="B105" s="29" t="s">
        <v>539</v>
      </c>
      <c r="H105" s="29" t="s">
        <v>540</v>
      </c>
      <c r="N105" s="29" t="s">
        <v>541</v>
      </c>
    </row>
    <row r="106" spans="1:14" x14ac:dyDescent="0.25">
      <c r="B106" s="29" t="s">
        <v>542</v>
      </c>
      <c r="H106" s="29" t="s">
        <v>543</v>
      </c>
      <c r="N106" s="29" t="s">
        <v>544</v>
      </c>
    </row>
    <row r="107" spans="1:14" x14ac:dyDescent="0.25">
      <c r="B107" s="29" t="s">
        <v>545</v>
      </c>
      <c r="H107" s="29" t="s">
        <v>546</v>
      </c>
      <c r="N107" s="29" t="s">
        <v>547</v>
      </c>
    </row>
  </sheetData>
  <mergeCells count="19">
    <mergeCell ref="B78:F78"/>
    <mergeCell ref="H78:L78"/>
    <mergeCell ref="N78:R78"/>
    <mergeCell ref="A81:A104"/>
    <mergeCell ref="T78:X78"/>
    <mergeCell ref="T79:X89"/>
    <mergeCell ref="A3:S3"/>
    <mergeCell ref="B38:E38"/>
    <mergeCell ref="B58:E58"/>
    <mergeCell ref="B18:E18"/>
    <mergeCell ref="G18:K18"/>
    <mergeCell ref="G38:K38"/>
    <mergeCell ref="G58:K58"/>
    <mergeCell ref="A7:C7"/>
    <mergeCell ref="H6:J6"/>
    <mergeCell ref="D5:L5"/>
    <mergeCell ref="A14:C16"/>
    <mergeCell ref="A11:C13"/>
    <mergeCell ref="A8:C10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D303A-B413-4624-A1CC-7BAEE7504D29}">
  <sheetPr codeName="Hoja5"/>
  <dimension ref="A1:F21"/>
  <sheetViews>
    <sheetView topLeftCell="A4" workbookViewId="0">
      <selection activeCell="A2" sqref="A2:A8"/>
    </sheetView>
  </sheetViews>
  <sheetFormatPr baseColWidth="10" defaultColWidth="9.140625" defaultRowHeight="12.75" x14ac:dyDescent="0.2"/>
  <cols>
    <col min="1" max="1" width="12.42578125" style="8" bestFit="1" customWidth="1"/>
    <col min="2" max="2" width="17.28515625" style="8" customWidth="1"/>
    <col min="3" max="4" width="9.140625" style="8"/>
    <col min="5" max="5" width="11.7109375" style="8" bestFit="1" customWidth="1"/>
    <col min="6" max="6" width="16.28515625" style="8" customWidth="1"/>
    <col min="7" max="16384" width="9.140625" style="8"/>
  </cols>
  <sheetData>
    <row r="1" spans="1:6" x14ac:dyDescent="0.2">
      <c r="A1" s="8" t="s">
        <v>548</v>
      </c>
      <c r="B1" s="8" t="s">
        <v>549</v>
      </c>
      <c r="E1" s="8" t="s">
        <v>548</v>
      </c>
      <c r="F1" s="8" t="s">
        <v>549</v>
      </c>
    </row>
    <row r="2" spans="1:6" ht="90" customHeight="1" x14ac:dyDescent="0.2">
      <c r="A2" s="7" t="s">
        <v>550</v>
      </c>
      <c r="E2" s="7" t="s">
        <v>551</v>
      </c>
    </row>
    <row r="3" spans="1:6" ht="90" customHeight="1" x14ac:dyDescent="0.2">
      <c r="A3" s="7" t="s">
        <v>136</v>
      </c>
    </row>
    <row r="4" spans="1:6" ht="90" customHeight="1" x14ac:dyDescent="0.2">
      <c r="A4" s="7" t="s">
        <v>551</v>
      </c>
    </row>
    <row r="5" spans="1:6" ht="90" customHeight="1" x14ac:dyDescent="0.2">
      <c r="A5" s="7" t="s">
        <v>552</v>
      </c>
    </row>
    <row r="6" spans="1:6" ht="90" customHeight="1" x14ac:dyDescent="0.2">
      <c r="A6" s="7" t="s">
        <v>553</v>
      </c>
    </row>
    <row r="7" spans="1:6" ht="90" customHeight="1" x14ac:dyDescent="0.2">
      <c r="A7" s="7" t="s">
        <v>554</v>
      </c>
    </row>
    <row r="8" spans="1:6" ht="90" customHeight="1" x14ac:dyDescent="0.2">
      <c r="A8" s="7" t="s">
        <v>555</v>
      </c>
    </row>
    <row r="21" ht="35.25" customHeight="1" x14ac:dyDescent="0.2"/>
  </sheetData>
  <dataValidations count="1">
    <dataValidation type="list" allowBlank="1" showInputMessage="1" showErrorMessage="1" sqref="E2" xr:uid="{978D2507-68DD-4815-8B90-1C13B77BEBB7}">
      <formula1>País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E8CB-B502-4F41-9AF3-6F70D81AA493}">
  <sheetPr codeName="Hoja8"/>
  <dimension ref="A1:E124"/>
  <sheetViews>
    <sheetView workbookViewId="0">
      <selection sqref="A1:A124"/>
    </sheetView>
  </sheetViews>
  <sheetFormatPr baseColWidth="10" defaultColWidth="11.42578125" defaultRowHeight="15" x14ac:dyDescent="0.25"/>
  <sheetData>
    <row r="1" spans="1:1" x14ac:dyDescent="0.25">
      <c r="A1" t="s">
        <v>749</v>
      </c>
    </row>
    <row r="2" spans="1:1" x14ac:dyDescent="0.25">
      <c r="A2" t="s">
        <v>750</v>
      </c>
    </row>
    <row r="3" spans="1:1" x14ac:dyDescent="0.25">
      <c r="A3" t="s">
        <v>751</v>
      </c>
    </row>
    <row r="4" spans="1:1" x14ac:dyDescent="0.25">
      <c r="A4" t="s">
        <v>752</v>
      </c>
    </row>
    <row r="5" spans="1:1" x14ac:dyDescent="0.25">
      <c r="A5" t="s">
        <v>753</v>
      </c>
    </row>
    <row r="6" spans="1:1" x14ac:dyDescent="0.25">
      <c r="A6" t="s">
        <v>754</v>
      </c>
    </row>
    <row r="7" spans="1:1" x14ac:dyDescent="0.25">
      <c r="A7" t="s">
        <v>557</v>
      </c>
    </row>
    <row r="8" spans="1:1" x14ac:dyDescent="0.25">
      <c r="A8" t="s">
        <v>556</v>
      </c>
    </row>
    <row r="9" spans="1:1" x14ac:dyDescent="0.25">
      <c r="A9" t="s">
        <v>557</v>
      </c>
    </row>
    <row r="10" spans="1:1" x14ac:dyDescent="0.25">
      <c r="A10" t="s">
        <v>558</v>
      </c>
    </row>
    <row r="11" spans="1:1" x14ac:dyDescent="0.25">
      <c r="A11" t="str">
        <f>_xlfn.CONCAT("1 TO ",Cálculo!C144," THICKNESS ",Cálculo!E39)</f>
        <v>1 TO 1491 THICKNESS 0.7</v>
      </c>
    </row>
    <row r="12" spans="1:1" x14ac:dyDescent="0.25">
      <c r="A12" t="s">
        <v>557</v>
      </c>
    </row>
    <row r="13" spans="1:1" x14ac:dyDescent="0.25">
      <c r="A13" t="s">
        <v>559</v>
      </c>
    </row>
    <row r="14" spans="1:1" x14ac:dyDescent="0.25">
      <c r="A14" t="s">
        <v>557</v>
      </c>
    </row>
    <row r="15" spans="1:1" x14ac:dyDescent="0.25">
      <c r="A15" t="s">
        <v>560</v>
      </c>
    </row>
    <row r="16" spans="1:1" x14ac:dyDescent="0.25">
      <c r="A16" t="s">
        <v>561</v>
      </c>
    </row>
    <row r="17" spans="1:1" x14ac:dyDescent="0.25">
      <c r="A17" t="str">
        <f>_xlfn.CONCAT("E ",Cálculo!H156)</f>
        <v>E 2188197889</v>
      </c>
    </row>
    <row r="18" spans="1:1" x14ac:dyDescent="0.25">
      <c r="A18" t="str">
        <f>_xlfn.CONCAT("POISSON ",Cálculo!F157)</f>
        <v>POISSON 0.25</v>
      </c>
    </row>
    <row r="19" spans="1:1" x14ac:dyDescent="0.25">
      <c r="A19" t="str">
        <f>_xlfn.CONCAT("DENSITY ",Cálculo!E32)</f>
        <v>DENSITY 2400</v>
      </c>
    </row>
    <row r="20" spans="1:1" x14ac:dyDescent="0.25">
      <c r="A20" t="s">
        <v>562</v>
      </c>
    </row>
    <row r="21" spans="1:1" x14ac:dyDescent="0.25">
      <c r="A21" t="s">
        <v>563</v>
      </c>
    </row>
    <row r="22" spans="1:1" x14ac:dyDescent="0.25">
      <c r="A22" t="str">
        <f>_xlfn.CONCAT("G ",Cálculo!H158)</f>
        <v>G 875279155.469842</v>
      </c>
    </row>
    <row r="23" spans="1:1" x14ac:dyDescent="0.25">
      <c r="A23" t="s">
        <v>564</v>
      </c>
    </row>
    <row r="24" spans="1:1" x14ac:dyDescent="0.25">
      <c r="A24" t="str">
        <f>_xlfn.CONCAT("STRENGTH FCU ",Cálculo!E31*10000)</f>
        <v>STRENGTH FCU 2100000</v>
      </c>
    </row>
    <row r="25" spans="1:1" x14ac:dyDescent="0.25">
      <c r="A25" t="s">
        <v>565</v>
      </c>
    </row>
    <row r="26" spans="1:1" x14ac:dyDescent="0.25">
      <c r="A26" t="s">
        <v>557</v>
      </c>
    </row>
    <row r="27" spans="1:1" x14ac:dyDescent="0.25">
      <c r="A27" t="s">
        <v>566</v>
      </c>
    </row>
    <row r="28" spans="1:1" x14ac:dyDescent="0.25">
      <c r="A28" t="s">
        <v>557</v>
      </c>
    </row>
    <row r="29" spans="1:1" x14ac:dyDescent="0.25">
      <c r="A29" t="s">
        <v>567</v>
      </c>
    </row>
    <row r="30" spans="1:1" x14ac:dyDescent="0.25">
      <c r="A30" t="s">
        <v>568</v>
      </c>
    </row>
    <row r="31" spans="1:1" x14ac:dyDescent="0.25">
      <c r="A31" t="s">
        <v>557</v>
      </c>
    </row>
    <row r="32" spans="1:1" x14ac:dyDescent="0.25">
      <c r="A32" t="s">
        <v>569</v>
      </c>
    </row>
    <row r="33" spans="1:1" x14ac:dyDescent="0.25">
      <c r="A33" t="s">
        <v>557</v>
      </c>
    </row>
    <row r="34" spans="1:1" x14ac:dyDescent="0.25">
      <c r="A34" t="s">
        <v>570</v>
      </c>
    </row>
    <row r="35" spans="1:1" x14ac:dyDescent="0.25">
      <c r="A35" t="str">
        <f>_xlfn.CONCAT("1 TO ",Cálculo!C144," PLATE MAT DIRECT Y SUBGRADE ",Cálculo!J149," PRINT COMPRESSION")</f>
        <v>1 TO 1491 PLATE MAT DIRECT Y SUBGRADE 2000000 PRINT COMPRESSION</v>
      </c>
    </row>
    <row r="36" spans="1:1" x14ac:dyDescent="0.25">
      <c r="A36" t="s">
        <v>557</v>
      </c>
    </row>
    <row r="37" spans="1:1" x14ac:dyDescent="0.25">
      <c r="A37" t="s">
        <v>571</v>
      </c>
    </row>
    <row r="38" spans="1:1" x14ac:dyDescent="0.25">
      <c r="A38" t="s">
        <v>557</v>
      </c>
    </row>
    <row r="39" spans="1:1" x14ac:dyDescent="0.25">
      <c r="A39" t="s">
        <v>572</v>
      </c>
    </row>
    <row r="40" spans="1:1" x14ac:dyDescent="0.25">
      <c r="A40" t="s">
        <v>573</v>
      </c>
    </row>
    <row r="41" spans="1:1" x14ac:dyDescent="0.25">
      <c r="A41" t="s">
        <v>574</v>
      </c>
    </row>
    <row r="42" spans="1:1" x14ac:dyDescent="0.25">
      <c r="A42" t="s">
        <v>557</v>
      </c>
    </row>
    <row r="43" spans="1:1" x14ac:dyDescent="0.25">
      <c r="A43" t="s">
        <v>575</v>
      </c>
    </row>
    <row r="44" spans="1:1" x14ac:dyDescent="0.25">
      <c r="A44" t="s">
        <v>576</v>
      </c>
    </row>
    <row r="45" spans="1:1" x14ac:dyDescent="0.25">
      <c r="A45" t="str">
        <f>_xlfn.CONCAT("1 TO ",Cálculo!C144," PR GY -",Cálculo!C152)</f>
        <v>1 TO 1491 PR GY -4391.0656897813</v>
      </c>
    </row>
    <row r="46" spans="1:1" x14ac:dyDescent="0.25">
      <c r="A46" t="s">
        <v>574</v>
      </c>
    </row>
    <row r="47" spans="1:1" x14ac:dyDescent="0.25">
      <c r="A47" t="s">
        <v>557</v>
      </c>
    </row>
    <row r="48" spans="1:1" x14ac:dyDescent="0.25">
      <c r="A48" t="s">
        <v>577</v>
      </c>
    </row>
    <row r="49" spans="1:5" x14ac:dyDescent="0.25">
      <c r="A49" t="s">
        <v>465</v>
      </c>
    </row>
    <row r="50" spans="1:5" x14ac:dyDescent="0.25">
      <c r="A50" t="str">
        <f>_xlfn.CONCAT("_P1B FY ",-Cálculo!F24*1000/20)</f>
        <v>_P1B FY -3428.5</v>
      </c>
      <c r="E50" s="15"/>
    </row>
    <row r="51" spans="1:5" x14ac:dyDescent="0.25">
      <c r="A51" t="str">
        <f>_xlfn.CONCAT("_P1A FY ",-Cálculo!I24*1000/20)</f>
        <v>_P1A FY 3099</v>
      </c>
      <c r="E51" s="15"/>
    </row>
    <row r="52" spans="1:5" x14ac:dyDescent="0.25">
      <c r="A52" t="str">
        <f>_xlfn.CONCAT("_P1 FY ",-Cálculo!L24*1000/20)</f>
        <v>_P1 FY -164.5</v>
      </c>
      <c r="E52" s="15"/>
    </row>
    <row r="53" spans="1:5" x14ac:dyDescent="0.25">
      <c r="A53" t="s">
        <v>574</v>
      </c>
    </row>
    <row r="54" spans="1:5" x14ac:dyDescent="0.25">
      <c r="A54" t="s">
        <v>557</v>
      </c>
    </row>
    <row r="55" spans="1:5" x14ac:dyDescent="0.25">
      <c r="A55" t="s">
        <v>578</v>
      </c>
    </row>
    <row r="56" spans="1:5" x14ac:dyDescent="0.25">
      <c r="A56" t="s">
        <v>465</v>
      </c>
    </row>
    <row r="57" spans="1:5" x14ac:dyDescent="0.25">
      <c r="A57" t="str">
        <f>_xlfn.CONCAT("_P1B FY ",-Cálculo!F25*1000/20)</f>
        <v>_P1B FY -1996</v>
      </c>
    </row>
    <row r="58" spans="1:5" x14ac:dyDescent="0.25">
      <c r="A58" t="str">
        <f>_xlfn.CONCAT("_P1A FY ",-Cálculo!I25*1000/20)</f>
        <v>_P1A FY 3499</v>
      </c>
    </row>
    <row r="59" spans="1:5" x14ac:dyDescent="0.25">
      <c r="A59" t="str">
        <f>_xlfn.CONCAT("_P1 FY ",-Cálculo!L25*1000/20)</f>
        <v>_P1 FY -1996.5</v>
      </c>
    </row>
    <row r="60" spans="1:5" x14ac:dyDescent="0.25">
      <c r="A60" t="s">
        <v>574</v>
      </c>
    </row>
    <row r="61" spans="1:5" x14ac:dyDescent="0.25">
      <c r="A61" t="s">
        <v>557</v>
      </c>
    </row>
    <row r="62" spans="1:5" x14ac:dyDescent="0.25">
      <c r="A62" t="s">
        <v>579</v>
      </c>
    </row>
    <row r="63" spans="1:5" x14ac:dyDescent="0.25">
      <c r="A63" t="s">
        <v>465</v>
      </c>
    </row>
    <row r="64" spans="1:5" x14ac:dyDescent="0.25">
      <c r="A64" t="str">
        <f>_xlfn.CONCAT("_P1B FY ",-Cálculo!F26*1000/20)</f>
        <v>_P1B FY 1877.5</v>
      </c>
    </row>
    <row r="65" spans="1:1" x14ac:dyDescent="0.25">
      <c r="A65" t="str">
        <f>_xlfn.CONCAT("_P1A FY ",-Cálculo!I26*1000/20)</f>
        <v>_P1A FY 1877.5</v>
      </c>
    </row>
    <row r="66" spans="1:1" x14ac:dyDescent="0.25">
      <c r="A66" t="str">
        <f>_xlfn.CONCAT("_P1 FY ",-Cálculo!L26*1000/20)</f>
        <v>_P1 FY -4249</v>
      </c>
    </row>
    <row r="67" spans="1:1" x14ac:dyDescent="0.25">
      <c r="A67" t="s">
        <v>574</v>
      </c>
    </row>
    <row r="68" spans="1:1" x14ac:dyDescent="0.25">
      <c r="A68" t="s">
        <v>557</v>
      </c>
    </row>
    <row r="69" spans="1:1" x14ac:dyDescent="0.25">
      <c r="A69" t="s">
        <v>580</v>
      </c>
    </row>
    <row r="70" spans="1:1" x14ac:dyDescent="0.25">
      <c r="A70" t="s">
        <v>465</v>
      </c>
    </row>
    <row r="71" spans="1:1" x14ac:dyDescent="0.25">
      <c r="A71" t="str">
        <f>_xlfn.CONCAT("_P1B FY ",-Reacciones!Y7*1000/20)</f>
        <v>_P1B FY -699</v>
      </c>
    </row>
    <row r="72" spans="1:1" x14ac:dyDescent="0.25">
      <c r="A72" t="str">
        <f>_xlfn.CONCAT("_P1A FY ",-Reacciones!Y6*1000/20)</f>
        <v>_P1A FY 425</v>
      </c>
    </row>
    <row r="73" spans="1:1" x14ac:dyDescent="0.25">
      <c r="A73" t="str">
        <f>_xlfn.CONCAT("_P1 FY ",-Reacciones!Y8*1000/20)</f>
        <v>_P1 FY -137</v>
      </c>
    </row>
    <row r="74" spans="1:1" x14ac:dyDescent="0.25">
      <c r="A74" t="s">
        <v>574</v>
      </c>
    </row>
    <row r="75" spans="1:1" x14ac:dyDescent="0.25">
      <c r="A75" t="s">
        <v>557</v>
      </c>
    </row>
    <row r="76" spans="1:1" x14ac:dyDescent="0.25">
      <c r="A76" t="s">
        <v>581</v>
      </c>
    </row>
    <row r="77" spans="1:1" x14ac:dyDescent="0.25">
      <c r="A77" t="s">
        <v>465</v>
      </c>
    </row>
    <row r="78" spans="1:1" x14ac:dyDescent="0.25">
      <c r="A78" t="str">
        <f>_xlfn.CONCAT("_P1B FY ",-Reacciones!Y10*1000/20)</f>
        <v>_P1B FY -452.5</v>
      </c>
    </row>
    <row r="79" spans="1:1" x14ac:dyDescent="0.25">
      <c r="A79" t="str">
        <f>_xlfn.CONCAT("_P1A FY ",-Reacciones!Y9*1000/20)</f>
        <v>_P1A FY 493.5</v>
      </c>
    </row>
    <row r="80" spans="1:1" x14ac:dyDescent="0.25">
      <c r="A80" t="str">
        <f>_xlfn.CONCAT("_P1 FY ",-Reacciones!Y11*1000/20)</f>
        <v>_P1 FY -452.5</v>
      </c>
    </row>
    <row r="81" spans="1:1" x14ac:dyDescent="0.25">
      <c r="A81" t="s">
        <v>574</v>
      </c>
    </row>
    <row r="82" spans="1:1" x14ac:dyDescent="0.25">
      <c r="A82" t="s">
        <v>557</v>
      </c>
    </row>
    <row r="83" spans="1:1" x14ac:dyDescent="0.25">
      <c r="A83" t="s">
        <v>582</v>
      </c>
    </row>
    <row r="84" spans="1:1" x14ac:dyDescent="0.25">
      <c r="A84" t="s">
        <v>465</v>
      </c>
    </row>
    <row r="85" spans="1:1" x14ac:dyDescent="0.25">
      <c r="A85" t="str">
        <f>_xlfn.CONCAT("_P1B FY ",-Reacciones!Y13*1000/20)</f>
        <v>_P1B FY 214.5</v>
      </c>
    </row>
    <row r="86" spans="1:1" x14ac:dyDescent="0.25">
      <c r="A86" t="str">
        <f>_xlfn.CONCAT("_P1A FY ",-Reacciones!Y12*1000/20)</f>
        <v>_P1A FY 214.5</v>
      </c>
    </row>
    <row r="87" spans="1:1" x14ac:dyDescent="0.25">
      <c r="A87" t="str">
        <f>_xlfn.CONCAT("_P1 FY ",-Reacciones!Y14*1000/20)</f>
        <v>_P1 FY -840.5</v>
      </c>
    </row>
    <row r="88" spans="1:1" x14ac:dyDescent="0.25">
      <c r="A88" t="s">
        <v>574</v>
      </c>
    </row>
    <row r="89" spans="1:1" x14ac:dyDescent="0.25">
      <c r="A89" t="s">
        <v>583</v>
      </c>
    </row>
    <row r="90" spans="1:1" x14ac:dyDescent="0.25">
      <c r="A90" t="s">
        <v>574</v>
      </c>
    </row>
    <row r="91" spans="1:1" x14ac:dyDescent="0.25">
      <c r="A91" t="s">
        <v>557</v>
      </c>
    </row>
    <row r="92" spans="1:1" x14ac:dyDescent="0.25">
      <c r="A92" t="s">
        <v>584</v>
      </c>
    </row>
    <row r="93" spans="1:1" x14ac:dyDescent="0.25">
      <c r="A93" t="s">
        <v>585</v>
      </c>
    </row>
    <row r="94" spans="1:1" x14ac:dyDescent="0.25">
      <c r="A94" t="s">
        <v>586</v>
      </c>
    </row>
    <row r="95" spans="1:1" x14ac:dyDescent="0.25">
      <c r="A95" t="s">
        <v>574</v>
      </c>
    </row>
    <row r="96" spans="1:1" x14ac:dyDescent="0.25">
      <c r="A96" t="s">
        <v>557</v>
      </c>
    </row>
    <row r="97" spans="1:1" x14ac:dyDescent="0.25">
      <c r="A97" t="s">
        <v>587</v>
      </c>
    </row>
    <row r="98" spans="1:1" x14ac:dyDescent="0.25">
      <c r="A98" t="s">
        <v>585</v>
      </c>
    </row>
    <row r="99" spans="1:1" x14ac:dyDescent="0.25">
      <c r="A99" t="s">
        <v>588</v>
      </c>
    </row>
    <row r="100" spans="1:1" x14ac:dyDescent="0.25">
      <c r="A100" t="s">
        <v>574</v>
      </c>
    </row>
    <row r="101" spans="1:1" x14ac:dyDescent="0.25">
      <c r="A101" t="s">
        <v>557</v>
      </c>
    </row>
    <row r="102" spans="1:1" x14ac:dyDescent="0.25">
      <c r="A102" t="s">
        <v>589</v>
      </c>
    </row>
    <row r="103" spans="1:1" x14ac:dyDescent="0.25">
      <c r="A103" t="s">
        <v>585</v>
      </c>
    </row>
    <row r="104" spans="1:1" x14ac:dyDescent="0.25">
      <c r="A104" t="s">
        <v>590</v>
      </c>
    </row>
    <row r="105" spans="1:1" x14ac:dyDescent="0.25">
      <c r="A105" t="s">
        <v>574</v>
      </c>
    </row>
    <row r="106" spans="1:1" x14ac:dyDescent="0.25">
      <c r="A106" t="s">
        <v>591</v>
      </c>
    </row>
    <row r="107" spans="1:1" x14ac:dyDescent="0.25">
      <c r="A107" t="s">
        <v>574</v>
      </c>
    </row>
    <row r="108" spans="1:1" x14ac:dyDescent="0.25">
      <c r="A108" t="s">
        <v>557</v>
      </c>
    </row>
    <row r="109" spans="1:1" x14ac:dyDescent="0.25">
      <c r="A109" t="s">
        <v>592</v>
      </c>
    </row>
    <row r="110" spans="1:1" x14ac:dyDescent="0.25">
      <c r="A110" t="s">
        <v>585</v>
      </c>
    </row>
    <row r="111" spans="1:1" x14ac:dyDescent="0.25">
      <c r="A111" t="s">
        <v>593</v>
      </c>
    </row>
    <row r="112" spans="1:1" x14ac:dyDescent="0.25">
      <c r="A112" t="s">
        <v>574</v>
      </c>
    </row>
    <row r="113" spans="1:1" x14ac:dyDescent="0.25">
      <c r="A113" t="s">
        <v>557</v>
      </c>
    </row>
    <row r="114" spans="1:1" x14ac:dyDescent="0.25">
      <c r="A114" t="s">
        <v>594</v>
      </c>
    </row>
    <row r="115" spans="1:1" x14ac:dyDescent="0.25">
      <c r="A115" t="s">
        <v>585</v>
      </c>
    </row>
    <row r="116" spans="1:1" x14ac:dyDescent="0.25">
      <c r="A116" t="s">
        <v>595</v>
      </c>
    </row>
    <row r="117" spans="1:1" x14ac:dyDescent="0.25">
      <c r="A117" t="s">
        <v>574</v>
      </c>
    </row>
    <row r="118" spans="1:1" x14ac:dyDescent="0.25">
      <c r="A118" t="s">
        <v>557</v>
      </c>
    </row>
    <row r="119" spans="1:1" x14ac:dyDescent="0.25">
      <c r="A119" t="s">
        <v>596</v>
      </c>
    </row>
    <row r="120" spans="1:1" x14ac:dyDescent="0.25">
      <c r="A120" t="s">
        <v>585</v>
      </c>
    </row>
    <row r="121" spans="1:1" x14ac:dyDescent="0.25">
      <c r="A121" t="s">
        <v>597</v>
      </c>
    </row>
    <row r="122" spans="1:1" x14ac:dyDescent="0.25">
      <c r="A122" t="s">
        <v>557</v>
      </c>
    </row>
    <row r="123" spans="1:1" x14ac:dyDescent="0.25">
      <c r="A123" t="s">
        <v>598</v>
      </c>
    </row>
    <row r="124" spans="1:1" x14ac:dyDescent="0.25">
      <c r="A124" t="s">
        <v>599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CDD3B-287E-458F-96FF-2EB8F7045DA7}">
  <sheetPr codeName="Hoja7"/>
  <dimension ref="A1:Z123"/>
  <sheetViews>
    <sheetView topLeftCell="A7" workbookViewId="0">
      <selection activeCell="A14" sqref="A14:A123"/>
    </sheetView>
  </sheetViews>
  <sheetFormatPr baseColWidth="10" defaultColWidth="11.42578125" defaultRowHeight="15" x14ac:dyDescent="0.25"/>
  <cols>
    <col min="1" max="1" width="28.85546875" bestFit="1" customWidth="1"/>
    <col min="10" max="10" width="12" bestFit="1" customWidth="1"/>
    <col min="14" max="14" width="44" bestFit="1" customWidth="1"/>
    <col min="16" max="16" width="6.5703125" customWidth="1"/>
  </cols>
  <sheetData>
    <row r="1" spans="1:26" x14ac:dyDescent="0.25">
      <c r="A1" t="str">
        <f>_xlfn.CONCAT("STAAD SPACE ",Cálculo!N3," ",Cálculo!N4)</f>
        <v>STAAD SPACE 156453 PRUEBA_2</v>
      </c>
      <c r="I1" t="s">
        <v>600</v>
      </c>
      <c r="J1" t="s">
        <v>601</v>
      </c>
      <c r="K1" t="s">
        <v>602</v>
      </c>
      <c r="L1" t="s">
        <v>603</v>
      </c>
      <c r="M1" t="s">
        <v>604</v>
      </c>
      <c r="N1" s="2">
        <f>ROUNDUP(COUNT(I2:I84)/3,0)</f>
        <v>23</v>
      </c>
      <c r="O1">
        <f>ROUNDUP(Q1/9,0)</f>
        <v>1</v>
      </c>
      <c r="P1" s="2"/>
      <c r="Q1" s="2">
        <f>COUNT(Q3:Q35)-1</f>
        <v>6</v>
      </c>
      <c r="R1" s="244" t="s">
        <v>605</v>
      </c>
      <c r="S1" s="244"/>
      <c r="T1" s="244"/>
      <c r="U1" s="2"/>
      <c r="V1" s="2"/>
      <c r="W1" s="2">
        <f>COUNT(W3:W35)-1</f>
        <v>-1</v>
      </c>
      <c r="X1" s="244" t="s">
        <v>606</v>
      </c>
      <c r="Y1" s="244"/>
      <c r="Z1" s="244"/>
    </row>
    <row r="2" spans="1:26" x14ac:dyDescent="0.25">
      <c r="A2" t="s">
        <v>607</v>
      </c>
      <c r="I2">
        <v>1</v>
      </c>
      <c r="J2">
        <f>Cálculo!X28</f>
        <v>-2.8</v>
      </c>
      <c r="K2">
        <v>0</v>
      </c>
      <c r="L2" s="15">
        <f>-Cálculo!Y28</f>
        <v>1.7433756729740644</v>
      </c>
      <c r="M2" t="str">
        <f>IF(I2="","",_xlfn.CONCAT(I2," ",ROUND(J2,5)," ",MROUND(K2,5)," ",ROUND(L2,5),"; "))</f>
        <v xml:space="preserve">1 -2.8 0 1.74338; </v>
      </c>
      <c r="N2" t="str">
        <f>_xlfn.CONCAT("DENSITY LINE ",ROUND(J2,5)," ",ROUND(K2,5)," ",ROUND(L2,5)," 1 ",ROUND(J3,5)," ",ROUND(K3,5)," ",ROUND(L3,5)," 1 0")</f>
        <v>DENSITY LINE -2.8 0 1.74338 1 -2.68 0 1.74338 1 0</v>
      </c>
      <c r="O2" t="str">
        <f>_xlfn.CONCAT(ROUND(J2,5)," ",ROUND(K2,5)," ",ROUND(L2,5)," 1 ",ROUND(J3,5)," ",ROUND(K3,5)," ",ROUND(L3,5)," 1 ",ROUND(J4,5)," ",ROUND(K4,5)," ",ROUND(L4,5)," 1 ",ROUND(J5,5)," ",ROUND(K5,5)," ",ROUND(L5,5)," 1 -")</f>
        <v>-2.8 0 1.74338 1 -2.68 0 1.74338 1 -2.56 0 1.74338 1 -2.44 0 1.74338 1 -</v>
      </c>
      <c r="P2" s="2"/>
      <c r="Q2" s="2"/>
      <c r="R2" s="2" t="s">
        <v>46</v>
      </c>
      <c r="S2" s="2" t="s">
        <v>47</v>
      </c>
      <c r="T2" s="2" t="s">
        <v>48</v>
      </c>
      <c r="U2" s="2"/>
      <c r="V2" s="2"/>
      <c r="W2" s="2"/>
      <c r="X2" s="2" t="s">
        <v>46</v>
      </c>
      <c r="Y2" s="2" t="s">
        <v>47</v>
      </c>
      <c r="Z2" s="2" t="s">
        <v>48</v>
      </c>
    </row>
    <row r="3" spans="1:26" x14ac:dyDescent="0.25">
      <c r="A3" t="s">
        <v>608</v>
      </c>
      <c r="I3">
        <v>2</v>
      </c>
      <c r="J3">
        <f>Cálculo!AK30</f>
        <v>-2.6799999999999997</v>
      </c>
      <c r="K3">
        <v>0</v>
      </c>
      <c r="L3" s="15">
        <f>-Cálculo!AL30</f>
        <v>1.7433756729740644</v>
      </c>
      <c r="M3" t="str">
        <f t="shared" ref="M3:M66" si="0">IF(I3="","",_xlfn.CONCAT(I3," ",ROUND(J3,5)," ",MROUND(K3,5)," ",ROUND(L3,5),"; "))</f>
        <v xml:space="preserve">2 -2.68 0 1.74338; </v>
      </c>
      <c r="N3" t="str">
        <f>_xlfn.CONCAT("DENSITY LINE ",ROUND(J3,5)," ",ROUND(K3,5)," ",ROUND(L3,5)," 1 ",ROUND(J4,5)," ",ROUND(K4,5)," ",ROUND(L4,5)," 1 0")</f>
        <v>DENSITY LINE -2.68 0 1.74338 1 -2.56 0 1.74338 1 0</v>
      </c>
      <c r="O3" t="str">
        <f>_xlfn.CONCAT(ROUND(J6,5)," ",ROUND(K6,5)," ",ROUND(L6,5)," 1 ",ROUND(J7,5)," ",ROUND(K7,5)," ",ROUND(L7,5)," 1 ",ROUND(J8,5)," ",ROUND(K8,5)," ",ROUND(L8,5)," 1 ",ROUND(J9,5)," ",ROUND(K9,5)," ",ROUND(L9,5)," 1 -")</f>
        <v>-2.32 0 1.74338 1 -2.2 0 1.74338 1 -2.2 0 1.62338 1 -2.2 0 1.50338 1 -</v>
      </c>
      <c r="P3" s="49">
        <v>1</v>
      </c>
      <c r="Q3" s="2">
        <f>IF(Vértices!C2="","",P3)</f>
        <v>1</v>
      </c>
      <c r="R3" s="2">
        <f>IF(Vértices!C2="","",Vértices!C2)</f>
        <v>-4.8659999999999997</v>
      </c>
      <c r="S3" s="2">
        <f>IF(Vértices!E2="","",Vértices!E2)</f>
        <v>0</v>
      </c>
      <c r="T3" s="2">
        <f>IF(Vértices!D2="","",-Vértices!D2)</f>
        <v>1.6547000000000001</v>
      </c>
      <c r="U3" s="2"/>
      <c r="V3" s="49">
        <v>34</v>
      </c>
      <c r="W3" s="2" t="str">
        <f>IF(Vértices!H2="","",V3)</f>
        <v/>
      </c>
      <c r="X3" s="2" t="str">
        <f>IF(Vértices!H2="","",Vértices!H2)</f>
        <v/>
      </c>
      <c r="Y3" s="2" t="str">
        <f>IF(Vértices!J2="","",Vértices!J2)</f>
        <v/>
      </c>
      <c r="Z3" s="2" t="str">
        <f>IF(Vértices!I2="","",-Vértices!I2)</f>
        <v/>
      </c>
    </row>
    <row r="4" spans="1:26" x14ac:dyDescent="0.25">
      <c r="A4" t="str">
        <f>CONCATENATE("ENGINEER DATE ",TEXT(Cálculo!N6,"dd"),"-",TEXT(Cálculo!N6,"MMM"),"-",TEXT(Cálculo!N6,"aaaa"))</f>
        <v>ENGINEER DATE 27/01/2026-27/01/2026-27/01/2026</v>
      </c>
      <c r="I4">
        <v>3</v>
      </c>
      <c r="J4">
        <f>Cálculo!AK31</f>
        <v>-2.5599999999999996</v>
      </c>
      <c r="K4">
        <v>0</v>
      </c>
      <c r="L4" s="15">
        <f>-Cálculo!AL31</f>
        <v>1.7433756729740644</v>
      </c>
      <c r="M4" t="str">
        <f t="shared" si="0"/>
        <v xml:space="preserve">3 -2.56 0 1.74338; </v>
      </c>
      <c r="N4" t="str">
        <f t="shared" ref="N4:N20" si="1">_xlfn.CONCAT("DENSITY LINE ",ROUND(J4,5)," ",ROUND(K4,5)," ",ROUND(L4,5)," 1 ",ROUND(J5,5)," ",ROUND(K5,5)," ",ROUND(L5,5)," 1 0")</f>
        <v>DENSITY LINE -2.56 0 1.74338 1 -2.44 0 1.74338 1 0</v>
      </c>
      <c r="O4" t="str">
        <f>_xlfn.CONCAT(ROUND(J10,5)," ",ROUND(K10,5)," ",ROUND(L10,5)," 1 ",ROUND(J11,5)," ",ROUND(K11,5)," ",ROUND(L11,5)," 1 ",ROUND(J12,5)," ",ROUND(K12,5)," ",ROUND(L12,5)," 1 ",ROUND(J13,5)," ",ROUND(K13,5)," ",ROUND(L13,5)," 1 -")</f>
        <v>-2.2 0 1.38338 1 -2.2 0 1.26338 1 -2.2 0 1.14338 1 -2.32 0 1.14338 1 -</v>
      </c>
      <c r="P4" s="49">
        <v>2</v>
      </c>
      <c r="Q4" s="2">
        <f>IF(Vértices!C3="","",P4)</f>
        <v>2</v>
      </c>
      <c r="R4" s="2">
        <f>IF(Vértices!C3="","",Vértices!C3)</f>
        <v>-3.8660000000000001</v>
      </c>
      <c r="S4" s="2">
        <f>IF(Vértices!E3="","",Vértices!E3)</f>
        <v>0</v>
      </c>
      <c r="T4" s="2">
        <f>IF(Vértices!D3="","",-Vértices!D3)</f>
        <v>3.3868</v>
      </c>
      <c r="U4" s="2"/>
      <c r="V4" s="49">
        <v>35</v>
      </c>
      <c r="W4" s="2" t="str">
        <f>IF(Vértices!H3="","",V4)</f>
        <v/>
      </c>
      <c r="X4" s="2" t="str">
        <f>IF(Vértices!H3="","",Vértices!H3)</f>
        <v/>
      </c>
      <c r="Y4" s="2" t="str">
        <f>IF(Vértices!J3="","",Vértices!J3)</f>
        <v/>
      </c>
      <c r="Z4" s="2" t="str">
        <f>IF(Vértices!I3="","",-Vértices!I3)</f>
        <v/>
      </c>
    </row>
    <row r="5" spans="1:26" x14ac:dyDescent="0.25">
      <c r="A5" t="str">
        <f>CONCATENATE("ENGINEER NAME ",Cálculo!N5)</f>
        <v>ENGINEER NAME JUAN ESPINOSA</v>
      </c>
      <c r="I5">
        <v>4</v>
      </c>
      <c r="J5">
        <f>Cálculo!AK32</f>
        <v>-2.44</v>
      </c>
      <c r="K5">
        <v>0</v>
      </c>
      <c r="L5" s="15">
        <f>-Cálculo!AL32</f>
        <v>1.7433756729740644</v>
      </c>
      <c r="M5" t="str">
        <f t="shared" si="0"/>
        <v xml:space="preserve">4 -2.44 0 1.74338; </v>
      </c>
      <c r="N5" t="str">
        <f t="shared" si="1"/>
        <v>DENSITY LINE -2.44 0 1.74338 1 -2.32 0 1.74338 1 0</v>
      </c>
      <c r="O5" t="str">
        <f>_xlfn.CONCAT(ROUND(J14,5)," ",ROUND(K14,5)," ",ROUND(L14,5)," 1 ",ROUND(J15,5)," ",ROUND(K15,5)," ",ROUND(L15,5)," 1 ",ROUND(J16,5)," ",ROUND(K16,5)," ",ROUND(L16,5)," 1 ",ROUND(J17,5)," ",ROUND(K17,5)," ",ROUND(L17,5)," 1 -")</f>
        <v>-2.44 0 1.14338 1 -2.56 0 1.14338 1 -2.68 0 1.14338 1 -2.8 0 1.14338 1 -</v>
      </c>
      <c r="P5" s="49">
        <v>3</v>
      </c>
      <c r="Q5" s="2">
        <f>IF(Vértices!C4="","",P5)</f>
        <v>3</v>
      </c>
      <c r="R5" s="2">
        <f>IF(Vértices!C4="","",Vértices!C4)</f>
        <v>3.8660000000000001</v>
      </c>
      <c r="S5" s="2">
        <f>IF(Vértices!E4="","",Vértices!E4)</f>
        <v>0</v>
      </c>
      <c r="T5" s="2">
        <f>IF(Vértices!D4="","",-Vértices!D4)</f>
        <v>3.3868</v>
      </c>
      <c r="U5" s="2"/>
      <c r="V5" s="49">
        <v>36</v>
      </c>
      <c r="W5" s="2" t="str">
        <f>IF(Vértices!H4="","",V5)</f>
        <v/>
      </c>
      <c r="X5" s="2" t="str">
        <f>IF(Vértices!H4="","",Vértices!H4)</f>
        <v/>
      </c>
      <c r="Y5" s="2" t="str">
        <f>IF(Vértices!J4="","",Vértices!J4)</f>
        <v/>
      </c>
      <c r="Z5" s="2" t="str">
        <f>IF(Vértices!I4="","",-Vértices!I4)</f>
        <v/>
      </c>
    </row>
    <row r="6" spans="1:26" x14ac:dyDescent="0.25">
      <c r="A6" t="str">
        <f>CONCATENATE("JOB NAME ",Cálculo!N8)</f>
        <v>JOB NAME 12826797</v>
      </c>
      <c r="I6">
        <v>5</v>
      </c>
      <c r="J6">
        <f>Cálculo!AK33</f>
        <v>-2.3199999999999998</v>
      </c>
      <c r="K6">
        <v>0</v>
      </c>
      <c r="L6" s="15">
        <f>-Cálculo!AL33</f>
        <v>1.7433756729740644</v>
      </c>
      <c r="M6" t="str">
        <f t="shared" si="0"/>
        <v xml:space="preserve">5 -2.32 0 1.74338; </v>
      </c>
      <c r="N6" t="str">
        <f t="shared" si="1"/>
        <v>DENSITY LINE -2.32 0 1.74338 1 -2.2 0 1.74338 1 0</v>
      </c>
      <c r="O6" t="str">
        <f>_xlfn.CONCAT(ROUND(J18,5)," ",ROUND(K18,5)," ",ROUND(L18,5)," 1 ",ROUND(J19,5)," ",ROUND(K19,5)," ",ROUND(L19,5)," 1 ",ROUND(J20,5)," ",ROUND(K20,5)," ",ROUND(L20,5)," 1 ",ROUND(J21,5)," ",ROUND(K21,5)," ",ROUND(L21,5)," 1 -")</f>
        <v>-2.8 0 1.26338 1 -2.8 0 1.38338 1 -2.8 0 1.50338 1 -2.8 0 1.62338 1 -</v>
      </c>
      <c r="P6" s="49">
        <v>4</v>
      </c>
      <c r="Q6" s="2">
        <f>IF(Vértices!C5="","",P6)</f>
        <v>4</v>
      </c>
      <c r="R6" s="2">
        <f>IF(Vértices!C5="","",Vértices!C5)</f>
        <v>4.8659999999999997</v>
      </c>
      <c r="S6" s="2">
        <f>IF(Vértices!E5="","",Vértices!E5)</f>
        <v>0</v>
      </c>
      <c r="T6" s="2">
        <f>IF(Vértices!D5="","",-Vértices!D5)</f>
        <v>1.6547000000000001</v>
      </c>
      <c r="U6" s="2"/>
      <c r="V6" s="49">
        <v>37</v>
      </c>
      <c r="W6" s="2" t="str">
        <f>IF(Vértices!H5="","",V6)</f>
        <v/>
      </c>
      <c r="X6" s="2" t="str">
        <f>IF(Vértices!H5="","",Vértices!H5)</f>
        <v/>
      </c>
      <c r="Y6" s="2" t="str">
        <f>IF(Vértices!J5="","",Vértices!J5)</f>
        <v/>
      </c>
      <c r="Z6" s="2" t="str">
        <f>IF(Vértices!I5="","",-Vértices!I5)</f>
        <v/>
      </c>
    </row>
    <row r="7" spans="1:26" x14ac:dyDescent="0.25">
      <c r="A7" t="s">
        <v>609</v>
      </c>
      <c r="I7">
        <v>6</v>
      </c>
      <c r="J7">
        <f>Cálculo!X29</f>
        <v>-2.1999999999999997</v>
      </c>
      <c r="K7">
        <v>0</v>
      </c>
      <c r="L7" s="15">
        <f>-Cálculo!Y29</f>
        <v>1.7433756729740644</v>
      </c>
      <c r="M7" t="str">
        <f t="shared" si="0"/>
        <v xml:space="preserve">6 -2.2 0 1.74338; </v>
      </c>
      <c r="N7" t="str">
        <f t="shared" si="1"/>
        <v>DENSITY LINE -2.2 0 1.74338 1 -2.2 0 1.62338 1 0</v>
      </c>
      <c r="O7" t="str">
        <f>_xlfn.CONCAT(ROUND(J22,5)," ",ROUND(K22,5)," ",ROUND(L22,5)," 1 ",ROUND(J23,5)," ",ROUND(K23,5)," ",ROUND(L23,5)," 1 ",ROUND(J24,5)," ",ROUND(K24,5)," ",ROUND(L24,5)," 1 ",ROUND(J25,5)," ",ROUND(K25,5)," ",ROUND(L25,5)," 1 -")</f>
        <v>2.2 0 1.74338 1 2.32 0 1.74338 1 2.44 0 1.74338 1 2.56 0 1.74338 1 -</v>
      </c>
      <c r="P7" s="49">
        <v>5</v>
      </c>
      <c r="Q7" s="2">
        <f>IF(Vértices!C6="","",P7)</f>
        <v>5</v>
      </c>
      <c r="R7" s="2">
        <f>IF(Vértices!C6="","",Vértices!C6)</f>
        <v>1</v>
      </c>
      <c r="S7" s="2">
        <f>IF(Vértices!E6="","",Vértices!E6)</f>
        <v>0</v>
      </c>
      <c r="T7" s="2">
        <f>IF(Vértices!D6="","",-Vértices!D6)</f>
        <v>-5.0415000000000001</v>
      </c>
      <c r="U7" s="2"/>
      <c r="V7" s="49">
        <v>38</v>
      </c>
      <c r="W7" s="2" t="str">
        <f>IF(Vértices!H6="","",V7)</f>
        <v/>
      </c>
      <c r="X7" s="2" t="str">
        <f>IF(Vértices!H6="","",Vértices!H6)</f>
        <v/>
      </c>
      <c r="Y7" s="2" t="str">
        <f>IF(Vértices!J6="","",Vértices!J6)</f>
        <v/>
      </c>
      <c r="Z7" s="2" t="str">
        <f>IF(Vértices!I6="","",-Vértices!I6)</f>
        <v/>
      </c>
    </row>
    <row r="8" spans="1:26" x14ac:dyDescent="0.25">
      <c r="A8" t="s">
        <v>557</v>
      </c>
      <c r="I8">
        <v>7</v>
      </c>
      <c r="J8">
        <f>Cálculo!AK34</f>
        <v>-2.1999999999999997</v>
      </c>
      <c r="K8">
        <v>0</v>
      </c>
      <c r="L8" s="15">
        <f>-Cálculo!AL34</f>
        <v>1.6233756729740643</v>
      </c>
      <c r="M8" t="str">
        <f t="shared" si="0"/>
        <v xml:space="preserve">7 -2.2 0 1.62338; </v>
      </c>
      <c r="N8" t="str">
        <f t="shared" si="1"/>
        <v>DENSITY LINE -2.2 0 1.62338 1 -2.2 0 1.50338 1 0</v>
      </c>
      <c r="O8" t="str">
        <f>_xlfn.CONCAT(ROUND(J26,5)," ",ROUND(K26,5)," ",ROUND(L26,5)," 1 ",ROUND(J27,5)," ",ROUND(K27,5)," ",ROUND(L27,5)," 1 ",ROUND(J28,5)," ",ROUND(K28,5)," ",ROUND(L28,5)," 1 ",ROUND(J29,5)," ",ROUND(K29,5)," ",ROUND(L29,5)," 1 -")</f>
        <v>2.68 0 1.74338 1 2.8 0 1.74338 1 2.8 0 1.62338 1 2.8 0 1.50338 1 -</v>
      </c>
      <c r="P8" s="49">
        <v>6</v>
      </c>
      <c r="Q8" s="2">
        <f>IF(Vértices!C7="","",P8)</f>
        <v>6</v>
      </c>
      <c r="R8" s="2">
        <f>IF(Vértices!C7="","",Vértices!C7)</f>
        <v>-1</v>
      </c>
      <c r="S8" s="2">
        <f>IF(Vértices!E7="","",Vértices!E7)</f>
        <v>0</v>
      </c>
      <c r="T8" s="2">
        <f>IF(Vértices!D7="","",-Vértices!D7)</f>
        <v>-5.0415000000000001</v>
      </c>
      <c r="U8" s="2"/>
      <c r="V8" s="49">
        <v>39</v>
      </c>
      <c r="W8" s="2" t="str">
        <f>IF(Vértices!H7="","",V8)</f>
        <v/>
      </c>
      <c r="X8" s="2" t="str">
        <f>IF(Vértices!H7="","",Vértices!H7)</f>
        <v/>
      </c>
      <c r="Y8" s="2" t="str">
        <f>IF(Vértices!J7="","",Vértices!J7)</f>
        <v/>
      </c>
      <c r="Z8" s="2" t="str">
        <f>IF(Vértices!I7="","",-Vértices!I7)</f>
        <v/>
      </c>
    </row>
    <row r="9" spans="1:26" x14ac:dyDescent="0.25">
      <c r="A9" t="str">
        <f>_xlfn.CONCAT("****** ZAPATA TRIANGULAR DE ",Cálculo!E38," m *****")</f>
        <v>****** ZAPATA TRIANGULAR DE 9.732 m *****</v>
      </c>
      <c r="I9">
        <v>8</v>
      </c>
      <c r="J9">
        <f>Cálculo!AK35</f>
        <v>-2.1999999999999997</v>
      </c>
      <c r="K9">
        <v>0</v>
      </c>
      <c r="L9" s="15">
        <f>-Cálculo!AL35</f>
        <v>1.5033756729740644</v>
      </c>
      <c r="M9" t="str">
        <f t="shared" si="0"/>
        <v xml:space="preserve">8 -2.2 0 1.50338; </v>
      </c>
      <c r="N9" t="str">
        <f t="shared" si="1"/>
        <v>DENSITY LINE -2.2 0 1.50338 1 -2.2 0 1.38338 1 0</v>
      </c>
      <c r="O9" t="str">
        <f>_xlfn.CONCAT(ROUND(J30,5)," ",ROUND(K30,5)," ",ROUND(L30,5)," 1 ",ROUND(J31,5)," ",ROUND(K31,5)," ",ROUND(L31,5)," 1 ",ROUND(J32,5)," ",ROUND(K32,5)," ",ROUND(L32,5)," 1 ",ROUND(J33,5)," ",ROUND(K33,5)," ",ROUND(L33,5)," 1 -")</f>
        <v>2.8 0 1.38338 1 2.8 0 1.26338 1 2.8 0 1.14338 1 2.68 0 1.14338 1 -</v>
      </c>
      <c r="P9" s="49">
        <v>7</v>
      </c>
      <c r="Q9" s="2">
        <f>IF(Vértices!C8="","",P9)</f>
        <v>7</v>
      </c>
      <c r="R9" s="2">
        <f>IF(Vértices!C8="","",Vértices!C8)</f>
        <v>-4.8659999999999997</v>
      </c>
      <c r="S9" s="2">
        <f>IF(Vértices!E8="","",Vértices!E8)</f>
        <v>0</v>
      </c>
      <c r="T9" s="2">
        <f>IF(Vértices!D8="","",-Vértices!D8)</f>
        <v>1.6547000000000001</v>
      </c>
      <c r="U9" s="2"/>
      <c r="V9" s="49">
        <v>40</v>
      </c>
      <c r="W9" s="2" t="str">
        <f>IF(Vértices!H8="","",V9)</f>
        <v/>
      </c>
      <c r="X9" s="2" t="str">
        <f>IF(Vértices!H8="","",Vértices!H8)</f>
        <v/>
      </c>
      <c r="Y9" s="2" t="str">
        <f>IF(Vértices!J8="","",Vértices!J8)</f>
        <v/>
      </c>
      <c r="Z9" s="2" t="str">
        <f>IF(Vértices!I8="","",-Vértices!I8)</f>
        <v/>
      </c>
    </row>
    <row r="10" spans="1:26" x14ac:dyDescent="0.25">
      <c r="A10" t="s">
        <v>557</v>
      </c>
      <c r="I10">
        <v>9</v>
      </c>
      <c r="J10">
        <f>Cálculo!AK36</f>
        <v>-2.1999999999999997</v>
      </c>
      <c r="K10">
        <v>0</v>
      </c>
      <c r="L10" s="15">
        <f>-Cálculo!AL36</f>
        <v>1.3833756729740645</v>
      </c>
      <c r="M10" t="str">
        <f t="shared" si="0"/>
        <v xml:space="preserve">9 -2.2 0 1.38338; </v>
      </c>
      <c r="N10" t="str">
        <f t="shared" si="1"/>
        <v>DENSITY LINE -2.2 0 1.38338 1 -2.2 0 1.26338 1 0</v>
      </c>
      <c r="O10" t="str">
        <f>_xlfn.CONCAT(ROUND(J34,5)," ",ROUND(K34,5)," ",ROUND(L34,5)," 1 ",ROUND(J35,5)," ",ROUND(K35,5)," ",ROUND(L35,5)," 1 ",ROUND(J36,5)," ",ROUND(K36,5)," ",ROUND(L36,5)," 1 ",ROUND(J37,5)," ",ROUND(K37,5)," ",ROUND(L37,5)," 1 -")</f>
        <v>2.56 0 1.14338 1 2.44 0 1.14338 1 2.32 0 1.14338 1 2.2 0 1.14338 1 -</v>
      </c>
      <c r="P10" s="49">
        <v>8</v>
      </c>
      <c r="Q10" s="2" t="str">
        <f>IF(Vértices!C9="","",P10)</f>
        <v/>
      </c>
      <c r="R10" s="2" t="str">
        <f>IF(Vértices!C9="","",Vértices!C9)</f>
        <v/>
      </c>
      <c r="S10" s="2">
        <f>IF(Vértices!E9="","",Vértices!E9)</f>
        <v>0</v>
      </c>
      <c r="T10" s="2" t="str">
        <f>IF(Vértices!D9="","",-Vértices!D9)</f>
        <v/>
      </c>
      <c r="U10" s="2"/>
      <c r="V10" s="49">
        <v>41</v>
      </c>
      <c r="W10" s="2" t="str">
        <f>IF(Vértices!H9="","",V10)</f>
        <v/>
      </c>
      <c r="X10" s="2" t="str">
        <f>IF(Vértices!H9="","",Vértices!H9)</f>
        <v/>
      </c>
      <c r="Y10" s="2" t="str">
        <f>IF(Vértices!J9="","",Vértices!J9)</f>
        <v/>
      </c>
      <c r="Z10" s="2" t="str">
        <f>IF(Vértices!I9="","",-Vértices!I9)</f>
        <v/>
      </c>
    </row>
    <row r="11" spans="1:26" x14ac:dyDescent="0.25">
      <c r="A11" t="s">
        <v>610</v>
      </c>
      <c r="I11">
        <v>10</v>
      </c>
      <c r="J11">
        <f>Cálculo!AK37</f>
        <v>-2.1999999999999997</v>
      </c>
      <c r="K11">
        <v>0</v>
      </c>
      <c r="L11" s="15">
        <f>-Cálculo!AL37</f>
        <v>1.2633756729740644</v>
      </c>
      <c r="M11" t="str">
        <f t="shared" si="0"/>
        <v xml:space="preserve">10 -2.2 0 1.26338; </v>
      </c>
      <c r="N11" t="str">
        <f t="shared" si="1"/>
        <v>DENSITY LINE -2.2 0 1.26338 1 -2.2 0 1.14338 1 0</v>
      </c>
      <c r="O11" t="str">
        <f>_xlfn.CONCAT(ROUND(J38,5)," ",ROUND(K38,5)," ",ROUND(L38,5)," 1 ",ROUND(J39,5)," ",ROUND(K39,5)," ",ROUND(L39,5)," 1 ",ROUND(J40,5)," ",ROUND(K40,5)," ",ROUND(L40,5)," 1 ",ROUND(J41,5)," ",ROUND(K41,5)," ",ROUND(L41,5)," 1 -")</f>
        <v>2.2 0 1.26338 1 2.2 0 1.38338 1 2.2 0 1.50338 1 2.2 0 1.62338 1 -</v>
      </c>
      <c r="P11" s="49">
        <v>9</v>
      </c>
      <c r="Q11" s="2" t="str">
        <f>IF(Vértices!C10="","",P11)</f>
        <v/>
      </c>
      <c r="R11" s="2" t="str">
        <f>IF(Vértices!C10="","",Vértices!C10)</f>
        <v/>
      </c>
      <c r="S11" s="2">
        <f>IF(Vértices!E10="","",Vértices!E10)</f>
        <v>0</v>
      </c>
      <c r="T11" s="2" t="str">
        <f>IF(Vértices!D10="","",-Vértices!D10)</f>
        <v/>
      </c>
      <c r="U11" s="2"/>
      <c r="V11" s="49">
        <v>42</v>
      </c>
      <c r="W11" s="2" t="str">
        <f>IF(Vértices!H10="","",V11)</f>
        <v/>
      </c>
      <c r="X11" s="2" t="str">
        <f>IF(Vértices!H10="","",Vértices!H10)</f>
        <v/>
      </c>
      <c r="Y11" s="2" t="str">
        <f>IF(Vértices!J10="","",Vértices!J10)</f>
        <v/>
      </c>
      <c r="Z11" s="2" t="str">
        <f>IF(Vértices!I10="","",-Vértices!I10)</f>
        <v/>
      </c>
    </row>
    <row r="12" spans="1:26" x14ac:dyDescent="0.25">
      <c r="A12" t="s">
        <v>611</v>
      </c>
      <c r="I12">
        <v>11</v>
      </c>
      <c r="J12">
        <f>Cálculo!X30</f>
        <v>-2.1999999999999997</v>
      </c>
      <c r="K12">
        <v>0</v>
      </c>
      <c r="L12" s="15">
        <f>-Cálculo!Y30</f>
        <v>1.1433756729740643</v>
      </c>
      <c r="M12" t="str">
        <f t="shared" si="0"/>
        <v xml:space="preserve">11 -2.2 0 1.14338; </v>
      </c>
      <c r="N12" t="str">
        <f t="shared" si="1"/>
        <v>DENSITY LINE -2.2 0 1.14338 1 -2.32 0 1.14338 1 0</v>
      </c>
      <c r="O12" t="str">
        <f>_xlfn.CONCAT(ROUND(J42,5)," ",ROUND(K42,5)," ",ROUND(L42,5)," 1 ",ROUND(J43,5)," ",ROUND(K43,5)," ",ROUND(L43,5)," 1 ",ROUND(J44,5)," ",ROUND(K44,5)," ",ROUND(L44,5)," 1 ",ROUND(J45,5)," ",ROUND(K45,5)," ",ROUND(L45,5)," 1 -")</f>
        <v>-0.3 0 -2.58675 1 -0.18 0 -2.58675 1 -0.06 0 -2.58675 1 0.06 0 -2.58675 1 -</v>
      </c>
      <c r="P12" s="49">
        <v>10</v>
      </c>
      <c r="Q12" s="2" t="str">
        <f>IF(Vértices!C11="","",P12)</f>
        <v/>
      </c>
      <c r="R12" s="2" t="str">
        <f>IF(Vértices!C11="","",Vértices!C11)</f>
        <v/>
      </c>
      <c r="S12" s="2">
        <f>IF(Vértices!E11="","",Vértices!E11)</f>
        <v>0</v>
      </c>
      <c r="T12" s="2" t="str">
        <f>IF(Vértices!D11="","",-Vértices!D11)</f>
        <v/>
      </c>
      <c r="U12" s="2"/>
      <c r="V12" s="49">
        <v>43</v>
      </c>
      <c r="W12" s="2" t="str">
        <f>IF(Vértices!H11="","",V12)</f>
        <v/>
      </c>
      <c r="X12" s="2" t="str">
        <f>IF(Vértices!H11="","",Vértices!H11)</f>
        <v/>
      </c>
      <c r="Y12" s="2" t="str">
        <f>IF(Vértices!J11="","",Vértices!J11)</f>
        <v/>
      </c>
      <c r="Z12" s="2" t="str">
        <f>IF(Vértices!I11="","",-Vértices!I11)</f>
        <v/>
      </c>
    </row>
    <row r="13" spans="1:26" x14ac:dyDescent="0.25">
      <c r="A13" t="s">
        <v>612</v>
      </c>
      <c r="I13">
        <v>12</v>
      </c>
      <c r="J13">
        <f>Cálculo!AK38</f>
        <v>-2.3199999999999998</v>
      </c>
      <c r="K13">
        <v>0</v>
      </c>
      <c r="L13" s="15">
        <f>-Cálculo!AL38</f>
        <v>1.1433756729740643</v>
      </c>
      <c r="M13" t="str">
        <f t="shared" si="0"/>
        <v xml:space="preserve">12 -2.32 0 1.14338; </v>
      </c>
      <c r="N13" t="str">
        <f t="shared" si="1"/>
        <v>DENSITY LINE -2.32 0 1.14338 1 -2.44 0 1.14338 1 0</v>
      </c>
      <c r="O13" t="str">
        <f>_xlfn.CONCAT(ROUND(J46,5)," ",ROUND(K46,5)," ",ROUND(L46,5)," 1 ",ROUND(J47,5)," ",ROUND(K47,5)," ",ROUND(L47,5)," 1 ",ROUND(J48,5)," ",ROUND(K48,5)," ",ROUND(L48,5)," 1 ",ROUND(J49,5)," ",ROUND(K49,5)," ",ROUND(L49,5)," 1 -")</f>
        <v>0.18 0 -2.58675 1 0.3 0 -2.58675 1 0.3 0 -2.70675 1 0.3 0 -2.82675 1 -</v>
      </c>
      <c r="P13" s="49">
        <v>11</v>
      </c>
      <c r="Q13" s="2" t="str">
        <f>IF(Vértices!C12="","",P13)</f>
        <v/>
      </c>
      <c r="R13" s="2" t="str">
        <f>IF(Vértices!C12="","",Vértices!C12)</f>
        <v/>
      </c>
      <c r="S13" s="2" t="str">
        <f>IF(Vértices!E12="","",Vértices!E12)</f>
        <v/>
      </c>
      <c r="T13" s="2" t="str">
        <f>IF(Vértices!D12="","",-Vértices!D12)</f>
        <v/>
      </c>
      <c r="U13" s="2"/>
      <c r="V13" s="49">
        <v>44</v>
      </c>
      <c r="W13" s="2" t="str">
        <f>IF(Vértices!H12="","",V13)</f>
        <v/>
      </c>
      <c r="X13" s="2" t="str">
        <f>IF(Vértices!H12="","",Vértices!H12)</f>
        <v/>
      </c>
      <c r="Y13" s="2" t="str">
        <f>IF(Vértices!J12="","",Vértices!J12)</f>
        <v/>
      </c>
      <c r="Z13" s="2" t="str">
        <f>IF(Vértices!I12="","",-Vértices!I12)</f>
        <v/>
      </c>
    </row>
    <row r="14" spans="1:26" x14ac:dyDescent="0.25">
      <c r="A14" t="s">
        <v>649</v>
      </c>
      <c r="I14">
        <v>13</v>
      </c>
      <c r="J14">
        <f>Cálculo!AK39</f>
        <v>-2.4399999999999995</v>
      </c>
      <c r="K14">
        <v>0</v>
      </c>
      <c r="L14" s="15">
        <f>-Cálculo!AL39</f>
        <v>1.1433756729740643</v>
      </c>
      <c r="M14" t="str">
        <f t="shared" si="0"/>
        <v xml:space="preserve">13 -2.44 0 1.14338; </v>
      </c>
      <c r="N14" t="str">
        <f t="shared" si="1"/>
        <v>DENSITY LINE -2.44 0 1.14338 1 -2.56 0 1.14338 1 0</v>
      </c>
      <c r="O14" t="str">
        <f>_xlfn.CONCAT(ROUND(J50,5)," ",ROUND(K50,5)," ",ROUND(L50,5)," 1 ",ROUND(J51,5)," ",ROUND(K51,5)," ",ROUND(L51,5)," 1 ",ROUND(J52,5)," ",ROUND(K52,5)," ",ROUND(L52,5)," 1 ",ROUND(J53,5)," ",ROUND(K53,5)," ",ROUND(L53,5)," 1 -")</f>
        <v>0.3 0 -2.94675 1 0.3 0 -3.06675 1 0.3 0 -3.18675 1 0.18 0 -3.18675 1 -</v>
      </c>
      <c r="P14" s="49">
        <v>12</v>
      </c>
      <c r="Q14" s="2" t="str">
        <f>IF(Vértices!C13="","",P14)</f>
        <v/>
      </c>
      <c r="R14" s="2" t="str">
        <f>IF(Vértices!C13="","",Vértices!C13)</f>
        <v/>
      </c>
      <c r="S14" s="2" t="str">
        <f>IF(Vértices!E13="","",Vértices!E13)</f>
        <v/>
      </c>
      <c r="T14" s="2" t="str">
        <f>IF(Vértices!D13="","",-Vértices!D13)</f>
        <v/>
      </c>
      <c r="U14" s="2"/>
      <c r="V14" s="49">
        <v>45</v>
      </c>
      <c r="W14" s="2" t="str">
        <f>IF(Vértices!H13="","",V14)</f>
        <v/>
      </c>
      <c r="X14" s="2" t="str">
        <f>IF(Vértices!H13="","",Vértices!H13)</f>
        <v/>
      </c>
      <c r="Y14" s="2" t="str">
        <f>IF(Vértices!J13="","",Vértices!J13)</f>
        <v/>
      </c>
      <c r="Z14" s="2" t="str">
        <f>IF(Vértices!I13="","",-Vértices!I13)</f>
        <v/>
      </c>
    </row>
    <row r="15" spans="1:26" x14ac:dyDescent="0.25">
      <c r="A15" t="s">
        <v>650</v>
      </c>
      <c r="I15">
        <v>14</v>
      </c>
      <c r="J15">
        <f>Cálculo!AK40</f>
        <v>-2.5599999999999996</v>
      </c>
      <c r="K15">
        <v>0</v>
      </c>
      <c r="L15" s="15">
        <f>-Cálculo!AL40</f>
        <v>1.1433756729740643</v>
      </c>
      <c r="M15" t="str">
        <f t="shared" si="0"/>
        <v xml:space="preserve">14 -2.56 0 1.14338; </v>
      </c>
      <c r="N15" t="str">
        <f t="shared" si="1"/>
        <v>DENSITY LINE -2.56 0 1.14338 1 -2.68 0 1.14338 1 0</v>
      </c>
      <c r="O15" t="str">
        <f>_xlfn.CONCAT(ROUND(J54,5)," ",ROUND(K54,5)," ",ROUND(L54,5)," 1 ",ROUND(J55,5)," ",ROUND(K55,5)," ",ROUND(L55,5)," 1 ",ROUND(J56,5)," ",ROUND(K56,5)," ",ROUND(L56,5)," 1 ",ROUND(J57,5)," ",ROUND(K57,5)," ",ROUND(L57,5)," 1 -")</f>
        <v>0.06 0 -3.18675 1 -0.06 0 -3.18675 1 -0.18 0 -3.18675 1 -0.3 0 -3.18675 1 -</v>
      </c>
      <c r="P15" s="49">
        <v>13</v>
      </c>
      <c r="Q15" s="2" t="str">
        <f>IF(Vértices!C14="","",P15)</f>
        <v/>
      </c>
      <c r="R15" s="2" t="str">
        <f>IF(Vértices!C14="","",Vértices!C14)</f>
        <v/>
      </c>
      <c r="S15" s="2" t="str">
        <f>IF(Vértices!E14="","",Vértices!E14)</f>
        <v/>
      </c>
      <c r="T15" s="2" t="str">
        <f>IF(Vértices!D14="","",-Vértices!D14)</f>
        <v/>
      </c>
      <c r="U15" s="2"/>
      <c r="V15" s="49">
        <v>46</v>
      </c>
      <c r="W15" s="2" t="str">
        <f>IF(Vértices!H14="","",V15)</f>
        <v/>
      </c>
      <c r="X15" s="2" t="str">
        <f>IF(Vértices!H14="","",Vértices!H14)</f>
        <v/>
      </c>
      <c r="Y15" s="2" t="str">
        <f>IF(Vértices!J14="","",Vértices!J14)</f>
        <v/>
      </c>
      <c r="Z15" s="2" t="str">
        <f>IF(Vértices!I14="","",-Vértices!I14)</f>
        <v/>
      </c>
    </row>
    <row r="16" spans="1:26" x14ac:dyDescent="0.25">
      <c r="A16" t="s">
        <v>651</v>
      </c>
      <c r="I16">
        <v>15</v>
      </c>
      <c r="J16">
        <f>Cálculo!AK41</f>
        <v>-2.6799999999999997</v>
      </c>
      <c r="K16">
        <v>0</v>
      </c>
      <c r="L16" s="15">
        <f>-Cálculo!AL41</f>
        <v>1.1433756729740643</v>
      </c>
      <c r="M16" t="str">
        <f t="shared" si="0"/>
        <v xml:space="preserve">15 -2.68 0 1.14338; </v>
      </c>
      <c r="N16" t="str">
        <f t="shared" si="1"/>
        <v>DENSITY LINE -2.68 0 1.14338 1 -2.8 0 1.14338 1 0</v>
      </c>
      <c r="O16" t="str">
        <f>_xlfn.CONCAT(ROUND(J58,5)," ",ROUND(K58,5)," ",ROUND(L58,5)," 1 ",ROUND(J59,5)," ",ROUND(K59,5)," ",ROUND(L59,5)," 1 ",ROUND(J60,5)," ",ROUND(K60,5)," ",ROUND(L60,5)," 1 ",ROUND(J61,5)," ",ROUND(K61,5)," ",ROUND(L61,5)," 1 -")</f>
        <v>-0.3 0 -3.06675 1 -0.3 0 -2.94675 1 -0.3 0 -2.82675 1 -0.3 0 -2.70675 1 -</v>
      </c>
      <c r="P16" s="49">
        <v>14</v>
      </c>
      <c r="Q16" s="2" t="str">
        <f>IF(Vértices!C15="","",P16)</f>
        <v/>
      </c>
      <c r="R16" s="2" t="str">
        <f>IF(Vértices!C15="","",Vértices!C15)</f>
        <v/>
      </c>
      <c r="S16" s="2" t="str">
        <f>IF(Vértices!E15="","",Vértices!E15)</f>
        <v/>
      </c>
      <c r="T16" s="2" t="str">
        <f>IF(Vértices!D15="","",-Vértices!D15)</f>
        <v/>
      </c>
      <c r="U16" s="2"/>
      <c r="V16" s="49">
        <v>47</v>
      </c>
      <c r="W16" s="2" t="str">
        <f>IF(Vértices!H15="","",V16)</f>
        <v/>
      </c>
      <c r="X16" s="2" t="str">
        <f>IF(Vértices!H15="","",Vértices!H15)</f>
        <v/>
      </c>
      <c r="Y16" s="2" t="str">
        <f>IF(Vértices!J15="","",Vértices!J15)</f>
        <v/>
      </c>
      <c r="Z16" s="2" t="str">
        <f>IF(Vértices!I15="","",-Vértices!I15)</f>
        <v/>
      </c>
    </row>
    <row r="17" spans="1:26" x14ac:dyDescent="0.25">
      <c r="A17" t="s">
        <v>652</v>
      </c>
      <c r="I17">
        <v>16</v>
      </c>
      <c r="J17">
        <f>Cálculo!X31</f>
        <v>-2.8</v>
      </c>
      <c r="K17">
        <v>0</v>
      </c>
      <c r="L17" s="15">
        <f>-Cálculo!Y31</f>
        <v>1.1433756729740643</v>
      </c>
      <c r="M17" t="str">
        <f t="shared" si="0"/>
        <v xml:space="preserve">16 -2.8 0 1.14338; </v>
      </c>
      <c r="N17" t="str">
        <f t="shared" si="1"/>
        <v>DENSITY LINE -2.8 0 1.14338 1 -2.8 0 1.26338 1 0</v>
      </c>
      <c r="P17" s="49">
        <v>15</v>
      </c>
      <c r="Q17" s="2" t="str">
        <f>IF(Vértices!C16="","",P17)</f>
        <v/>
      </c>
      <c r="R17" s="2" t="str">
        <f>IF(Vértices!C16="","",Vértices!C16)</f>
        <v/>
      </c>
      <c r="S17" s="2" t="str">
        <f>IF(Vértices!E16="","",Vértices!E16)</f>
        <v/>
      </c>
      <c r="T17" s="2" t="str">
        <f>IF(Vértices!D16="","",-Vértices!D16)</f>
        <v/>
      </c>
      <c r="U17" s="2"/>
      <c r="V17" s="49">
        <v>48</v>
      </c>
      <c r="W17" s="2" t="str">
        <f>IF(Vértices!H16="","",V17)</f>
        <v/>
      </c>
      <c r="X17" s="2" t="str">
        <f>IF(Vértices!H16="","",Vértices!H16)</f>
        <v/>
      </c>
      <c r="Y17" s="2" t="str">
        <f>IF(Vértices!J16="","",Vértices!J16)</f>
        <v/>
      </c>
      <c r="Z17" s="2" t="str">
        <f>IF(Vértices!I16="","",-Vértices!I16)</f>
        <v/>
      </c>
    </row>
    <row r="18" spans="1:26" x14ac:dyDescent="0.25">
      <c r="A18" t="s">
        <v>653</v>
      </c>
      <c r="I18">
        <v>17</v>
      </c>
      <c r="J18">
        <f>Cálculo!AK42</f>
        <v>-2.8</v>
      </c>
      <c r="K18">
        <v>0</v>
      </c>
      <c r="L18" s="15">
        <f>-Cálculo!AL42</f>
        <v>1.2633756729740644</v>
      </c>
      <c r="M18" t="str">
        <f t="shared" si="0"/>
        <v xml:space="preserve">17 -2.8 0 1.26338; </v>
      </c>
      <c r="N18" t="str">
        <f t="shared" si="1"/>
        <v>DENSITY LINE -2.8 0 1.26338 1 -2.8 0 1.38338 1 0</v>
      </c>
      <c r="P18" s="49">
        <v>16</v>
      </c>
      <c r="Q18" s="2" t="str">
        <f>IF(Vértices!C17="","",P18)</f>
        <v/>
      </c>
      <c r="R18" s="2" t="str">
        <f>IF(Vértices!C17="","",Vértices!C17)</f>
        <v/>
      </c>
      <c r="S18" s="2" t="str">
        <f>IF(Vértices!E17="","",Vértices!E17)</f>
        <v/>
      </c>
      <c r="T18" s="2" t="str">
        <f>IF(Vértices!D17="","",-Vértices!D17)</f>
        <v/>
      </c>
      <c r="U18" s="2"/>
      <c r="V18" s="49">
        <v>49</v>
      </c>
      <c r="W18" s="2" t="str">
        <f>IF(Vértices!H17="","",V18)</f>
        <v/>
      </c>
      <c r="X18" s="2" t="str">
        <f>IF(Vértices!H17="","",Vértices!H17)</f>
        <v/>
      </c>
      <c r="Y18" s="2" t="str">
        <f>IF(Vértices!J17="","",Vértices!J17)</f>
        <v/>
      </c>
      <c r="Z18" s="2" t="str">
        <f>IF(Vértices!I17="","",-Vértices!I17)</f>
        <v/>
      </c>
    </row>
    <row r="19" spans="1:26" x14ac:dyDescent="0.25">
      <c r="A19" t="s">
        <v>654</v>
      </c>
      <c r="I19">
        <v>18</v>
      </c>
      <c r="J19">
        <f>Cálculo!AK43</f>
        <v>-2.8</v>
      </c>
      <c r="K19">
        <v>0</v>
      </c>
      <c r="L19" s="15">
        <f>-Cálculo!AL43</f>
        <v>1.3833756729740643</v>
      </c>
      <c r="M19" t="str">
        <f t="shared" si="0"/>
        <v xml:space="preserve">18 -2.8 0 1.38338; </v>
      </c>
      <c r="N19" t="str">
        <f t="shared" si="1"/>
        <v>DENSITY LINE -2.8 0 1.38338 1 -2.8 0 1.50338 1 0</v>
      </c>
      <c r="P19" s="49">
        <v>17</v>
      </c>
      <c r="Q19" s="2" t="str">
        <f>IF(Vértices!C18="","",P19)</f>
        <v/>
      </c>
      <c r="R19" s="2" t="str">
        <f>IF(Vértices!C18="","",Vértices!C18)</f>
        <v/>
      </c>
      <c r="S19" s="2" t="str">
        <f>IF(Vértices!E18="","",Vértices!E18)</f>
        <v/>
      </c>
      <c r="T19" s="2" t="str">
        <f>IF(Vértices!D18="","",-Vértices!D18)</f>
        <v/>
      </c>
      <c r="U19" s="2"/>
      <c r="V19" s="49">
        <v>50</v>
      </c>
      <c r="W19" s="2" t="str">
        <f>IF(Vértices!H18="","",V19)</f>
        <v/>
      </c>
      <c r="X19" s="2" t="str">
        <f>IF(Vértices!H18="","",Vértices!H18)</f>
        <v/>
      </c>
      <c r="Y19" s="2" t="str">
        <f>IF(Vértices!J18="","",Vértices!J18)</f>
        <v/>
      </c>
      <c r="Z19" s="2" t="str">
        <f>IF(Vértices!I18="","",-Vértices!I18)</f>
        <v/>
      </c>
    </row>
    <row r="20" spans="1:26" x14ac:dyDescent="0.25">
      <c r="A20" t="s">
        <v>655</v>
      </c>
      <c r="I20">
        <v>19</v>
      </c>
      <c r="J20">
        <f>Cálculo!AK44</f>
        <v>-2.8</v>
      </c>
      <c r="K20">
        <v>0</v>
      </c>
      <c r="L20" s="15">
        <f>-Cálculo!AL44</f>
        <v>1.5033756729740642</v>
      </c>
      <c r="M20" t="str">
        <f t="shared" si="0"/>
        <v xml:space="preserve">19 -2.8 0 1.50338; </v>
      </c>
      <c r="N20" t="str">
        <f t="shared" si="1"/>
        <v>DENSITY LINE -2.8 0 1.50338 1 -2.8 0 1.62338 1 0</v>
      </c>
      <c r="O20" t="str">
        <f t="shared" ref="O20:O27" si="2">IF(I62&lt;&gt;"",_xlfn.CONCAT(I62," 0 0 "),"")</f>
        <v xml:space="preserve">61 0 0 </v>
      </c>
      <c r="P20" s="49">
        <v>18</v>
      </c>
      <c r="Q20" s="2" t="str">
        <f>IF(Vértices!C19="","",P20)</f>
        <v/>
      </c>
      <c r="R20" s="2" t="str">
        <f>IF(Vértices!C19="","",Vértices!C19)</f>
        <v/>
      </c>
      <c r="S20" s="2" t="str">
        <f>IF(Vértices!E19="","",Vértices!E19)</f>
        <v/>
      </c>
      <c r="T20" s="2" t="str">
        <f>IF(Vértices!D19="","",-Vértices!D19)</f>
        <v/>
      </c>
      <c r="U20" s="2"/>
      <c r="V20" s="49">
        <v>51</v>
      </c>
      <c r="W20" s="2" t="str">
        <f>IF(Vértices!H19="","",V20)</f>
        <v/>
      </c>
      <c r="X20" s="2" t="str">
        <f>IF(Vértices!H19="","",Vértices!H19)</f>
        <v/>
      </c>
      <c r="Y20" s="2" t="str">
        <f>IF(Vértices!J19="","",Vértices!J19)</f>
        <v/>
      </c>
      <c r="Z20" s="2" t="str">
        <f>IF(Vértices!I19="","",-Vértices!I19)</f>
        <v/>
      </c>
    </row>
    <row r="21" spans="1:26" x14ac:dyDescent="0.25">
      <c r="A21" t="s">
        <v>656</v>
      </c>
      <c r="I21" s="202">
        <v>20</v>
      </c>
      <c r="J21">
        <f>Cálculo!AK45</f>
        <v>-2.8</v>
      </c>
      <c r="K21">
        <v>0</v>
      </c>
      <c r="L21" s="15">
        <f>-Cálculo!AL45</f>
        <v>1.6233756729740643</v>
      </c>
      <c r="M21" t="str">
        <f t="shared" si="0"/>
        <v xml:space="preserve">20 -2.8 0 1.62338; </v>
      </c>
      <c r="N21" t="str">
        <f>_xlfn.CONCAT("DENSITY LINE ",ROUND(J21,5)," ",ROUND(K21,5)," ",ROUND(L21,5)," 1 ",ROUND(J2,5)," ",ROUND(K2,5)," ",ROUND(L2,5)," 1 0")</f>
        <v>DENSITY LINE -2.8 0 1.62338 1 -2.8 0 1.74338 1 0</v>
      </c>
      <c r="O21" t="str">
        <f t="shared" si="2"/>
        <v xml:space="preserve">62 0 0 </v>
      </c>
      <c r="P21" s="49">
        <v>19</v>
      </c>
      <c r="Q21" s="2" t="str">
        <f>IF(Vértices!C20="","",P21)</f>
        <v/>
      </c>
      <c r="R21" s="2" t="str">
        <f>IF(Vértices!C20="","",Vértices!C20)</f>
        <v/>
      </c>
      <c r="S21" s="2" t="str">
        <f>IF(Vértices!E20="","",Vértices!E20)</f>
        <v/>
      </c>
      <c r="T21" s="2" t="str">
        <f>IF(Vértices!D20="","",-Vértices!D20)</f>
        <v/>
      </c>
      <c r="U21" s="2"/>
      <c r="V21" s="49">
        <v>52</v>
      </c>
      <c r="W21" s="2" t="str">
        <f>IF(Vértices!H20="","",V21)</f>
        <v/>
      </c>
      <c r="X21" s="2" t="str">
        <f>IF(Vértices!H20="","",Vértices!H20)</f>
        <v/>
      </c>
      <c r="Y21" s="2" t="str">
        <f>IF(Vértices!J20="","",Vértices!J20)</f>
        <v/>
      </c>
      <c r="Z21" s="2" t="str">
        <f>IF(Vértices!I20="","",-Vértices!I20)</f>
        <v/>
      </c>
    </row>
    <row r="22" spans="1:26" x14ac:dyDescent="0.25">
      <c r="A22" t="s">
        <v>657</v>
      </c>
      <c r="I22">
        <v>21</v>
      </c>
      <c r="J22">
        <f>Cálculo!Z28</f>
        <v>2.2000000000000002</v>
      </c>
      <c r="K22">
        <v>0</v>
      </c>
      <c r="L22" s="15">
        <f>-Cálculo!AA28</f>
        <v>1.7433756729740644</v>
      </c>
      <c r="M22" t="str">
        <f t="shared" si="0"/>
        <v xml:space="preserve">21 2.2 0 1.74338; </v>
      </c>
      <c r="N22" t="str">
        <f>_xlfn.CONCAT("DENSITY LINE ",ROUND(J22,5)," ",ROUND(K22,5)," ",ROUND(L22,5)," 1 ",ROUND(J23,5)," ",ROUND(K23,5)," ",ROUND(L23,5)," 1 0")</f>
        <v>DENSITY LINE 2.2 0 1.74338 1 2.32 0 1.74338 1 0</v>
      </c>
      <c r="O22" t="str">
        <f t="shared" si="2"/>
        <v xml:space="preserve">63 0 0 </v>
      </c>
      <c r="P22" s="49">
        <v>20</v>
      </c>
      <c r="Q22" s="2" t="str">
        <f>IF(Vértices!C21="","",P22)</f>
        <v/>
      </c>
      <c r="R22" s="2" t="str">
        <f>IF(Vértices!C21="","",Vértices!C21)</f>
        <v/>
      </c>
      <c r="S22" s="2" t="str">
        <f>IF(Vértices!E21="","",Vértices!E21)</f>
        <v/>
      </c>
      <c r="T22" s="2" t="str">
        <f>IF(Vértices!D21="","",-Vértices!D21)</f>
        <v/>
      </c>
      <c r="U22" s="2"/>
      <c r="V22" s="49">
        <v>53</v>
      </c>
      <c r="W22" s="2" t="str">
        <f>IF(Vértices!H21="","",V22)</f>
        <v/>
      </c>
      <c r="X22" s="2" t="str">
        <f>IF(Vértices!H21="","",Vértices!H21)</f>
        <v/>
      </c>
      <c r="Y22" s="2" t="str">
        <f>IF(Vértices!J21="","",Vértices!J21)</f>
        <v/>
      </c>
      <c r="Z22" s="2" t="str">
        <f>IF(Vértices!I21="","",-Vértices!I21)</f>
        <v/>
      </c>
    </row>
    <row r="23" spans="1:26" x14ac:dyDescent="0.25">
      <c r="A23" t="s">
        <v>658</v>
      </c>
      <c r="I23">
        <v>22</v>
      </c>
      <c r="J23">
        <f>Cálculo!AM30</f>
        <v>2.3200000000000003</v>
      </c>
      <c r="K23">
        <v>0</v>
      </c>
      <c r="L23" s="15">
        <f>-Cálculo!AN30</f>
        <v>1.7433756729740644</v>
      </c>
      <c r="M23" t="str">
        <f t="shared" si="0"/>
        <v xml:space="preserve">22 2.32 0 1.74338; </v>
      </c>
      <c r="N23" t="str">
        <f>_xlfn.CONCAT("DENSITY LINE ",ROUND(J23,5)," ",ROUND(K23,5)," ",ROUND(L23,5)," 1 ",ROUND(J24,5)," ",ROUND(K24,5)," ",ROUND(L24,5)," 1 0")</f>
        <v>DENSITY LINE 2.32 0 1.74338 1 2.44 0 1.74338 1 0</v>
      </c>
      <c r="O23" t="str">
        <f t="shared" si="2"/>
        <v xml:space="preserve">64 0 0 </v>
      </c>
      <c r="P23" s="49">
        <v>21</v>
      </c>
      <c r="Q23" s="2" t="str">
        <f>IF(Vértices!C22="","",P23)</f>
        <v/>
      </c>
      <c r="R23" s="2" t="str">
        <f>IF(Vértices!C22="","",Vértices!C22)</f>
        <v/>
      </c>
      <c r="S23" s="2" t="str">
        <f>IF(Vértices!E22="","",Vértices!E22)</f>
        <v/>
      </c>
      <c r="T23" s="2" t="str">
        <f>IF(Vértices!D22="","",-Vértices!D22)</f>
        <v/>
      </c>
      <c r="U23" s="2"/>
      <c r="V23" s="49">
        <v>54</v>
      </c>
      <c r="W23" s="2" t="str">
        <f>IF(Vértices!H22="","",V23)</f>
        <v/>
      </c>
      <c r="X23" s="2" t="str">
        <f>IF(Vértices!H22="","",Vértices!H22)</f>
        <v/>
      </c>
      <c r="Y23" s="2" t="str">
        <f>IF(Vértices!J22="","",Vértices!J22)</f>
        <v/>
      </c>
      <c r="Z23" s="2" t="str">
        <f>IF(Vértices!I22="","",-Vértices!I22)</f>
        <v/>
      </c>
    </row>
    <row r="24" spans="1:26" x14ac:dyDescent="0.25">
      <c r="A24" t="s">
        <v>659</v>
      </c>
      <c r="I24">
        <v>23</v>
      </c>
      <c r="J24">
        <f>Cálculo!AM31</f>
        <v>2.4400000000000004</v>
      </c>
      <c r="K24">
        <v>0</v>
      </c>
      <c r="L24" s="15">
        <f>-Cálculo!AN31</f>
        <v>1.7433756729740644</v>
      </c>
      <c r="M24" t="str">
        <f t="shared" si="0"/>
        <v xml:space="preserve">23 2.44 0 1.74338; </v>
      </c>
      <c r="N24" t="str">
        <f t="shared" ref="N24:N40" si="3">_xlfn.CONCAT("DENSITY LINE ",ROUND(J24,5)," ",ROUND(K24,5)," ",ROUND(L24,5)," 1 ",ROUND(J25,5)," ",ROUND(K25,5)," ",ROUND(L25,5)," 1 0")</f>
        <v>DENSITY LINE 2.44 0 1.74338 1 2.56 0 1.74338 1 0</v>
      </c>
      <c r="O24" t="str">
        <f t="shared" si="2"/>
        <v xml:space="preserve">65 0 0 </v>
      </c>
      <c r="P24" s="49">
        <v>22</v>
      </c>
      <c r="Q24" s="2" t="str">
        <f>IF(Vértices!C23="","",P24)</f>
        <v/>
      </c>
      <c r="R24" s="2" t="str">
        <f>IF(Vértices!C23="","",Vértices!C23)</f>
        <v/>
      </c>
      <c r="S24" s="2" t="str">
        <f>IF(Vértices!E23="","",Vértices!E23)</f>
        <v/>
      </c>
      <c r="T24" s="2" t="str">
        <f>IF(Vértices!D23="","",-Vértices!D23)</f>
        <v/>
      </c>
      <c r="U24" s="2"/>
      <c r="V24" s="49">
        <v>55</v>
      </c>
      <c r="W24" s="2" t="str">
        <f>IF(Vértices!H23="","",V24)</f>
        <v/>
      </c>
      <c r="X24" s="2" t="str">
        <f>IF(Vértices!H23="","",Vértices!H23)</f>
        <v/>
      </c>
      <c r="Y24" s="2" t="str">
        <f>IF(Vértices!J23="","",Vértices!J23)</f>
        <v/>
      </c>
      <c r="Z24" s="2" t="str">
        <f>IF(Vértices!I23="","",-Vértices!I23)</f>
        <v/>
      </c>
    </row>
    <row r="25" spans="1:26" x14ac:dyDescent="0.25">
      <c r="A25" t="s">
        <v>660</v>
      </c>
      <c r="I25">
        <v>24</v>
      </c>
      <c r="J25">
        <f>Cálculo!AM32</f>
        <v>2.56</v>
      </c>
      <c r="K25">
        <v>0</v>
      </c>
      <c r="L25" s="15">
        <f>-Cálculo!AN32</f>
        <v>1.7433756729740644</v>
      </c>
      <c r="M25" t="str">
        <f t="shared" si="0"/>
        <v xml:space="preserve">24 2.56 0 1.74338; </v>
      </c>
      <c r="N25" t="str">
        <f t="shared" si="3"/>
        <v>DENSITY LINE 2.56 0 1.74338 1 2.68 0 1.74338 1 0</v>
      </c>
      <c r="O25" t="str">
        <f t="shared" si="2"/>
        <v xml:space="preserve">66 0 0 </v>
      </c>
      <c r="P25" s="49">
        <v>23</v>
      </c>
      <c r="Q25" s="2" t="str">
        <f>IF(Vértices!C24="","",P25)</f>
        <v/>
      </c>
      <c r="R25" s="2" t="str">
        <f>IF(Vértices!C24="","",Vértices!C24)</f>
        <v/>
      </c>
      <c r="S25" s="2" t="str">
        <f>IF(Vértices!E24="","",Vértices!E24)</f>
        <v/>
      </c>
      <c r="T25" s="2" t="str">
        <f>IF(Vértices!D24="","",-Vértices!D24)</f>
        <v/>
      </c>
      <c r="U25" s="2"/>
      <c r="V25" s="49">
        <v>56</v>
      </c>
      <c r="W25" s="2" t="str">
        <f>IF(Vértices!H24="","",V25)</f>
        <v/>
      </c>
      <c r="X25" s="2" t="str">
        <f>IF(Vértices!H24="","",Vértices!H24)</f>
        <v/>
      </c>
      <c r="Y25" s="2" t="str">
        <f>IF(Vértices!J24="","",Vértices!J24)</f>
        <v/>
      </c>
      <c r="Z25" s="2" t="str">
        <f>IF(Vértices!I24="","",-Vértices!I24)</f>
        <v/>
      </c>
    </row>
    <row r="26" spans="1:26" x14ac:dyDescent="0.25">
      <c r="A26" t="s">
        <v>661</v>
      </c>
      <c r="I26">
        <v>25</v>
      </c>
      <c r="J26">
        <f>Cálculo!AM33</f>
        <v>2.68</v>
      </c>
      <c r="K26">
        <v>0</v>
      </c>
      <c r="L26" s="15">
        <f>-Cálculo!AN33</f>
        <v>1.7433756729740644</v>
      </c>
      <c r="M26" t="str">
        <f t="shared" si="0"/>
        <v xml:space="preserve">25 2.68 0 1.74338; </v>
      </c>
      <c r="N26" t="str">
        <f t="shared" si="3"/>
        <v>DENSITY LINE 2.68 0 1.74338 1 2.8 0 1.74338 1 0</v>
      </c>
      <c r="O26" t="str">
        <f t="shared" si="2"/>
        <v xml:space="preserve">67 0 0 </v>
      </c>
      <c r="P26" s="49">
        <v>24</v>
      </c>
      <c r="Q26" s="2" t="str">
        <f>IF(Vértices!C25="","",P26)</f>
        <v/>
      </c>
      <c r="R26" s="2" t="str">
        <f>IF(Vértices!C25="","",Vértices!C25)</f>
        <v/>
      </c>
      <c r="S26" s="2" t="str">
        <f>IF(Vértices!E25="","",Vértices!E25)</f>
        <v/>
      </c>
      <c r="T26" s="2" t="str">
        <f>IF(Vértices!D25="","",-Vértices!D25)</f>
        <v/>
      </c>
      <c r="U26" s="2"/>
      <c r="V26" s="49">
        <v>57</v>
      </c>
      <c r="W26" s="2" t="str">
        <f>IF(Vértices!H25="","",V26)</f>
        <v/>
      </c>
      <c r="X26" s="2" t="str">
        <f>IF(Vértices!H25="","",Vértices!H25)</f>
        <v/>
      </c>
      <c r="Y26" s="2" t="str">
        <f>IF(Vértices!J25="","",Vértices!J25)</f>
        <v/>
      </c>
      <c r="Z26" s="2" t="str">
        <f>IF(Vértices!I25="","",-Vértices!I25)</f>
        <v/>
      </c>
    </row>
    <row r="27" spans="1:26" x14ac:dyDescent="0.25">
      <c r="A27" t="s">
        <v>662</v>
      </c>
      <c r="I27">
        <v>26</v>
      </c>
      <c r="J27">
        <f>Cálculo!Z29</f>
        <v>2.8000000000000003</v>
      </c>
      <c r="K27">
        <v>0</v>
      </c>
      <c r="L27" s="15">
        <f>-Cálculo!AA29</f>
        <v>1.7433756729740644</v>
      </c>
      <c r="M27" t="str">
        <f t="shared" si="0"/>
        <v xml:space="preserve">26 2.8 0 1.74338; </v>
      </c>
      <c r="N27" t="str">
        <f t="shared" si="3"/>
        <v>DENSITY LINE 2.8 0 1.74338 1 2.8 0 1.62338 1 0</v>
      </c>
      <c r="O27" t="str">
        <f t="shared" si="2"/>
        <v xml:space="preserve">68 0 0 </v>
      </c>
      <c r="P27" s="49">
        <v>25</v>
      </c>
      <c r="Q27" s="2" t="str">
        <f>IF(Vértices!C26="","",P27)</f>
        <v/>
      </c>
      <c r="R27" s="2" t="str">
        <f>IF(Vértices!C26="","",Vértices!C26)</f>
        <v/>
      </c>
      <c r="S27" s="2" t="str">
        <f>IF(Vértices!E26="","",Vértices!E26)</f>
        <v/>
      </c>
      <c r="T27" s="2" t="str">
        <f>IF(Vértices!D26="","",-Vértices!D26)</f>
        <v/>
      </c>
      <c r="U27" s="2"/>
      <c r="V27" s="49">
        <v>58</v>
      </c>
      <c r="W27" s="2" t="str">
        <f>IF(Vértices!H26="","",V27)</f>
        <v/>
      </c>
      <c r="X27" s="2" t="str">
        <f>IF(Vértices!H26="","",Vértices!H26)</f>
        <v/>
      </c>
      <c r="Y27" s="2" t="str">
        <f>IF(Vértices!J26="","",Vértices!J26)</f>
        <v/>
      </c>
      <c r="Z27" s="2" t="str">
        <f>IF(Vértices!I26="","",-Vértices!I26)</f>
        <v/>
      </c>
    </row>
    <row r="28" spans="1:26" x14ac:dyDescent="0.25">
      <c r="A28" t="s">
        <v>663</v>
      </c>
      <c r="I28">
        <v>27</v>
      </c>
      <c r="J28">
        <f>Cálculo!AM34</f>
        <v>2.8000000000000003</v>
      </c>
      <c r="K28">
        <v>0</v>
      </c>
      <c r="L28" s="15">
        <f>-Cálculo!AN34</f>
        <v>1.6233756729740643</v>
      </c>
      <c r="M28" t="str">
        <f t="shared" si="0"/>
        <v xml:space="preserve">27 2.8 0 1.62338; </v>
      </c>
      <c r="N28" t="str">
        <f t="shared" si="3"/>
        <v>DENSITY LINE 2.8 0 1.62338 1 2.8 0 1.50338 1 0</v>
      </c>
      <c r="O28" t="str">
        <f t="shared" ref="O28:O51" si="4">IF(I70&lt;&gt;"",_xlfn.CONCAT(I70," 0 0 "),"")</f>
        <v xml:space="preserve">69 0 0 </v>
      </c>
      <c r="P28" s="49">
        <v>26</v>
      </c>
      <c r="Q28" s="2" t="str">
        <f>IF(Vértices!C27="","",P28)</f>
        <v/>
      </c>
      <c r="R28" s="2" t="str">
        <f>IF(Vértices!C27="","",Vértices!C27)</f>
        <v/>
      </c>
      <c r="S28" s="2" t="str">
        <f>IF(Vértices!E27="","",Vértices!E27)</f>
        <v/>
      </c>
      <c r="T28" s="2" t="str">
        <f>IF(Vértices!D27="","",-Vértices!D27)</f>
        <v/>
      </c>
      <c r="U28" s="2"/>
      <c r="V28" s="49">
        <v>59</v>
      </c>
      <c r="W28" s="2" t="str">
        <f>IF(Vértices!H27="","",V28)</f>
        <v/>
      </c>
      <c r="X28" s="2" t="str">
        <f>IF(Vértices!H27="","",Vértices!H27)</f>
        <v/>
      </c>
      <c r="Y28" s="2" t="str">
        <f>IF(Vértices!J27="","",Vértices!J27)</f>
        <v/>
      </c>
      <c r="Z28" s="2" t="str">
        <f>IF(Vértices!I27="","",-Vértices!I27)</f>
        <v/>
      </c>
    </row>
    <row r="29" spans="1:26" x14ac:dyDescent="0.25">
      <c r="A29" t="s">
        <v>664</v>
      </c>
      <c r="I29">
        <v>28</v>
      </c>
      <c r="J29">
        <f>Cálculo!AM35</f>
        <v>2.8000000000000003</v>
      </c>
      <c r="K29">
        <v>0</v>
      </c>
      <c r="L29" s="15">
        <f>-Cálculo!AN35</f>
        <v>1.5033756729740644</v>
      </c>
      <c r="M29" t="str">
        <f t="shared" si="0"/>
        <v xml:space="preserve">28 2.8 0 1.50338; </v>
      </c>
      <c r="N29" t="str">
        <f t="shared" si="3"/>
        <v>DENSITY LINE 2.8 0 1.50338 1 2.8 0 1.38338 1 0</v>
      </c>
      <c r="O29" t="str">
        <f t="shared" si="4"/>
        <v/>
      </c>
      <c r="P29" s="49">
        <v>27</v>
      </c>
      <c r="Q29" s="2" t="str">
        <f>IF(Vértices!C28="","",P29)</f>
        <v/>
      </c>
      <c r="R29" s="2" t="str">
        <f>IF(Vértices!C28="","",Vértices!C28)</f>
        <v/>
      </c>
      <c r="S29" s="2" t="str">
        <f>IF(Vértices!E28="","",Vértices!E28)</f>
        <v/>
      </c>
      <c r="T29" s="2" t="str">
        <f>IF(Vértices!D28="","",-Vértices!D28)</f>
        <v/>
      </c>
      <c r="U29" s="2"/>
      <c r="V29" s="49">
        <v>60</v>
      </c>
      <c r="W29" s="2" t="str">
        <f>IF(Vértices!H28="","",V29)</f>
        <v/>
      </c>
      <c r="X29" s="2" t="str">
        <f>IF(Vértices!H28="","",Vértices!H28)</f>
        <v/>
      </c>
      <c r="Y29" s="2" t="str">
        <f>IF(Vértices!J28="","",Vértices!J28)</f>
        <v/>
      </c>
      <c r="Z29" s="2" t="str">
        <f>IF(Vértices!I28="","",-Vértices!I28)</f>
        <v/>
      </c>
    </row>
    <row r="30" spans="1:26" x14ac:dyDescent="0.25">
      <c r="A30" t="s">
        <v>665</v>
      </c>
      <c r="I30">
        <v>29</v>
      </c>
      <c r="J30">
        <f>Cálculo!AM36</f>
        <v>2.8000000000000003</v>
      </c>
      <c r="K30">
        <v>0</v>
      </c>
      <c r="L30" s="15">
        <f>-Cálculo!AN36</f>
        <v>1.3833756729740645</v>
      </c>
      <c r="M30" t="str">
        <f t="shared" si="0"/>
        <v xml:space="preserve">29 2.8 0 1.38338; </v>
      </c>
      <c r="N30" t="str">
        <f t="shared" si="3"/>
        <v>DENSITY LINE 2.8 0 1.38338 1 2.8 0 1.26338 1 0</v>
      </c>
      <c r="O30" t="str">
        <f t="shared" si="4"/>
        <v/>
      </c>
      <c r="P30" s="49">
        <v>28</v>
      </c>
      <c r="Q30" s="2" t="str">
        <f>IF(Vértices!C29="","",P30)</f>
        <v/>
      </c>
      <c r="R30" s="2" t="str">
        <f>IF(Vértices!C29="","",Vértices!C29)</f>
        <v/>
      </c>
      <c r="S30" s="2" t="str">
        <f>IF(Vértices!E29="","",Vértices!E29)</f>
        <v/>
      </c>
      <c r="T30" s="2" t="str">
        <f>IF(Vértices!D29="","",-Vértices!D29)</f>
        <v/>
      </c>
      <c r="U30" s="2"/>
      <c r="V30" s="49">
        <v>61</v>
      </c>
      <c r="W30" s="2" t="str">
        <f>IF(Vértices!H29="","",V30)</f>
        <v/>
      </c>
      <c r="X30" s="2" t="str">
        <f>IF(Vértices!H29="","",Vértices!H29)</f>
        <v/>
      </c>
      <c r="Y30" s="2" t="str">
        <f>IF(Vértices!J29="","",Vértices!J29)</f>
        <v/>
      </c>
      <c r="Z30" s="2" t="str">
        <f>IF(Vértices!I29="","",-Vértices!I29)</f>
        <v/>
      </c>
    </row>
    <row r="31" spans="1:26" x14ac:dyDescent="0.25">
      <c r="A31" t="s">
        <v>666</v>
      </c>
      <c r="I31">
        <v>30</v>
      </c>
      <c r="J31">
        <f>Cálculo!AM37</f>
        <v>2.8000000000000003</v>
      </c>
      <c r="K31">
        <v>0</v>
      </c>
      <c r="L31" s="15">
        <f>-Cálculo!AN37</f>
        <v>1.2633756729740644</v>
      </c>
      <c r="M31" t="str">
        <f t="shared" si="0"/>
        <v xml:space="preserve">30 2.8 0 1.26338; </v>
      </c>
      <c r="N31" t="str">
        <f t="shared" si="3"/>
        <v>DENSITY LINE 2.8 0 1.26338 1 2.8 0 1.14338 1 0</v>
      </c>
      <c r="O31" t="str">
        <f t="shared" si="4"/>
        <v/>
      </c>
      <c r="P31" s="49">
        <v>29</v>
      </c>
      <c r="Q31" s="2" t="str">
        <f>IF(Vértices!C30="","",P31)</f>
        <v/>
      </c>
      <c r="R31" s="2" t="str">
        <f>IF(Vértices!C30="","",Vértices!C30)</f>
        <v/>
      </c>
      <c r="S31" s="2" t="str">
        <f>IF(Vértices!E30="","",Vértices!E30)</f>
        <v/>
      </c>
      <c r="T31" s="2" t="str">
        <f>IF(Vértices!D30="","",-Vértices!D30)</f>
        <v/>
      </c>
      <c r="U31" s="2"/>
      <c r="V31" s="49">
        <v>62</v>
      </c>
      <c r="W31" s="2" t="str">
        <f>IF(Vértices!H30="","",V31)</f>
        <v/>
      </c>
      <c r="X31" s="2" t="str">
        <f>IF(Vértices!H30="","",Vértices!H30)</f>
        <v/>
      </c>
      <c r="Y31" s="2" t="str">
        <f>IF(Vértices!J30="","",Vértices!J30)</f>
        <v/>
      </c>
      <c r="Z31" s="2" t="str">
        <f>IF(Vértices!I30="","",-Vértices!I30)</f>
        <v/>
      </c>
    </row>
    <row r="32" spans="1:26" x14ac:dyDescent="0.25">
      <c r="A32" t="s">
        <v>667</v>
      </c>
      <c r="I32">
        <v>31</v>
      </c>
      <c r="J32">
        <f>Cálculo!Z30</f>
        <v>2.8000000000000003</v>
      </c>
      <c r="K32">
        <v>0</v>
      </c>
      <c r="L32" s="15">
        <f>-Cálculo!AA30</f>
        <v>1.1433756729740643</v>
      </c>
      <c r="M32" t="str">
        <f t="shared" si="0"/>
        <v xml:space="preserve">31 2.8 0 1.14338; </v>
      </c>
      <c r="N32" t="str">
        <f t="shared" si="3"/>
        <v>DENSITY LINE 2.8 0 1.14338 1 2.68 0 1.14338 1 0</v>
      </c>
      <c r="O32" t="str">
        <f t="shared" si="4"/>
        <v/>
      </c>
      <c r="P32" s="49">
        <v>30</v>
      </c>
      <c r="Q32" s="2" t="str">
        <f>IF(Vértices!C31="","",P32)</f>
        <v/>
      </c>
      <c r="R32" s="2" t="str">
        <f>IF(Vértices!C31="","",Vértices!C31)</f>
        <v/>
      </c>
      <c r="S32" s="2" t="str">
        <f>IF(Vértices!E31="","",Vértices!E31)</f>
        <v/>
      </c>
      <c r="T32" s="2" t="str">
        <f>IF(Vértices!D31="","",-Vértices!D31)</f>
        <v/>
      </c>
      <c r="U32" s="2"/>
      <c r="V32" s="49">
        <v>63</v>
      </c>
      <c r="W32" s="2" t="str">
        <f>IF(Vértices!H31="","",V32)</f>
        <v/>
      </c>
      <c r="X32" s="2" t="str">
        <f>IF(Vértices!H31="","",Vértices!H31)</f>
        <v/>
      </c>
      <c r="Y32" s="2" t="str">
        <f>IF(Vértices!J31="","",Vértices!J31)</f>
        <v/>
      </c>
      <c r="Z32" s="2" t="str">
        <f>IF(Vértices!I31="","",-Vértices!I31)</f>
        <v/>
      </c>
    </row>
    <row r="33" spans="1:26" x14ac:dyDescent="0.25">
      <c r="A33" t="s">
        <v>668</v>
      </c>
      <c r="I33">
        <v>32</v>
      </c>
      <c r="J33">
        <f>Cálculo!AM38</f>
        <v>2.68</v>
      </c>
      <c r="K33">
        <v>0</v>
      </c>
      <c r="L33" s="15">
        <f>-Cálculo!AN38</f>
        <v>1.1433756729740643</v>
      </c>
      <c r="M33" t="str">
        <f t="shared" si="0"/>
        <v xml:space="preserve">32 2.68 0 1.14338; </v>
      </c>
      <c r="N33" t="str">
        <f t="shared" si="3"/>
        <v>DENSITY LINE 2.68 0 1.14338 1 2.56 0 1.14338 1 0</v>
      </c>
      <c r="O33" t="str">
        <f t="shared" si="4"/>
        <v/>
      </c>
      <c r="P33" s="49">
        <v>31</v>
      </c>
      <c r="Q33" s="2" t="str">
        <f>IF(Vértices!C32="","",P33)</f>
        <v/>
      </c>
      <c r="R33" s="2" t="str">
        <f>IF(Vértices!C32="","",Vértices!C32)</f>
        <v/>
      </c>
      <c r="S33" s="2" t="str">
        <f>IF(Vértices!E32="","",Vértices!E32)</f>
        <v/>
      </c>
      <c r="T33" s="2" t="str">
        <f>IF(Vértices!D32="","",-Vértices!D32)</f>
        <v/>
      </c>
      <c r="U33" s="2"/>
      <c r="V33" s="49">
        <v>64</v>
      </c>
      <c r="W33" s="2" t="str">
        <f>IF(Vértices!H32="","",V33)</f>
        <v/>
      </c>
      <c r="X33" s="2" t="str">
        <f>IF(Vértices!H32="","",Vértices!H32)</f>
        <v/>
      </c>
      <c r="Y33" s="2" t="str">
        <f>IF(Vértices!J32="","",Vértices!J32)</f>
        <v/>
      </c>
      <c r="Z33" s="2" t="str">
        <f>IF(Vértices!I32="","",-Vértices!I32)</f>
        <v/>
      </c>
    </row>
    <row r="34" spans="1:26" x14ac:dyDescent="0.25">
      <c r="A34" t="s">
        <v>669</v>
      </c>
      <c r="I34">
        <v>33</v>
      </c>
      <c r="J34">
        <f>Cálculo!AM39</f>
        <v>2.5600000000000005</v>
      </c>
      <c r="K34">
        <v>0</v>
      </c>
      <c r="L34" s="15">
        <f>-Cálculo!AN39</f>
        <v>1.1433756729740643</v>
      </c>
      <c r="M34" t="str">
        <f t="shared" si="0"/>
        <v xml:space="preserve">33 2.56 0 1.14338; </v>
      </c>
      <c r="N34" t="str">
        <f t="shared" si="3"/>
        <v>DENSITY LINE 2.56 0 1.14338 1 2.44 0 1.14338 1 0</v>
      </c>
      <c r="O34" t="str">
        <f t="shared" si="4"/>
        <v/>
      </c>
      <c r="P34" s="49">
        <v>32</v>
      </c>
      <c r="Q34" s="2" t="str">
        <f>IF(Vértices!C33="","",P34)</f>
        <v/>
      </c>
      <c r="R34" s="2" t="str">
        <f>IF(Vértices!C33="","",Vértices!C33)</f>
        <v/>
      </c>
      <c r="S34" s="2" t="str">
        <f>IF(Vértices!E33="","",Vértices!E33)</f>
        <v/>
      </c>
      <c r="T34" s="2" t="str">
        <f>IF(Vértices!D33="","",-Vértices!D33)</f>
        <v/>
      </c>
      <c r="U34" s="2"/>
      <c r="V34" s="49">
        <v>65</v>
      </c>
      <c r="W34" s="2" t="str">
        <f>IF(Vértices!H33="","",V34)</f>
        <v/>
      </c>
      <c r="X34" s="2"/>
      <c r="Y34" s="2"/>
      <c r="Z34" s="2"/>
    </row>
    <row r="35" spans="1:26" x14ac:dyDescent="0.25">
      <c r="A35" t="s">
        <v>670</v>
      </c>
      <c r="I35">
        <v>34</v>
      </c>
      <c r="J35">
        <f>Cálculo!AM40</f>
        <v>2.4400000000000004</v>
      </c>
      <c r="K35">
        <v>0</v>
      </c>
      <c r="L35" s="15">
        <f>-Cálculo!AN40</f>
        <v>1.1433756729740643</v>
      </c>
      <c r="M35" t="str">
        <f t="shared" si="0"/>
        <v xml:space="preserve">34 2.44 0 1.14338; </v>
      </c>
      <c r="N35" t="str">
        <f t="shared" si="3"/>
        <v>DENSITY LINE 2.44 0 1.14338 1 2.32 0 1.14338 1 0</v>
      </c>
      <c r="O35" t="str">
        <f t="shared" si="4"/>
        <v/>
      </c>
      <c r="P35" s="49">
        <v>33</v>
      </c>
      <c r="Q35" s="2" t="str">
        <f>IF(Vértices!C34="","",P35)</f>
        <v/>
      </c>
      <c r="R35" s="2" t="str">
        <f>IF(Vértices!C34="","",Vértices!C34)</f>
        <v/>
      </c>
      <c r="S35" s="2" t="str">
        <f>IF(Vértices!E34="","",Vértices!E34)</f>
        <v/>
      </c>
      <c r="T35" s="2" t="str">
        <f>IF(Vértices!D34="","",-Vértices!D34)</f>
        <v/>
      </c>
      <c r="U35" s="2"/>
      <c r="V35" s="49">
        <v>66</v>
      </c>
      <c r="W35" s="2"/>
      <c r="X35" s="2"/>
      <c r="Y35" s="2"/>
      <c r="Z35" s="2"/>
    </row>
    <row r="36" spans="1:26" x14ac:dyDescent="0.25">
      <c r="A36" t="s">
        <v>671</v>
      </c>
      <c r="I36">
        <v>35</v>
      </c>
      <c r="J36">
        <f>Cálculo!AM41</f>
        <v>2.3200000000000003</v>
      </c>
      <c r="K36">
        <v>0</v>
      </c>
      <c r="L36" s="15">
        <f>-Cálculo!AN41</f>
        <v>1.1433756729740643</v>
      </c>
      <c r="M36" t="str">
        <f t="shared" si="0"/>
        <v xml:space="preserve">35 2.32 0 1.14338; </v>
      </c>
      <c r="N36" t="str">
        <f t="shared" si="3"/>
        <v>DENSITY LINE 2.32 0 1.14338 1 2.2 0 1.14338 1 0</v>
      </c>
      <c r="O36" t="str">
        <f t="shared" si="4"/>
        <v/>
      </c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5">
      <c r="A37" t="s">
        <v>613</v>
      </c>
      <c r="I37">
        <v>36</v>
      </c>
      <c r="J37">
        <f>Cálculo!Z31</f>
        <v>2.2000000000000002</v>
      </c>
      <c r="K37">
        <v>0</v>
      </c>
      <c r="L37" s="15">
        <f>-Cálculo!AA31</f>
        <v>1.1433756729740643</v>
      </c>
      <c r="M37" t="str">
        <f t="shared" si="0"/>
        <v xml:space="preserve">36 2.2 0 1.14338; </v>
      </c>
      <c r="N37" t="str">
        <f t="shared" si="3"/>
        <v>DENSITY LINE 2.2 0 1.14338 1 2.2 0 1.26338 1 0</v>
      </c>
      <c r="O37" t="str">
        <f t="shared" si="4"/>
        <v/>
      </c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5">
      <c r="A38" t="s">
        <v>614</v>
      </c>
      <c r="I38">
        <v>37</v>
      </c>
      <c r="J38">
        <f>Cálculo!AM42</f>
        <v>2.2000000000000002</v>
      </c>
      <c r="K38">
        <v>0</v>
      </c>
      <c r="L38" s="15">
        <f>-Cálculo!AN42</f>
        <v>1.2633756729740644</v>
      </c>
      <c r="M38" t="str">
        <f t="shared" si="0"/>
        <v xml:space="preserve">37 2.2 0 1.26338; </v>
      </c>
      <c r="N38" t="str">
        <f t="shared" si="3"/>
        <v>DENSITY LINE 2.2 0 1.26338 1 2.2 0 1.38338 1 0</v>
      </c>
      <c r="O38" t="str">
        <f t="shared" si="4"/>
        <v/>
      </c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5">
      <c r="A39" t="s">
        <v>615</v>
      </c>
      <c r="I39">
        <v>38</v>
      </c>
      <c r="J39">
        <f>Cálculo!AM43</f>
        <v>2.2000000000000002</v>
      </c>
      <c r="K39">
        <v>0</v>
      </c>
      <c r="L39" s="15">
        <f>-Cálculo!AN43</f>
        <v>1.3833756729740643</v>
      </c>
      <c r="M39" t="str">
        <f t="shared" si="0"/>
        <v xml:space="preserve">38 2.2 0 1.38338; </v>
      </c>
      <c r="N39" t="str">
        <f t="shared" si="3"/>
        <v>DENSITY LINE 2.2 0 1.38338 1 2.2 0 1.50338 1 0</v>
      </c>
      <c r="O39" t="str">
        <f t="shared" si="4"/>
        <v/>
      </c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5">
      <c r="A40" t="s">
        <v>756</v>
      </c>
      <c r="I40">
        <v>39</v>
      </c>
      <c r="J40">
        <f>Cálculo!AM44</f>
        <v>2.2000000000000002</v>
      </c>
      <c r="K40">
        <v>0</v>
      </c>
      <c r="L40" s="15">
        <f>-Cálculo!AN44</f>
        <v>1.5033756729740642</v>
      </c>
      <c r="M40" t="str">
        <f t="shared" si="0"/>
        <v xml:space="preserve">39 2.2 0 1.50338; </v>
      </c>
      <c r="N40" t="str">
        <f t="shared" si="3"/>
        <v>DENSITY LINE 2.2 0 1.50338 1 2.2 0 1.62338 1 0</v>
      </c>
      <c r="O40" t="str">
        <f t="shared" si="4"/>
        <v/>
      </c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5">
      <c r="A41" t="s">
        <v>616</v>
      </c>
      <c r="I41" s="202">
        <v>40</v>
      </c>
      <c r="J41">
        <f>Cálculo!AM45</f>
        <v>2.2000000000000002</v>
      </c>
      <c r="K41">
        <v>0</v>
      </c>
      <c r="L41" s="15">
        <f>-Cálculo!AN45</f>
        <v>1.6233756729740643</v>
      </c>
      <c r="M41" t="str">
        <f t="shared" si="0"/>
        <v xml:space="preserve">40 2.2 0 1.62338; </v>
      </c>
      <c r="N41" t="str">
        <f>_xlfn.CONCAT("DENSITY LINE ",ROUND(J41,5)," ",ROUND(K41,5)," ",ROUND(L41,5)," 1 ",ROUND(J22,5)," ",ROUND(K22,5)," ",ROUND(L22,5)," 1 0")</f>
        <v>DENSITY LINE 2.2 0 1.62338 1 2.2 0 1.74338 1 0</v>
      </c>
      <c r="O41" t="str">
        <f t="shared" si="4"/>
        <v/>
      </c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5">
      <c r="A42" t="s">
        <v>672</v>
      </c>
      <c r="I42">
        <v>41</v>
      </c>
      <c r="J42">
        <f>Cálculo!AB28</f>
        <v>-0.3</v>
      </c>
      <c r="K42">
        <v>0</v>
      </c>
      <c r="L42" s="15">
        <f>-Cálculo!AC28</f>
        <v>-2.5867513459481275</v>
      </c>
      <c r="M42" t="str">
        <f t="shared" si="0"/>
        <v xml:space="preserve">41 -0.3 0 -2.58675; </v>
      </c>
      <c r="N42" t="str">
        <f>_xlfn.CONCAT("DENSITY LINE ",ROUND(J42,5)," ",ROUND(K42,5)," ",ROUND(L42,5)," 1 ",ROUND(J43,5)," ",ROUND(K43,5)," ",ROUND(L43,5)," 1 0")</f>
        <v>DENSITY LINE -0.3 0 -2.58675 1 -0.18 0 -2.58675 1 0</v>
      </c>
      <c r="O42" t="str">
        <f t="shared" si="4"/>
        <v/>
      </c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5">
      <c r="A43" t="s">
        <v>673</v>
      </c>
      <c r="I43">
        <v>42</v>
      </c>
      <c r="J43">
        <f>Cálculo!AO30</f>
        <v>-0.18</v>
      </c>
      <c r="K43">
        <v>0</v>
      </c>
      <c r="L43" s="15">
        <f>-Cálculo!AP30</f>
        <v>-2.5867513459481275</v>
      </c>
      <c r="M43" t="str">
        <f t="shared" si="0"/>
        <v xml:space="preserve">42 -0.18 0 -2.58675; </v>
      </c>
      <c r="N43" t="str">
        <f>_xlfn.CONCAT("DENSITY LINE ",ROUND(J43,5)," ",ROUND(K43,5)," ",ROUND(L43,5)," 1 ",ROUND(J44,5)," ",ROUND(K44,5)," ",ROUND(L44,5)," 1 0")</f>
        <v>DENSITY LINE -0.18 0 -2.58675 1 -0.06 0 -2.58675 1 0</v>
      </c>
      <c r="O43" t="str">
        <f t="shared" si="4"/>
        <v/>
      </c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5">
      <c r="A44" t="s">
        <v>634</v>
      </c>
      <c r="I44">
        <v>43</v>
      </c>
      <c r="J44">
        <f>Cálculo!AO31</f>
        <v>-0.06</v>
      </c>
      <c r="K44">
        <v>0</v>
      </c>
      <c r="L44" s="15">
        <f>-Cálculo!AP31</f>
        <v>-2.5867513459481275</v>
      </c>
      <c r="M44" t="str">
        <f t="shared" si="0"/>
        <v xml:space="preserve">43 -0.06 0 -2.58675; </v>
      </c>
      <c r="N44" t="str">
        <f t="shared" ref="N44:N60" si="5">_xlfn.CONCAT("DENSITY LINE ",ROUND(J44,5)," ",ROUND(K44,5)," ",ROUND(L44,5)," 1 ",ROUND(J45,5)," ",ROUND(K45,5)," ",ROUND(L45,5)," 1 0")</f>
        <v>DENSITY LINE -0.06 0 -2.58675 1 0.06 0 -2.58675 1 0</v>
      </c>
      <c r="O44" t="str">
        <f t="shared" si="4"/>
        <v/>
      </c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5">
      <c r="A45" t="s">
        <v>674</v>
      </c>
      <c r="I45">
        <v>44</v>
      </c>
      <c r="J45">
        <f>Cálculo!AO32</f>
        <v>0.06</v>
      </c>
      <c r="K45">
        <v>0</v>
      </c>
      <c r="L45" s="15">
        <f>-Cálculo!AP32</f>
        <v>-2.5867513459481275</v>
      </c>
      <c r="M45" t="str">
        <f t="shared" si="0"/>
        <v xml:space="preserve">44 0.06 0 -2.58675; </v>
      </c>
      <c r="N45" t="str">
        <f t="shared" si="5"/>
        <v>DENSITY LINE 0.06 0 -2.58675 1 0.18 0 -2.58675 1 0</v>
      </c>
      <c r="O45" t="str">
        <f t="shared" si="4"/>
        <v/>
      </c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5">
      <c r="A46" t="s">
        <v>675</v>
      </c>
      <c r="I46">
        <v>45</v>
      </c>
      <c r="J46">
        <f>Cálculo!AO33</f>
        <v>0.18</v>
      </c>
      <c r="K46">
        <v>0</v>
      </c>
      <c r="L46" s="15">
        <f>-Cálculo!AP33</f>
        <v>-2.5867513459481275</v>
      </c>
      <c r="M46" t="str">
        <f t="shared" si="0"/>
        <v xml:space="preserve">45 0.18 0 -2.58675; </v>
      </c>
      <c r="N46" t="str">
        <f t="shared" si="5"/>
        <v>DENSITY LINE 0.18 0 -2.58675 1 0.3 0 -2.58675 1 0</v>
      </c>
      <c r="O46" t="str">
        <f t="shared" si="4"/>
        <v/>
      </c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5">
      <c r="A47" t="s">
        <v>676</v>
      </c>
      <c r="I47">
        <v>46</v>
      </c>
      <c r="J47">
        <f>Cálculo!AB29</f>
        <v>0.3</v>
      </c>
      <c r="K47">
        <v>0</v>
      </c>
      <c r="L47" s="15">
        <f>-Cálculo!AC29</f>
        <v>-2.5867513459481275</v>
      </c>
      <c r="M47" t="str">
        <f t="shared" si="0"/>
        <v xml:space="preserve">46 0.3 0 -2.58675; </v>
      </c>
      <c r="N47" t="str">
        <f t="shared" si="5"/>
        <v>DENSITY LINE 0.3 0 -2.58675 1 0.3 0 -2.70675 1 0</v>
      </c>
      <c r="O47" t="str">
        <f t="shared" si="4"/>
        <v/>
      </c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5">
      <c r="A48" t="s">
        <v>677</v>
      </c>
      <c r="I48">
        <v>47</v>
      </c>
      <c r="J48">
        <f>Cálculo!AO34</f>
        <v>0.3</v>
      </c>
      <c r="K48">
        <v>0</v>
      </c>
      <c r="L48" s="15">
        <f>-Cálculo!AP34</f>
        <v>-2.7067513459481276</v>
      </c>
      <c r="M48" t="str">
        <f t="shared" si="0"/>
        <v xml:space="preserve">47 0.3 0 -2.70675; </v>
      </c>
      <c r="N48" t="str">
        <f t="shared" si="5"/>
        <v>DENSITY LINE 0.3 0 -2.70675 1 0.3 0 -2.82675 1 0</v>
      </c>
      <c r="O48" t="str">
        <f t="shared" si="4"/>
        <v/>
      </c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5">
      <c r="A49" t="s">
        <v>678</v>
      </c>
      <c r="I49">
        <v>48</v>
      </c>
      <c r="J49">
        <f>Cálculo!AO35</f>
        <v>0.3</v>
      </c>
      <c r="K49">
        <v>0</v>
      </c>
      <c r="L49" s="15">
        <f>-Cálculo!AP35</f>
        <v>-2.8267513459481277</v>
      </c>
      <c r="M49" t="str">
        <f t="shared" si="0"/>
        <v xml:space="preserve">48 0.3 0 -2.82675; </v>
      </c>
      <c r="N49" t="str">
        <f t="shared" si="5"/>
        <v>DENSITY LINE 0.3 0 -2.82675 1 0.3 0 -2.94675 1 0</v>
      </c>
      <c r="O49" t="str">
        <f t="shared" si="4"/>
        <v/>
      </c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5">
      <c r="A50" t="s">
        <v>679</v>
      </c>
      <c r="I50">
        <v>49</v>
      </c>
      <c r="J50">
        <f>Cálculo!AO36</f>
        <v>0.3</v>
      </c>
      <c r="K50">
        <v>0</v>
      </c>
      <c r="L50" s="15">
        <f>-Cálculo!AP36</f>
        <v>-2.9467513459481274</v>
      </c>
      <c r="M50" t="str">
        <f t="shared" si="0"/>
        <v xml:space="preserve">49 0.3 0 -2.94675; </v>
      </c>
      <c r="N50" t="str">
        <f t="shared" si="5"/>
        <v>DENSITY LINE 0.3 0 -2.94675 1 0.3 0 -3.06675 1 0</v>
      </c>
      <c r="O50" t="str">
        <f t="shared" si="4"/>
        <v/>
      </c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5">
      <c r="A51" t="s">
        <v>680</v>
      </c>
      <c r="I51">
        <v>50</v>
      </c>
      <c r="J51">
        <f>Cálculo!AO37</f>
        <v>0.3</v>
      </c>
      <c r="K51">
        <v>0</v>
      </c>
      <c r="L51" s="15">
        <f>-Cálculo!AP37</f>
        <v>-3.0667513459481275</v>
      </c>
      <c r="M51" t="str">
        <f t="shared" si="0"/>
        <v xml:space="preserve">50 0.3 0 -3.06675; </v>
      </c>
      <c r="N51" t="str">
        <f t="shared" si="5"/>
        <v>DENSITY LINE 0.3 0 -3.06675 1 0.3 0 -3.18675 1 0</v>
      </c>
      <c r="O51" t="str">
        <f t="shared" si="4"/>
        <v/>
      </c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5">
      <c r="A52" t="s">
        <v>681</v>
      </c>
      <c r="I52">
        <v>51</v>
      </c>
      <c r="J52">
        <f>Cálculo!AB30</f>
        <v>0.3</v>
      </c>
      <c r="K52">
        <v>0</v>
      </c>
      <c r="L52" s="15">
        <f>-Cálculo!AC30</f>
        <v>-3.1867513459481276</v>
      </c>
      <c r="M52" t="str">
        <f t="shared" si="0"/>
        <v xml:space="preserve">51 0.3 0 -3.18675; </v>
      </c>
      <c r="N52" t="str">
        <f t="shared" si="5"/>
        <v>DENSITY LINE 0.3 0 -3.18675 1 0.18 0 -3.18675 1 0</v>
      </c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5">
      <c r="A53" t="s">
        <v>682</v>
      </c>
      <c r="I53">
        <v>52</v>
      </c>
      <c r="J53">
        <f>Cálculo!AO38</f>
        <v>0.18</v>
      </c>
      <c r="K53">
        <v>0</v>
      </c>
      <c r="L53" s="15">
        <f>-Cálculo!AP38</f>
        <v>-3.1867513459481276</v>
      </c>
      <c r="M53" t="str">
        <f t="shared" si="0"/>
        <v xml:space="preserve">52 0.18 0 -3.18675; </v>
      </c>
      <c r="N53" t="str">
        <f t="shared" si="5"/>
        <v>DENSITY LINE 0.18 0 -3.18675 1 0.06 0 -3.18675 1 0</v>
      </c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5">
      <c r="A54" t="s">
        <v>683</v>
      </c>
      <c r="I54">
        <v>53</v>
      </c>
      <c r="J54">
        <f>Cálculo!AO39</f>
        <v>0.06</v>
      </c>
      <c r="K54">
        <v>0</v>
      </c>
      <c r="L54" s="15">
        <f>-Cálculo!AP39</f>
        <v>-3.1867513459481276</v>
      </c>
      <c r="M54" t="str">
        <f t="shared" si="0"/>
        <v xml:space="preserve">53 0.06 0 -3.18675; </v>
      </c>
      <c r="N54" t="str">
        <f t="shared" si="5"/>
        <v>DENSITY LINE 0.06 0 -3.18675 1 -0.06 0 -3.18675 1 0</v>
      </c>
    </row>
    <row r="55" spans="1:26" x14ac:dyDescent="0.25">
      <c r="A55" t="s">
        <v>684</v>
      </c>
      <c r="I55">
        <v>54</v>
      </c>
      <c r="J55">
        <f>Cálculo!AO40</f>
        <v>-0.06</v>
      </c>
      <c r="K55">
        <v>0</v>
      </c>
      <c r="L55" s="15">
        <f>-Cálculo!AP40</f>
        <v>-3.1867513459481276</v>
      </c>
      <c r="M55" t="str">
        <f t="shared" si="0"/>
        <v xml:space="preserve">54 -0.06 0 -3.18675; </v>
      </c>
      <c r="N55" t="str">
        <f t="shared" si="5"/>
        <v>DENSITY LINE -0.06 0 -3.18675 1 -0.18 0 -3.18675 1 0</v>
      </c>
    </row>
    <row r="56" spans="1:26" x14ac:dyDescent="0.25">
      <c r="A56" t="s">
        <v>685</v>
      </c>
      <c r="I56">
        <v>55</v>
      </c>
      <c r="J56">
        <f>Cálculo!AO41</f>
        <v>-0.18</v>
      </c>
      <c r="K56">
        <v>0</v>
      </c>
      <c r="L56" s="15">
        <f>-Cálculo!AP41</f>
        <v>-3.1867513459481276</v>
      </c>
      <c r="M56" t="str">
        <f t="shared" si="0"/>
        <v xml:space="preserve">55 -0.18 0 -3.18675; </v>
      </c>
      <c r="N56" t="str">
        <f t="shared" si="5"/>
        <v>DENSITY LINE -0.18 0 -3.18675 1 -0.3 0 -3.18675 1 0</v>
      </c>
    </row>
    <row r="57" spans="1:26" x14ac:dyDescent="0.25">
      <c r="A57" t="s">
        <v>686</v>
      </c>
      <c r="I57">
        <v>56</v>
      </c>
      <c r="J57">
        <f>Cálculo!AB31</f>
        <v>-0.3</v>
      </c>
      <c r="K57">
        <v>0</v>
      </c>
      <c r="L57" s="15">
        <f>-Cálculo!AC31</f>
        <v>-3.1867513459481276</v>
      </c>
      <c r="M57" t="str">
        <f t="shared" si="0"/>
        <v xml:space="preserve">56 -0.3 0 -3.18675; </v>
      </c>
      <c r="N57" t="str">
        <f t="shared" si="5"/>
        <v>DENSITY LINE -0.3 0 -3.18675 1 -0.3 0 -3.06675 1 0</v>
      </c>
    </row>
    <row r="58" spans="1:26" x14ac:dyDescent="0.25">
      <c r="A58" t="s">
        <v>687</v>
      </c>
      <c r="I58">
        <v>57</v>
      </c>
      <c r="J58">
        <f>Cálculo!AO42</f>
        <v>-0.3</v>
      </c>
      <c r="K58">
        <v>0</v>
      </c>
      <c r="L58" s="15">
        <f>-Cálculo!AP42</f>
        <v>-3.0667513459481275</v>
      </c>
      <c r="M58" t="str">
        <f t="shared" si="0"/>
        <v xml:space="preserve">57 -0.3 0 -3.06675; </v>
      </c>
      <c r="N58" t="str">
        <f t="shared" si="5"/>
        <v>DENSITY LINE -0.3 0 -3.06675 1 -0.3 0 -2.94675 1 0</v>
      </c>
    </row>
    <row r="59" spans="1:26" x14ac:dyDescent="0.25">
      <c r="A59" t="s">
        <v>688</v>
      </c>
      <c r="I59">
        <v>58</v>
      </c>
      <c r="J59">
        <f>Cálculo!AO43</f>
        <v>-0.3</v>
      </c>
      <c r="K59">
        <v>0</v>
      </c>
      <c r="L59" s="15">
        <f>-Cálculo!AP43</f>
        <v>-2.9467513459481278</v>
      </c>
      <c r="M59" t="str">
        <f t="shared" si="0"/>
        <v xml:space="preserve">58 -0.3 0 -2.94675; </v>
      </c>
      <c r="N59" t="str">
        <f t="shared" si="5"/>
        <v>DENSITY LINE -0.3 0 -2.94675 1 -0.3 0 -2.82675 1 0</v>
      </c>
    </row>
    <row r="60" spans="1:26" x14ac:dyDescent="0.25">
      <c r="A60" t="s">
        <v>689</v>
      </c>
      <c r="I60">
        <v>59</v>
      </c>
      <c r="J60">
        <f>Cálculo!AO44</f>
        <v>-0.3</v>
      </c>
      <c r="K60">
        <v>0</v>
      </c>
      <c r="L60" s="15">
        <f>-Cálculo!AP44</f>
        <v>-2.8267513459481277</v>
      </c>
      <c r="M60" t="str">
        <f t="shared" si="0"/>
        <v xml:space="preserve">59 -0.3 0 -2.82675; </v>
      </c>
      <c r="N60" t="str">
        <f t="shared" si="5"/>
        <v>DENSITY LINE -0.3 0 -2.82675 1 -0.3 0 -2.70675 1 0</v>
      </c>
    </row>
    <row r="61" spans="1:26" x14ac:dyDescent="0.25">
      <c r="A61" t="s">
        <v>690</v>
      </c>
      <c r="I61">
        <v>60</v>
      </c>
      <c r="J61">
        <f>Cálculo!AO45</f>
        <v>-0.3</v>
      </c>
      <c r="K61">
        <v>0</v>
      </c>
      <c r="L61" s="15">
        <f>-Cálculo!AP45</f>
        <v>-2.7067513459481276</v>
      </c>
      <c r="M61" t="str">
        <f t="shared" si="0"/>
        <v xml:space="preserve">60 -0.3 0 -2.70675; </v>
      </c>
      <c r="N61" t="str">
        <f>_xlfn.CONCAT("DENSITY LINE ",ROUND(J61,5)," ",ROUND(K61,5)," ",ROUND(L61,5)," 1 ",ROUND(J42,5)," ",ROUND(K42,5)," ",ROUND(L42,5)," 1 0")</f>
        <v>DENSITY LINE -0.3 0 -2.70675 1 -0.3 0 -2.58675 1 0</v>
      </c>
    </row>
    <row r="62" spans="1:26" x14ac:dyDescent="0.25">
      <c r="A62" t="s">
        <v>691</v>
      </c>
      <c r="I62">
        <v>61</v>
      </c>
      <c r="J62">
        <v>-1.0260604299770058</v>
      </c>
      <c r="K62">
        <v>0</v>
      </c>
      <c r="L62">
        <v>2.8190778623577253</v>
      </c>
      <c r="M62" t="str">
        <f t="shared" si="0"/>
        <v xml:space="preserve">61 -1.02606 0 2.81908; </v>
      </c>
    </row>
    <row r="63" spans="1:26" x14ac:dyDescent="0.25">
      <c r="A63" t="s">
        <v>692</v>
      </c>
      <c r="I63">
        <v>62</v>
      </c>
      <c r="J63">
        <v>1.0260604299770071</v>
      </c>
      <c r="K63">
        <v>0</v>
      </c>
      <c r="L63">
        <v>2.8190778623577248</v>
      </c>
      <c r="M63" t="str">
        <f t="shared" si="0"/>
        <v xml:space="preserve">62 1.02606 0 2.81908; </v>
      </c>
    </row>
    <row r="64" spans="1:26" x14ac:dyDescent="0.25">
      <c r="A64" t="s">
        <v>693</v>
      </c>
      <c r="I64">
        <v>63</v>
      </c>
      <c r="J64">
        <v>2.5980762113533165</v>
      </c>
      <c r="K64">
        <v>0</v>
      </c>
      <c r="L64">
        <v>1.4999999999999991</v>
      </c>
      <c r="M64" t="str">
        <f t="shared" si="0"/>
        <v xml:space="preserve">63 2.59808 0 1.5; </v>
      </c>
    </row>
    <row r="65" spans="1:13" x14ac:dyDescent="0.25">
      <c r="A65" t="s">
        <v>694</v>
      </c>
      <c r="I65">
        <v>64</v>
      </c>
      <c r="J65">
        <v>2.9544232590366239</v>
      </c>
      <c r="K65">
        <v>0</v>
      </c>
      <c r="L65">
        <v>-0.52094453300079235</v>
      </c>
      <c r="M65" t="str">
        <f t="shared" si="0"/>
        <v xml:space="preserve">64 2.95442 0 -0.52094; </v>
      </c>
    </row>
    <row r="66" spans="1:13" x14ac:dyDescent="0.25">
      <c r="A66" t="s">
        <v>695</v>
      </c>
      <c r="I66">
        <v>65</v>
      </c>
      <c r="J66">
        <v>1.9283628290596169</v>
      </c>
      <c r="K66">
        <v>0</v>
      </c>
      <c r="L66">
        <v>-2.298133329356935</v>
      </c>
      <c r="M66" t="str">
        <f t="shared" si="0"/>
        <v xml:space="preserve">65 1.92836 0 -2.29813; </v>
      </c>
    </row>
    <row r="67" spans="1:13" x14ac:dyDescent="0.25">
      <c r="A67" t="s">
        <v>696</v>
      </c>
      <c r="I67">
        <v>66</v>
      </c>
      <c r="J67">
        <v>1.8369701987210297E-16</v>
      </c>
      <c r="K67">
        <v>0</v>
      </c>
      <c r="L67">
        <v>-3</v>
      </c>
      <c r="M67" t="str">
        <f t="shared" ref="M67:M114" si="6">IF(I67="","",_xlfn.CONCAT(I67," ",ROUND(J67,5)," ",MROUND(K67,5)," ",ROUND(L67,5),"; "))</f>
        <v xml:space="preserve">66 0 0 -3; </v>
      </c>
    </row>
    <row r="68" spans="1:13" x14ac:dyDescent="0.25">
      <c r="A68" t="s">
        <v>697</v>
      </c>
      <c r="I68">
        <v>67</v>
      </c>
      <c r="J68">
        <v>-1.9283628290596182</v>
      </c>
      <c r="K68">
        <v>0</v>
      </c>
      <c r="L68">
        <v>-2.2981333293569342</v>
      </c>
      <c r="M68" t="str">
        <f t="shared" si="6"/>
        <v xml:space="preserve">67 -1.92836 0 -2.29813; </v>
      </c>
    </row>
    <row r="69" spans="1:13" x14ac:dyDescent="0.25">
      <c r="A69" t="s">
        <v>698</v>
      </c>
      <c r="I69">
        <v>68</v>
      </c>
      <c r="J69">
        <v>-2.9544232590366239</v>
      </c>
      <c r="K69">
        <v>0</v>
      </c>
      <c r="L69">
        <v>-0.5209445330007908</v>
      </c>
      <c r="M69" t="str">
        <f t="shared" si="6"/>
        <v xml:space="preserve">68 -2.95442 0 -0.52094; </v>
      </c>
    </row>
    <row r="70" spans="1:13" x14ac:dyDescent="0.25">
      <c r="A70" t="s">
        <v>699</v>
      </c>
      <c r="I70">
        <v>69</v>
      </c>
      <c r="J70">
        <v>-2.598076211353316</v>
      </c>
      <c r="K70">
        <v>0</v>
      </c>
      <c r="L70">
        <v>1.5000000000000004</v>
      </c>
      <c r="M70" t="str">
        <f t="shared" si="6"/>
        <v xml:space="preserve">69 -2.59808 0 1.5; </v>
      </c>
    </row>
    <row r="71" spans="1:13" x14ac:dyDescent="0.25">
      <c r="A71" t="s">
        <v>700</v>
      </c>
      <c r="M71" t="str">
        <f t="shared" si="6"/>
        <v/>
      </c>
    </row>
    <row r="72" spans="1:13" x14ac:dyDescent="0.25">
      <c r="A72" t="s">
        <v>701</v>
      </c>
      <c r="M72" t="str">
        <f t="shared" si="6"/>
        <v/>
      </c>
    </row>
    <row r="73" spans="1:13" x14ac:dyDescent="0.25">
      <c r="A73" t="s">
        <v>702</v>
      </c>
      <c r="M73" t="str">
        <f t="shared" si="6"/>
        <v/>
      </c>
    </row>
    <row r="74" spans="1:13" x14ac:dyDescent="0.25">
      <c r="A74" t="s">
        <v>703</v>
      </c>
      <c r="M74" t="str">
        <f t="shared" si="6"/>
        <v/>
      </c>
    </row>
    <row r="75" spans="1:13" x14ac:dyDescent="0.25">
      <c r="A75" t="s">
        <v>704</v>
      </c>
      <c r="M75" t="str">
        <f t="shared" si="6"/>
        <v/>
      </c>
    </row>
    <row r="76" spans="1:13" x14ac:dyDescent="0.25">
      <c r="A76" t="s">
        <v>705</v>
      </c>
      <c r="M76" t="str">
        <f t="shared" si="6"/>
        <v/>
      </c>
    </row>
    <row r="77" spans="1:13" x14ac:dyDescent="0.25">
      <c r="A77" t="s">
        <v>706</v>
      </c>
      <c r="M77" t="str">
        <f t="shared" si="6"/>
        <v/>
      </c>
    </row>
    <row r="78" spans="1:13" x14ac:dyDescent="0.25">
      <c r="A78" t="s">
        <v>707</v>
      </c>
      <c r="M78" t="str">
        <f t="shared" si="6"/>
        <v/>
      </c>
    </row>
    <row r="79" spans="1:13" x14ac:dyDescent="0.25">
      <c r="A79" t="s">
        <v>708</v>
      </c>
      <c r="M79" t="str">
        <f t="shared" si="6"/>
        <v/>
      </c>
    </row>
    <row r="80" spans="1:13" x14ac:dyDescent="0.25">
      <c r="A80" t="s">
        <v>709</v>
      </c>
      <c r="M80" t="str">
        <f t="shared" si="6"/>
        <v/>
      </c>
    </row>
    <row r="81" spans="1:13" x14ac:dyDescent="0.25">
      <c r="A81" t="s">
        <v>710</v>
      </c>
      <c r="M81" t="str">
        <f t="shared" si="6"/>
        <v/>
      </c>
    </row>
    <row r="82" spans="1:13" x14ac:dyDescent="0.25">
      <c r="A82" t="s">
        <v>711</v>
      </c>
      <c r="M82" t="str">
        <f t="shared" si="6"/>
        <v/>
      </c>
    </row>
    <row r="83" spans="1:13" x14ac:dyDescent="0.25">
      <c r="A83" t="s">
        <v>712</v>
      </c>
      <c r="M83" t="str">
        <f t="shared" si="6"/>
        <v/>
      </c>
    </row>
    <row r="84" spans="1:13" x14ac:dyDescent="0.25">
      <c r="A84" t="s">
        <v>713</v>
      </c>
      <c r="M84" t="str">
        <f t="shared" si="6"/>
        <v/>
      </c>
    </row>
    <row r="85" spans="1:13" x14ac:dyDescent="0.25">
      <c r="A85" t="s">
        <v>714</v>
      </c>
      <c r="M85" t="str">
        <f t="shared" si="6"/>
        <v/>
      </c>
    </row>
    <row r="86" spans="1:13" x14ac:dyDescent="0.25">
      <c r="A86" t="s">
        <v>715</v>
      </c>
      <c r="M86" t="str">
        <f t="shared" si="6"/>
        <v/>
      </c>
    </row>
    <row r="87" spans="1:13" x14ac:dyDescent="0.25">
      <c r="A87" t="s">
        <v>716</v>
      </c>
      <c r="M87" t="str">
        <f t="shared" si="6"/>
        <v/>
      </c>
    </row>
    <row r="88" spans="1:13" x14ac:dyDescent="0.25">
      <c r="A88" t="s">
        <v>717</v>
      </c>
      <c r="M88" t="str">
        <f t="shared" si="6"/>
        <v/>
      </c>
    </row>
    <row r="89" spans="1:13" x14ac:dyDescent="0.25">
      <c r="A89" t="s">
        <v>718</v>
      </c>
      <c r="M89" t="str">
        <f t="shared" si="6"/>
        <v/>
      </c>
    </row>
    <row r="90" spans="1:13" x14ac:dyDescent="0.25">
      <c r="A90" t="s">
        <v>719</v>
      </c>
      <c r="M90" t="str">
        <f t="shared" si="6"/>
        <v/>
      </c>
    </row>
    <row r="91" spans="1:13" x14ac:dyDescent="0.25">
      <c r="A91" t="s">
        <v>720</v>
      </c>
      <c r="M91" t="str">
        <f t="shared" si="6"/>
        <v/>
      </c>
    </row>
    <row r="92" spans="1:13" x14ac:dyDescent="0.25">
      <c r="A92" t="s">
        <v>721</v>
      </c>
      <c r="M92" t="str">
        <f t="shared" si="6"/>
        <v/>
      </c>
    </row>
    <row r="93" spans="1:13" x14ac:dyDescent="0.25">
      <c r="A93" t="s">
        <v>722</v>
      </c>
      <c r="M93" t="str">
        <f t="shared" si="6"/>
        <v/>
      </c>
    </row>
    <row r="94" spans="1:13" x14ac:dyDescent="0.25">
      <c r="A94" t="s">
        <v>723</v>
      </c>
      <c r="M94" t="str">
        <f t="shared" si="6"/>
        <v/>
      </c>
    </row>
    <row r="95" spans="1:13" x14ac:dyDescent="0.25">
      <c r="A95" t="s">
        <v>724</v>
      </c>
      <c r="M95" t="str">
        <f t="shared" si="6"/>
        <v/>
      </c>
    </row>
    <row r="96" spans="1:13" x14ac:dyDescent="0.25">
      <c r="A96" t="s">
        <v>725</v>
      </c>
      <c r="M96" t="str">
        <f t="shared" si="6"/>
        <v/>
      </c>
    </row>
    <row r="97" spans="1:13" x14ac:dyDescent="0.25">
      <c r="A97" t="s">
        <v>726</v>
      </c>
      <c r="M97" t="str">
        <f t="shared" si="6"/>
        <v/>
      </c>
    </row>
    <row r="98" spans="1:13" x14ac:dyDescent="0.25">
      <c r="A98" t="s">
        <v>727</v>
      </c>
      <c r="M98" t="str">
        <f t="shared" si="6"/>
        <v/>
      </c>
    </row>
    <row r="99" spans="1:13" x14ac:dyDescent="0.25">
      <c r="A99" t="s">
        <v>728</v>
      </c>
      <c r="M99" t="str">
        <f t="shared" si="6"/>
        <v/>
      </c>
    </row>
    <row r="100" spans="1:13" x14ac:dyDescent="0.25">
      <c r="A100" t="s">
        <v>729</v>
      </c>
      <c r="M100" t="str">
        <f t="shared" si="6"/>
        <v/>
      </c>
    </row>
    <row r="101" spans="1:13" x14ac:dyDescent="0.25">
      <c r="A101" t="s">
        <v>730</v>
      </c>
      <c r="M101" t="str">
        <f t="shared" si="6"/>
        <v/>
      </c>
    </row>
    <row r="102" spans="1:13" x14ac:dyDescent="0.25">
      <c r="A102" t="s">
        <v>731</v>
      </c>
      <c r="M102" t="str">
        <f t="shared" si="6"/>
        <v/>
      </c>
    </row>
    <row r="103" spans="1:13" x14ac:dyDescent="0.25">
      <c r="A103" t="s">
        <v>732</v>
      </c>
      <c r="M103" t="str">
        <f t="shared" si="6"/>
        <v/>
      </c>
    </row>
    <row r="104" spans="1:13" x14ac:dyDescent="0.25">
      <c r="A104" t="s">
        <v>733</v>
      </c>
      <c r="M104" t="str">
        <f t="shared" si="6"/>
        <v/>
      </c>
    </row>
    <row r="105" spans="1:13" x14ac:dyDescent="0.25">
      <c r="A105" t="s">
        <v>734</v>
      </c>
      <c r="M105" t="str">
        <f t="shared" si="6"/>
        <v/>
      </c>
    </row>
    <row r="106" spans="1:13" x14ac:dyDescent="0.25">
      <c r="A106" t="s">
        <v>735</v>
      </c>
      <c r="M106" t="str">
        <f t="shared" si="6"/>
        <v/>
      </c>
    </row>
    <row r="107" spans="1:13" x14ac:dyDescent="0.25">
      <c r="A107" t="s">
        <v>736</v>
      </c>
      <c r="M107" t="str">
        <f t="shared" si="6"/>
        <v/>
      </c>
    </row>
    <row r="108" spans="1:13" x14ac:dyDescent="0.25">
      <c r="A108" t="s">
        <v>737</v>
      </c>
      <c r="M108" t="str">
        <f t="shared" si="6"/>
        <v/>
      </c>
    </row>
    <row r="109" spans="1:13" x14ac:dyDescent="0.25">
      <c r="A109" t="s">
        <v>738</v>
      </c>
      <c r="M109" t="str">
        <f t="shared" si="6"/>
        <v/>
      </c>
    </row>
    <row r="110" spans="1:13" x14ac:dyDescent="0.25">
      <c r="A110" t="s">
        <v>739</v>
      </c>
      <c r="M110" t="str">
        <f t="shared" si="6"/>
        <v/>
      </c>
    </row>
    <row r="111" spans="1:13" x14ac:dyDescent="0.25">
      <c r="A111" t="s">
        <v>740</v>
      </c>
      <c r="M111" t="str">
        <f t="shared" si="6"/>
        <v/>
      </c>
    </row>
    <row r="112" spans="1:13" x14ac:dyDescent="0.25">
      <c r="A112" t="s">
        <v>741</v>
      </c>
      <c r="M112" t="str">
        <f t="shared" si="6"/>
        <v/>
      </c>
    </row>
    <row r="113" spans="1:13" x14ac:dyDescent="0.25">
      <c r="A113" t="s">
        <v>742</v>
      </c>
      <c r="M113" t="str">
        <f t="shared" si="6"/>
        <v/>
      </c>
    </row>
    <row r="114" spans="1:13" x14ac:dyDescent="0.25">
      <c r="A114" t="s">
        <v>743</v>
      </c>
      <c r="M114" t="str">
        <f t="shared" si="6"/>
        <v/>
      </c>
    </row>
    <row r="115" spans="1:13" x14ac:dyDescent="0.25">
      <c r="A115" t="s">
        <v>744</v>
      </c>
    </row>
    <row r="116" spans="1:13" x14ac:dyDescent="0.25">
      <c r="A116" t="s">
        <v>745</v>
      </c>
    </row>
    <row r="117" spans="1:13" x14ac:dyDescent="0.25">
      <c r="A117" t="s">
        <v>746</v>
      </c>
    </row>
    <row r="118" spans="1:13" x14ac:dyDescent="0.25">
      <c r="A118" t="s">
        <v>747</v>
      </c>
    </row>
    <row r="119" spans="1:13" x14ac:dyDescent="0.25">
      <c r="A119" t="s">
        <v>748</v>
      </c>
    </row>
    <row r="120" spans="1:13" x14ac:dyDescent="0.25">
      <c r="A120" t="s">
        <v>617</v>
      </c>
    </row>
    <row r="121" spans="1:13" x14ac:dyDescent="0.25">
      <c r="A121" t="s">
        <v>618</v>
      </c>
    </row>
    <row r="122" spans="1:13" x14ac:dyDescent="0.25">
      <c r="A122" t="s">
        <v>557</v>
      </c>
    </row>
    <row r="123" spans="1:13" x14ac:dyDescent="0.25">
      <c r="A123" t="s">
        <v>599</v>
      </c>
    </row>
  </sheetData>
  <mergeCells count="2">
    <mergeCell ref="R1:T1"/>
    <mergeCell ref="X1:Z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d51736-5fbc-4976-904b-9083cf51595a" xsi:nil="true"/>
    <lcf76f155ced4ddcb4097134ff3c332f xmlns="601fd370-885e-4f50-82e9-2400aeb3e974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412881347C7614DB7211D3704961272" ma:contentTypeVersion="19" ma:contentTypeDescription="Create a new document." ma:contentTypeScope="" ma:versionID="fdd97836c6e7f59205ca353851fc6d69">
  <xsd:schema xmlns:xsd="http://www.w3.org/2001/XMLSchema" xmlns:xs="http://www.w3.org/2001/XMLSchema" xmlns:p="http://schemas.microsoft.com/office/2006/metadata/properties" xmlns:ns2="54d51736-5fbc-4976-904b-9083cf51595a" xmlns:ns3="601fd370-885e-4f50-82e9-2400aeb3e974" targetNamespace="http://schemas.microsoft.com/office/2006/metadata/properties" ma:root="true" ma:fieldsID="b3fdead49d3575c35d83e1024ec7c09d" ns2:_="" ns3:_="">
    <xsd:import namespace="54d51736-5fbc-4976-904b-9083cf51595a"/>
    <xsd:import namespace="601fd370-885e-4f50-82e9-2400aeb3e9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51736-5fbc-4976-904b-9083cf51595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1a07626f-04b4-4c39-a23b-ae7e8df84747}" ma:internalName="TaxCatchAll" ma:showField="CatchAllData" ma:web="54d51736-5fbc-4976-904b-9083cf51595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1fd370-885e-4f50-82e9-2400aeb3e9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a3a24c10-b583-4521-ace3-0062fa09d16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D342B8-697D-42BE-AE59-0D1705AFE6D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E912B1-1CA6-4B5E-9C53-D72646B06C28}">
  <ds:schemaRefs>
    <ds:schemaRef ds:uri="http://schemas.microsoft.com/office/2006/metadata/properties"/>
    <ds:schemaRef ds:uri="http://schemas.microsoft.com/office/infopath/2007/PartnerControls"/>
    <ds:schemaRef ds:uri="54d51736-5fbc-4976-904b-9083cf51595a"/>
    <ds:schemaRef ds:uri="601fd370-885e-4f50-82e9-2400aeb3e974"/>
  </ds:schemaRefs>
</ds:datastoreItem>
</file>

<file path=customXml/itemProps3.xml><?xml version="1.0" encoding="utf-8"?>
<ds:datastoreItem xmlns:ds="http://schemas.openxmlformats.org/officeDocument/2006/customXml" ds:itemID="{9835C926-46C8-4EAA-A333-493404E008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51736-5fbc-4976-904b-9083cf51595a"/>
    <ds:schemaRef ds:uri="601fd370-885e-4f50-82e9-2400aeb3e9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6</vt:i4>
      </vt:variant>
    </vt:vector>
  </HeadingPairs>
  <TitlesOfParts>
    <vt:vector size="16" baseType="lpstr">
      <vt:lpstr>Historia de Revisión</vt:lpstr>
      <vt:lpstr>Reacciones</vt:lpstr>
      <vt:lpstr>Vértices</vt:lpstr>
      <vt:lpstr>Cálculo</vt:lpstr>
      <vt:lpstr>AutoCAD</vt:lpstr>
      <vt:lpstr>Integrador</vt:lpstr>
      <vt:lpstr>React - Staad</vt:lpstr>
      <vt:lpstr>Flags</vt:lpstr>
      <vt:lpstr>STD</vt:lpstr>
      <vt:lpstr>Codigo</vt:lpstr>
      <vt:lpstr>Cálculo!Área_de_impresión</vt:lpstr>
      <vt:lpstr>'Historia de Revisión'!Área_de_impresión</vt:lpstr>
      <vt:lpstr>Flags</vt:lpstr>
      <vt:lpstr>In</vt:lpstr>
      <vt:lpstr>mm</vt:lpstr>
      <vt:lpstr>País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 Espinosa</dc:creator>
  <cp:keywords/>
  <dc:description/>
  <cp:lastModifiedBy>Christian Espinosa</cp:lastModifiedBy>
  <cp:revision/>
  <dcterms:created xsi:type="dcterms:W3CDTF">2024-07-01T18:48:07Z</dcterms:created>
  <dcterms:modified xsi:type="dcterms:W3CDTF">2026-07-10T05:38:27Z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0x0101009412881347C7614DB7211D3704961272</vt:lpwstr>
  </property>
  <property fmtid="{D5CDD505-2E9C-101B-9397-08002B2CF9AE}" pid="3" name="MediaServiceImageTags">
    <vt:lpwstr/>
  </property>
</Properties>
</file>