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kjohnson\Desktop\Ranjit\renewable_energy_value\india_REV_input\"/>
    </mc:Choice>
  </mc:AlternateContent>
  <bookViews>
    <workbookView xWindow="-4560" yWindow="-21255" windowWidth="32355" windowHeight="18345" firstSheet="2" activeTab="2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8" i="1" l="1"/>
  <c r="C11" i="11"/>
  <c r="C15" i="11"/>
  <c r="C17" i="11"/>
  <c r="C19" i="11"/>
  <c r="C34" i="11"/>
  <c r="C37" i="11"/>
  <c r="C40" i="11"/>
  <c r="C42" i="11"/>
  <c r="C45" i="11"/>
  <c r="C6" i="11"/>
  <c r="D6" i="11"/>
  <c r="G13" i="5"/>
  <c r="G14" i="5"/>
  <c r="G15" i="5"/>
  <c r="G16" i="5"/>
  <c r="D16" i="4"/>
  <c r="D17" i="4"/>
  <c r="D31" i="1"/>
  <c r="U4" i="1"/>
  <c r="W5" i="1"/>
  <c r="T29" i="1"/>
  <c r="T9" i="1"/>
  <c r="T48" i="1"/>
  <c r="U9" i="1"/>
  <c r="U48" i="1"/>
  <c r="V9" i="1"/>
  <c r="V48" i="1"/>
  <c r="W9" i="1"/>
  <c r="W48" i="1"/>
  <c r="X9" i="1"/>
  <c r="X48" i="1"/>
  <c r="Y9" i="1"/>
  <c r="Y48" i="1"/>
  <c r="Z9" i="1"/>
  <c r="Z48" i="1"/>
  <c r="AA9" i="1"/>
  <c r="AA48" i="1"/>
  <c r="AB9" i="1"/>
  <c r="AB48" i="1"/>
  <c r="AC9" i="1"/>
  <c r="AC48" i="1"/>
  <c r="S9" i="1"/>
  <c r="S48" i="1"/>
  <c r="AF4" i="1"/>
  <c r="AF5" i="1"/>
  <c r="AF6" i="1"/>
  <c r="AF7" i="1"/>
  <c r="AI4" i="1"/>
  <c r="AI5" i="1"/>
  <c r="AI6" i="1"/>
  <c r="AI7" i="1"/>
  <c r="AH4" i="1"/>
  <c r="AE4" i="1"/>
  <c r="C48" i="1"/>
  <c r="C50" i="1"/>
  <c r="C71" i="1"/>
  <c r="C72" i="1"/>
  <c r="B50" i="1"/>
  <c r="B71" i="1"/>
  <c r="B72" i="1"/>
  <c r="M1" i="8"/>
  <c r="J16" i="5"/>
  <c r="B13" i="4"/>
  <c r="B14" i="4"/>
  <c r="Y4" i="1"/>
  <c r="AC17" i="1"/>
  <c r="AC49" i="1"/>
  <c r="M2" i="8"/>
  <c r="B32" i="1"/>
  <c r="AC50" i="1"/>
  <c r="M3" i="8"/>
  <c r="C13" i="4"/>
  <c r="C14" i="4"/>
  <c r="AA4" i="1"/>
  <c r="AC23" i="1"/>
  <c r="AC51" i="1"/>
  <c r="M4" i="8"/>
  <c r="C32" i="1"/>
  <c r="AC52" i="1"/>
  <c r="M5" i="8"/>
  <c r="U5" i="1"/>
  <c r="AC28" i="1"/>
  <c r="AC53" i="1"/>
  <c r="M6" i="8"/>
  <c r="D32" i="1"/>
  <c r="AC54" i="1"/>
  <c r="M7" i="8"/>
  <c r="AC55" i="1"/>
  <c r="M8" i="8"/>
  <c r="AC56" i="1"/>
  <c r="M9" i="8"/>
  <c r="AC57" i="1"/>
  <c r="M10" i="8"/>
  <c r="AC58" i="1"/>
  <c r="M11" i="8"/>
  <c r="AK6" i="1"/>
  <c r="AC59" i="1"/>
  <c r="M12" i="8"/>
  <c r="AC60" i="1"/>
  <c r="M13" i="8"/>
  <c r="D1" i="8"/>
  <c r="E1" i="8"/>
  <c r="F1" i="8"/>
  <c r="G1" i="8"/>
  <c r="H1" i="8"/>
  <c r="I1" i="8"/>
  <c r="J1" i="8"/>
  <c r="K1" i="8"/>
  <c r="L1" i="8"/>
  <c r="T17" i="1"/>
  <c r="T49" i="1"/>
  <c r="D2" i="8"/>
  <c r="U17" i="1"/>
  <c r="U49" i="1"/>
  <c r="E2" i="8"/>
  <c r="V17" i="1"/>
  <c r="V49" i="1"/>
  <c r="F2" i="8"/>
  <c r="W17" i="1"/>
  <c r="W49" i="1"/>
  <c r="G2" i="8"/>
  <c r="X17" i="1"/>
  <c r="X49" i="1"/>
  <c r="H2" i="8"/>
  <c r="Y17" i="1"/>
  <c r="Y49" i="1"/>
  <c r="I2" i="8"/>
  <c r="Z17" i="1"/>
  <c r="Z49" i="1"/>
  <c r="J2" i="8"/>
  <c r="AA17" i="1"/>
  <c r="AA49" i="1"/>
  <c r="K2" i="8"/>
  <c r="AB17" i="1"/>
  <c r="AB49" i="1"/>
  <c r="L2" i="8"/>
  <c r="T50" i="1"/>
  <c r="D3" i="8"/>
  <c r="U50" i="1"/>
  <c r="E3" i="8"/>
  <c r="V50" i="1"/>
  <c r="F3" i="8"/>
  <c r="W50" i="1"/>
  <c r="G3" i="8"/>
  <c r="X50" i="1"/>
  <c r="H3" i="8"/>
  <c r="Y50" i="1"/>
  <c r="I3" i="8"/>
  <c r="Z50" i="1"/>
  <c r="J3" i="8"/>
  <c r="AA50" i="1"/>
  <c r="K3" i="8"/>
  <c r="AB50" i="1"/>
  <c r="L3" i="8"/>
  <c r="T23" i="1"/>
  <c r="T51" i="1"/>
  <c r="D4" i="8"/>
  <c r="U23" i="1"/>
  <c r="U51" i="1"/>
  <c r="E4" i="8"/>
  <c r="V23" i="1"/>
  <c r="V51" i="1"/>
  <c r="F4" i="8"/>
  <c r="W23" i="1"/>
  <c r="W51" i="1"/>
  <c r="G4" i="8"/>
  <c r="X23" i="1"/>
  <c r="X51" i="1"/>
  <c r="H4" i="8"/>
  <c r="Y23" i="1"/>
  <c r="Y51" i="1"/>
  <c r="I4" i="8"/>
  <c r="Z23" i="1"/>
  <c r="Z51" i="1"/>
  <c r="J4" i="8"/>
  <c r="AA23" i="1"/>
  <c r="AA51" i="1"/>
  <c r="K4" i="8"/>
  <c r="AB23" i="1"/>
  <c r="AB51" i="1"/>
  <c r="L4" i="8"/>
  <c r="T52" i="1"/>
  <c r="D5" i="8"/>
  <c r="U52" i="1"/>
  <c r="E5" i="8"/>
  <c r="V52" i="1"/>
  <c r="F5" i="8"/>
  <c r="W52" i="1"/>
  <c r="G5" i="8"/>
  <c r="X52" i="1"/>
  <c r="H5" i="8"/>
  <c r="Y52" i="1"/>
  <c r="I5" i="8"/>
  <c r="Z52" i="1"/>
  <c r="J5" i="8"/>
  <c r="AA52" i="1"/>
  <c r="K5" i="8"/>
  <c r="AB52" i="1"/>
  <c r="L5" i="8"/>
  <c r="D25" i="5"/>
  <c r="D26" i="5"/>
  <c r="D27" i="5"/>
  <c r="D28" i="5"/>
  <c r="D29" i="5"/>
  <c r="D30" i="5"/>
  <c r="D31" i="5"/>
  <c r="D8" i="4"/>
  <c r="T53" i="1"/>
  <c r="D6" i="8"/>
  <c r="U28" i="1"/>
  <c r="U53" i="1"/>
  <c r="E6" i="8"/>
  <c r="V28" i="1"/>
  <c r="V53" i="1"/>
  <c r="F6" i="8"/>
  <c r="W28" i="1"/>
  <c r="W53" i="1"/>
  <c r="G6" i="8"/>
  <c r="X28" i="1"/>
  <c r="X53" i="1"/>
  <c r="H6" i="8"/>
  <c r="Y28" i="1"/>
  <c r="Y53" i="1"/>
  <c r="I6" i="8"/>
  <c r="Z28" i="1"/>
  <c r="Z53" i="1"/>
  <c r="J6" i="8"/>
  <c r="AA28" i="1"/>
  <c r="AA53" i="1"/>
  <c r="K6" i="8"/>
  <c r="AB28" i="1"/>
  <c r="AB53" i="1"/>
  <c r="L6" i="8"/>
  <c r="T54" i="1"/>
  <c r="D7" i="8"/>
  <c r="U54" i="1"/>
  <c r="E7" i="8"/>
  <c r="V54" i="1"/>
  <c r="F7" i="8"/>
  <c r="W54" i="1"/>
  <c r="G7" i="8"/>
  <c r="X54" i="1"/>
  <c r="H7" i="8"/>
  <c r="Y54" i="1"/>
  <c r="I7" i="8"/>
  <c r="Z54" i="1"/>
  <c r="J7" i="8"/>
  <c r="AA54" i="1"/>
  <c r="K7" i="8"/>
  <c r="AB54" i="1"/>
  <c r="L7" i="8"/>
  <c r="T55" i="1"/>
  <c r="D8" i="8"/>
  <c r="AE5" i="1"/>
  <c r="U55" i="1"/>
  <c r="E8" i="8"/>
  <c r="AE6" i="1"/>
  <c r="V55" i="1"/>
  <c r="F8" i="8"/>
  <c r="AE7" i="1"/>
  <c r="W55" i="1"/>
  <c r="G8" i="8"/>
  <c r="X55" i="1"/>
  <c r="H8" i="8"/>
  <c r="Y55" i="1"/>
  <c r="I8" i="8"/>
  <c r="Z55" i="1"/>
  <c r="J8" i="8"/>
  <c r="AA55" i="1"/>
  <c r="K8" i="8"/>
  <c r="AB55" i="1"/>
  <c r="L8" i="8"/>
  <c r="T56" i="1"/>
  <c r="D9" i="8"/>
  <c r="U56" i="1"/>
  <c r="E9" i="8"/>
  <c r="V56" i="1"/>
  <c r="F9" i="8"/>
  <c r="W56" i="1"/>
  <c r="G9" i="8"/>
  <c r="X56" i="1"/>
  <c r="H9" i="8"/>
  <c r="Y56" i="1"/>
  <c r="I9" i="8"/>
  <c r="Z56" i="1"/>
  <c r="J9" i="8"/>
  <c r="AA56" i="1"/>
  <c r="K9" i="8"/>
  <c r="AB56" i="1"/>
  <c r="L9" i="8"/>
  <c r="T57" i="1"/>
  <c r="D10" i="8"/>
  <c r="U57" i="1"/>
  <c r="E10" i="8"/>
  <c r="V57" i="1"/>
  <c r="F10" i="8"/>
  <c r="W57" i="1"/>
  <c r="G10" i="8"/>
  <c r="AH5" i="1"/>
  <c r="X57" i="1"/>
  <c r="H10" i="8"/>
  <c r="AH6" i="1"/>
  <c r="Y57" i="1"/>
  <c r="I10" i="8"/>
  <c r="AH7" i="1"/>
  <c r="Z57" i="1"/>
  <c r="J10" i="8"/>
  <c r="AA57" i="1"/>
  <c r="K10" i="8"/>
  <c r="AB57" i="1"/>
  <c r="L10" i="8"/>
  <c r="T58" i="1"/>
  <c r="D11" i="8"/>
  <c r="U58" i="1"/>
  <c r="E11" i="8"/>
  <c r="V58" i="1"/>
  <c r="F11" i="8"/>
  <c r="W58" i="1"/>
  <c r="G11" i="8"/>
  <c r="X58" i="1"/>
  <c r="H11" i="8"/>
  <c r="Y58" i="1"/>
  <c r="I11" i="8"/>
  <c r="Z58" i="1"/>
  <c r="J11" i="8"/>
  <c r="AA58" i="1"/>
  <c r="K11" i="8"/>
  <c r="AB58" i="1"/>
  <c r="L11" i="8"/>
  <c r="T59" i="1"/>
  <c r="D12" i="8"/>
  <c r="U59" i="1"/>
  <c r="E12" i="8"/>
  <c r="V59" i="1"/>
  <c r="F12" i="8"/>
  <c r="W59" i="1"/>
  <c r="G12" i="8"/>
  <c r="X59" i="1"/>
  <c r="H12" i="8"/>
  <c r="Y59" i="1"/>
  <c r="I12" i="8"/>
  <c r="Z59" i="1"/>
  <c r="J12" i="8"/>
  <c r="AA59" i="1"/>
  <c r="K12" i="8"/>
  <c r="AK5" i="1"/>
  <c r="AB59" i="1"/>
  <c r="L12" i="8"/>
  <c r="T60" i="1"/>
  <c r="D13" i="8"/>
  <c r="U60" i="1"/>
  <c r="E13" i="8"/>
  <c r="V60" i="1"/>
  <c r="F13" i="8"/>
  <c r="W60" i="1"/>
  <c r="G13" i="8"/>
  <c r="X60" i="1"/>
  <c r="H13" i="8"/>
  <c r="Y60" i="1"/>
  <c r="I13" i="8"/>
  <c r="Z60" i="1"/>
  <c r="J13" i="8"/>
  <c r="AA60" i="1"/>
  <c r="K13" i="8"/>
  <c r="AB60" i="1"/>
  <c r="L13" i="8"/>
  <c r="S5" i="1"/>
  <c r="AC15" i="1"/>
  <c r="AC30" i="1"/>
  <c r="AC44" i="1"/>
  <c r="B7" i="1"/>
  <c r="W4" i="1"/>
  <c r="AC29" i="1"/>
  <c r="B24" i="1"/>
  <c r="D34" i="1"/>
  <c r="D33" i="1"/>
  <c r="AC31" i="1"/>
  <c r="AC45" i="1"/>
  <c r="AC24" i="1"/>
  <c r="AC42" i="1"/>
  <c r="AC5" i="1"/>
  <c r="AC18" i="1"/>
  <c r="B23" i="1"/>
  <c r="C34" i="1"/>
  <c r="C33" i="1"/>
  <c r="AC25" i="1"/>
  <c r="AC43" i="1"/>
  <c r="AC19" i="1"/>
  <c r="AC40" i="1"/>
  <c r="B22" i="1"/>
  <c r="B34" i="1"/>
  <c r="B33" i="1"/>
  <c r="AC20" i="1"/>
  <c r="AC41" i="1"/>
  <c r="AC35" i="1"/>
  <c r="AC34" i="1"/>
  <c r="AC14" i="1"/>
  <c r="AB15" i="1"/>
  <c r="AB30" i="1"/>
  <c r="AB44" i="1"/>
  <c r="AB29" i="1"/>
  <c r="AB31" i="1"/>
  <c r="AB45" i="1"/>
  <c r="AB24" i="1"/>
  <c r="AB42" i="1"/>
  <c r="AB18" i="1"/>
  <c r="AB25" i="1"/>
  <c r="AB43" i="1"/>
  <c r="AB19" i="1"/>
  <c r="AB40" i="1"/>
  <c r="AB20" i="1"/>
  <c r="AB41" i="1"/>
  <c r="AB35" i="1"/>
  <c r="AB34" i="1"/>
  <c r="AB14" i="1"/>
  <c r="S28" i="1"/>
  <c r="Y15" i="1"/>
  <c r="Y30" i="1"/>
  <c r="Y44" i="1"/>
  <c r="Y29" i="1"/>
  <c r="Y31" i="1"/>
  <c r="Y45" i="1"/>
  <c r="Y24" i="1"/>
  <c r="Y42" i="1"/>
  <c r="Y18" i="1"/>
  <c r="Y25" i="1"/>
  <c r="Y43" i="1"/>
  <c r="Y19" i="1"/>
  <c r="Y40" i="1"/>
  <c r="Y20" i="1"/>
  <c r="Y41" i="1"/>
  <c r="Y35" i="1"/>
  <c r="Y34" i="1"/>
  <c r="Y14" i="1"/>
  <c r="X15" i="1"/>
  <c r="X30" i="1"/>
  <c r="X44" i="1"/>
  <c r="X29" i="1"/>
  <c r="X31" i="1"/>
  <c r="X45" i="1"/>
  <c r="X24" i="1"/>
  <c r="X42" i="1"/>
  <c r="X18" i="1"/>
  <c r="X25" i="1"/>
  <c r="X43" i="1"/>
  <c r="X19" i="1"/>
  <c r="X40" i="1"/>
  <c r="X20" i="1"/>
  <c r="X41" i="1"/>
  <c r="X35" i="1"/>
  <c r="X34" i="1"/>
  <c r="X14" i="1"/>
  <c r="V15" i="1"/>
  <c r="V30" i="1"/>
  <c r="V44" i="1"/>
  <c r="V29" i="1"/>
  <c r="V31" i="1"/>
  <c r="V45" i="1"/>
  <c r="V24" i="1"/>
  <c r="V42" i="1"/>
  <c r="V18" i="1"/>
  <c r="V25" i="1"/>
  <c r="V43" i="1"/>
  <c r="V19" i="1"/>
  <c r="V40" i="1"/>
  <c r="V20" i="1"/>
  <c r="V41" i="1"/>
  <c r="V35" i="1"/>
  <c r="V34" i="1"/>
  <c r="V14" i="1"/>
  <c r="U15" i="1"/>
  <c r="U30" i="1"/>
  <c r="U44" i="1"/>
  <c r="U29" i="1"/>
  <c r="U31" i="1"/>
  <c r="U45" i="1"/>
  <c r="U24" i="1"/>
  <c r="U42" i="1"/>
  <c r="U18" i="1"/>
  <c r="U25" i="1"/>
  <c r="U43" i="1"/>
  <c r="U19" i="1"/>
  <c r="U40" i="1"/>
  <c r="U20" i="1"/>
  <c r="U41" i="1"/>
  <c r="U35" i="1"/>
  <c r="U34" i="1"/>
  <c r="U14" i="1"/>
  <c r="Z11" i="11"/>
  <c r="Z27" i="11"/>
  <c r="Z31" i="11"/>
  <c r="Z23" i="11"/>
  <c r="Z8" i="1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Z10" i="11"/>
  <c r="Z13" i="11"/>
  <c r="Z15" i="11"/>
  <c r="Z17" i="11"/>
  <c r="Z19" i="11"/>
  <c r="Z34" i="11"/>
  <c r="Z37" i="11"/>
  <c r="Z40" i="11"/>
  <c r="Z42" i="11"/>
  <c r="Z45" i="11"/>
  <c r="Z3" i="11"/>
  <c r="C10" i="11"/>
  <c r="C13" i="11"/>
  <c r="C3" i="11"/>
  <c r="Z38" i="11"/>
  <c r="Z35" i="11"/>
  <c r="Z32" i="11"/>
  <c r="Z28" i="11"/>
  <c r="Z24" i="11"/>
  <c r="Z20" i="11"/>
  <c r="Z7" i="11"/>
  <c r="Z6" i="11"/>
  <c r="Z5" i="11"/>
  <c r="Z4" i="11"/>
  <c r="Z2" i="11"/>
  <c r="Y38" i="11"/>
  <c r="X38" i="11"/>
  <c r="W38" i="11"/>
  <c r="Y35" i="11"/>
  <c r="X35" i="11"/>
  <c r="W35" i="11"/>
  <c r="Y32" i="11"/>
  <c r="X32" i="11"/>
  <c r="W32" i="11"/>
  <c r="Y28" i="11"/>
  <c r="X28" i="11"/>
  <c r="W28" i="11"/>
  <c r="Y24" i="11"/>
  <c r="X24" i="11"/>
  <c r="W24" i="11"/>
  <c r="Y20" i="11"/>
  <c r="X20" i="11"/>
  <c r="W20" i="11"/>
  <c r="Y7" i="11"/>
  <c r="X7" i="11"/>
  <c r="W7" i="11"/>
  <c r="Y6" i="11"/>
  <c r="X6" i="11"/>
  <c r="W6" i="11"/>
  <c r="Y5" i="11"/>
  <c r="X5" i="11"/>
  <c r="W5" i="11"/>
  <c r="Y4" i="11"/>
  <c r="X4" i="11"/>
  <c r="W4" i="11"/>
  <c r="Y2" i="11"/>
  <c r="X2" i="11"/>
  <c r="W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2" i="11"/>
  <c r="D2" i="14"/>
  <c r="C1" i="14"/>
  <c r="D2" i="11"/>
  <c r="C2" i="14"/>
  <c r="C2" i="11"/>
  <c r="B2" i="14"/>
  <c r="B1" i="14"/>
  <c r="A1" i="6"/>
  <c r="S23" i="1"/>
  <c r="S17" i="1"/>
  <c r="AA15" i="1"/>
  <c r="AA30" i="1"/>
  <c r="AA24" i="1"/>
  <c r="AA18" i="1"/>
  <c r="AA25" i="1"/>
  <c r="AA29" i="1"/>
  <c r="AA31" i="1"/>
  <c r="AA35" i="1"/>
  <c r="Z15" i="1"/>
  <c r="Z30" i="1"/>
  <c r="Z24" i="1"/>
  <c r="Z18" i="1"/>
  <c r="Z25" i="1"/>
  <c r="Z29" i="1"/>
  <c r="Z31" i="1"/>
  <c r="Z35" i="1"/>
  <c r="W15" i="1"/>
  <c r="W30" i="1"/>
  <c r="W24" i="1"/>
  <c r="W18" i="1"/>
  <c r="W25" i="1"/>
  <c r="W29" i="1"/>
  <c r="W31" i="1"/>
  <c r="W35" i="1"/>
  <c r="T15" i="1"/>
  <c r="T24" i="1"/>
  <c r="T30" i="1"/>
  <c r="T18" i="1"/>
  <c r="T25" i="1"/>
  <c r="T31" i="1"/>
  <c r="T35" i="1"/>
  <c r="S15" i="1"/>
  <c r="S30" i="1"/>
  <c r="S24" i="1"/>
  <c r="S18" i="1"/>
  <c r="S25" i="1"/>
  <c r="S29" i="1"/>
  <c r="S31" i="1"/>
  <c r="S35" i="1"/>
  <c r="AA19" i="1"/>
  <c r="AA20" i="1"/>
  <c r="AA34" i="1"/>
  <c r="Z19" i="1"/>
  <c r="Z20" i="1"/>
  <c r="Z34" i="1"/>
  <c r="W19" i="1"/>
  <c r="W20" i="1"/>
  <c r="W34" i="1"/>
  <c r="T19" i="1"/>
  <c r="T20" i="1"/>
  <c r="T34" i="1"/>
  <c r="S19" i="1"/>
  <c r="S20" i="1"/>
  <c r="S34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T44" i="1"/>
  <c r="T45" i="1"/>
  <c r="D7" i="7"/>
  <c r="E3" i="12"/>
  <c r="F3" i="12"/>
  <c r="E4" i="12"/>
  <c r="F4" i="12"/>
  <c r="E5" i="12"/>
  <c r="F5" i="12"/>
  <c r="E6" i="12"/>
  <c r="F6" i="12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49" i="1"/>
  <c r="C2" i="8"/>
  <c r="B3" i="8"/>
  <c r="S50" i="1"/>
  <c r="C3" i="8"/>
  <c r="B4" i="8"/>
  <c r="S51" i="1"/>
  <c r="C4" i="8"/>
  <c r="B5" i="8"/>
  <c r="S52" i="1"/>
  <c r="C5" i="8"/>
  <c r="B6" i="8"/>
  <c r="S53" i="1"/>
  <c r="C6" i="8"/>
  <c r="B7" i="8"/>
  <c r="S54" i="1"/>
  <c r="C7" i="8"/>
  <c r="B8" i="8"/>
  <c r="S55" i="1"/>
  <c r="C8" i="8"/>
  <c r="B9" i="8"/>
  <c r="S56" i="1"/>
  <c r="C9" i="8"/>
  <c r="B10" i="8"/>
  <c r="S57" i="1"/>
  <c r="C10" i="8"/>
  <c r="B11" i="8"/>
  <c r="S58" i="1"/>
  <c r="C11" i="8"/>
  <c r="B12" i="8"/>
  <c r="S59" i="1"/>
  <c r="C12" i="8"/>
  <c r="B13" i="8"/>
  <c r="S60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4" i="1"/>
  <c r="AA45" i="1"/>
  <c r="AA42" i="1"/>
  <c r="AA43" i="1"/>
  <c r="AA40" i="1"/>
  <c r="AA41" i="1"/>
  <c r="AA14" i="1"/>
  <c r="Z44" i="1"/>
  <c r="Z45" i="1"/>
  <c r="Z42" i="1"/>
  <c r="Z43" i="1"/>
  <c r="Z40" i="1"/>
  <c r="Z41" i="1"/>
  <c r="Z14" i="1"/>
  <c r="W44" i="1"/>
  <c r="W45" i="1"/>
  <c r="W42" i="1"/>
  <c r="W43" i="1"/>
  <c r="W40" i="1"/>
  <c r="W41" i="1"/>
  <c r="W14" i="1"/>
  <c r="T40" i="1"/>
  <c r="B17" i="1"/>
  <c r="AC4" i="1"/>
  <c r="T41" i="1"/>
  <c r="T42" i="1"/>
  <c r="T43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48" i="1"/>
  <c r="D50" i="1"/>
  <c r="D51" i="1"/>
  <c r="D53" i="1"/>
  <c r="C3" i="6"/>
  <c r="C4" i="6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<sst xmlns="http://schemas.openxmlformats.org/spreadsheetml/2006/main" count="793" uniqueCount="444">
  <si>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</si>
  <si>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</si>
  <si>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</si>
  <si>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</si>
  <si>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</si>
  <si>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</si>
  <si>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</si>
  <si>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</si>
  <si>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</si>
  <si>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</si>
  <si>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</si>
  <si>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</si>
  <si>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</si>
  <si>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</si>
  <si>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</si>
  <si>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</si>
  <si>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</si>
  <si>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</si>
  <si>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</si>
  <si>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</si>
  <si>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</si>
  <si>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</si>
  <si>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</si>
  <si>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</si>
  <si>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</si>
  <si>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</si>
  <si>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</si>
  <si>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</si>
  <si>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</si>
  <si>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</si>
  <si>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</si>
  <si>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</si>
  <si>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</si>
  <si>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</si>
  <si>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</si>
  <si>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</si>
  <si>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</si>
  <si>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</si>
  <si>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</si>
  <si>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</si>
  <si>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</si>
  <si>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</si>
  <si>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</si>
  <si>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</si>
  <si>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</si>
  <si>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</si>
  <si>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</si>
  <si>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</si>
  <si>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</si>
  <si>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</si>
  <si>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</si>
  <si>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</si>
  <si>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</si>
  <si>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</si>
  <si>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</si>
  <si>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</si>
  <si>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</si>
  <si>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</si>
  <si>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</si>
  <si>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</si>
  <si>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</si>
  <si>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</si>
  <si>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</si>
  <si>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</si>
  <si>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</si>
  <si>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</si>
  <si>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</si>
  <si>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</si>
  <si>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</si>
  <si>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</si>
  <si>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</si>
  <si>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</si>
  <si>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</si>
  <si>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</si>
  <si>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</si>
  <si>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</si>
  <si>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</si>
  <si>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</si>
  <si>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</si>
  <si>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</si>
  <si>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</si>
  <si>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</si>
  <si>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</si>
  <si>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</si>
  <si>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</si>
  <si>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</si>
  <si>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</si>
  <si>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</si>
  <si>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</si>
  <si>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</si>
  <si>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</si>
  <si>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</si>
  <si>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</si>
  <si>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</si>
  <si>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</si>
  <si>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</si>
  <si>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</si>
  <si>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</si>
  <si>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</si>
  <si>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</si>
  <si>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</si>
  <si>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</si>
  <si>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</si>
  <si>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</si>
  <si>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</si>
  <si>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</si>
  <si>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</si>
  <si>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</si>
  <si>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</si>
  <si>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</si>
  <si>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</si>
  <si>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</si>
  <si>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</si>
  <si>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</si>
  <si>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</si>
  <si>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</si>
  <si>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</si>
  <si>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</si>
  <si>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</si>
  <si>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</si>
  <si>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</si>
  <si>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</si>
  <si>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</si>
  <si>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</si>
  <si>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</si>
  <si>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</si>
  <si>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</si>
  <si>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</si>
  <si>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</si>
  <si>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</si>
  <si>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</si>
  <si>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</si>
  <si>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</si>
  <si>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</si>
  <si>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</si>
  <si>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</si>
  <si>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</si>
  <si>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</si>
  <si>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</si>
  <si>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</si>
  <si>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</si>
  <si>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</si>
  <si>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</si>
  <si>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</si>
  <si>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</si>
  <si>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</si>
  <si>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</si>
  <si>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</si>
  <si>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</si>
  <si>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</si>
  <si>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</si>
  <si>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</si>
  <si>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</si>
  <si>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</si>
  <si>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</si>
  <si>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</si>
  <si>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</si>
  <si>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</si>
  <si>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</si>
  <si>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</si>
  <si>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</si>
  <si>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</si>
  <si>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</si>
  <si>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</si>
  <si>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</si>
  <si>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</si>
  <si>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</si>
  <si>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</si>
  <si>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</si>
  <si>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</si>
  <si>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</si>
  <si>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</si>
  <si>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</si>
  <si>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</si>
  <si>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</si>
  <si>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</si>
  <si>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</si>
  <si>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</si>
  <si>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</si>
  <si>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</si>
  <si>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</si>
  <si>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</si>
  <si>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</si>
  <si>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</si>
  <si>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</si>
  <si>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</si>
  <si>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</si>
  <si>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</si>
  <si>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</si>
  <si>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</si>
  <si>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</si>
  <si>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</si>
  <si>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</si>
  <si>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</si>
  <si>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</si>
  <si>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</si>
  <si>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</si>
  <si>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</si>
  <si>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</si>
  <si>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</si>
  <si>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</si>
  <si>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</si>
  <si>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</si>
  <si>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</si>
  <si>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</si>
  <si>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</si>
  <si>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</si>
  <si>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</si>
  <si>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</si>
  <si>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</si>
  <si>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</si>
  <si>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</si>
  <si>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</si>
  <si>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</si>
  <si>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</si>
  <si>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</si>
  <si>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</si>
  <si>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</si>
  <si>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</si>
  <si>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</si>
  <si>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</si>
  <si>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</si>
  <si>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</si>
  <si>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</si>
  <si>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</si>
  <si>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</si>
  <si>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</si>
  <si>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</si>
  <si>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</si>
  <si>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</si>
  <si>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</si>
  <si>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</si>
  <si>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</si>
  <si>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</si>
  <si>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</si>
  <si>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</si>
  <si>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</si>
  <si>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</si>
  <si>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</si>
  <si>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</si>
  <si>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</si>
  <si>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</si>
  <si>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</si>
  <si>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</si>
  <si>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</si>
  <si>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</si>
  <si>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</si>
  <si>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</si>
  <si>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</si>
  <si>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</si>
  <si>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</si>
  <si>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</si>
  <si>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</si>
  <si>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</si>
  <si>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</si>
  <si>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</si>
  <si>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</si>
  <si>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</si>
  <si>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</si>
  <si>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</si>
  <si>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</si>
  <si>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</si>
  <si>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</si>
  <si>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</si>
  <si>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</si>
  <si>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</si>
  <si>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</si>
  <si>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</si>
  <si>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</si>
  <si>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</si>
  <si>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</si>
  <si>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</si>
  <si>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</si>
  <si>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</si>
  <si>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</si>
  <si>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</si>
  <si>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</si>
  <si>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</si>
  <si>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</si>
  <si>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</si>
  <si>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</si>
  <si>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</si>
  <si>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</si>
  <si>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</si>
  <si>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</si>
  <si>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</si>
  <si>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</si>
  <si>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</si>
  <si>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</si>
  <si>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</si>
  <si>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</si>
  <si>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</si>
  <si>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</si>
  <si>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</si>
  <si>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</si>
  <si>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</si>
  <si>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</si>
  <si>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</si>
  <si>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</si>
  <si>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</si>
  <si>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</si>
  <si>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</si>
  <si>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</si>
  <si>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</si>
  <si>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</si>
  <si>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</si>
  <si>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</si>
  <si>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</si>
  <si>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</si>
  <si>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</si>
  <si>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</si>
  <si>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</si>
  <si>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</si>
  <si>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</si>
  <si>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</si>
  <si>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</si>
  <si>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</si>
  <si>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</si>
  <si>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</si>
  <si>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</si>
  <si>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</si>
  <si>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</si>
  <si>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</si>
  <si>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</si>
  <si>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</si>
  <si>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</si>
  <si>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</si>
  <si>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</si>
  <si>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</si>
  <si>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</si>
  <si>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</si>
  <si>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</si>
  <si>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</si>
  <si>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</si>
  <si>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</si>
  <si>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</si>
  <si>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</si>
  <si>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</si>
  <si>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</si>
  <si>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</si>
  <si>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</si>
  <si>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</si>
  <si>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</si>
  <si>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</si>
  <si>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</si>
  <si>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</si>
  <si>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</si>
  <si>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</si>
  <si>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</si>
  <si>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</si>
  <si>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</si>
  <si>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</si>
  <si>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</si>
  <si>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</si>
  <si>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</si>
  <si>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</si>
  <si>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</si>
  <si>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</si>
  <si>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</si>
  <si>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</si>
  <si>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</si>
  <si>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</si>
  <si>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</si>
  <si>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</si>
  <si>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</si>
  <si>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</si>
  <si>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</si>
  <si>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</si>
  <si>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</si>
  <si>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</si>
  <si>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</si>
  <si>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</si>
  <si>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</si>
  <si>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</si>
  <si>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</si>
  <si>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</si>
  <si>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</si>
  <si>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</si>
  <si>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</si>
  <si>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</si>
  <si>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</si>
  <si>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</si>
  <si>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</si>
  <si>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</si>
  <si>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</si>
  <si>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</si>
  <si>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</si>
  <si>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</si>
  <si>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</si>
  <si>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</si>
  <si>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</si>
  <si>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</si>
  <si>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</si>
  <si>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</si>
  <si>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</si>
  <si>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</si>
  <si>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</si>
  <si>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</si>
  <si>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</si>
  <si>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</si>
  <si>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</si>
  <si>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</si>
  <si>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</si>
  <si>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</si>
  <si>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</si>
  <si>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</si>
  <si>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</si>
  <si>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</si>
  <si>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</si>
  <si>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</si>
  <si>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</si>
  <si>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</si>
  <si>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</si>
  <si>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</si>
  <si>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</si>
  <si>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</si>
  <si>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</si>
  <si>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</si>
  <si>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</si>
  <si>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</si>
  <si>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</si>
  <si>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</si>
  <si>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</si>
  <si>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</si>
  <si>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</si>
  <si>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</si>
  <si>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</si>
  <si>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</si>
  <si>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</si>
  <si>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</si>
  <si>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</si>
  <si>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</si>
  <si>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</si>
  <si>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</si>
  <si>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</si>
  <si>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</si>
  <si>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</si>
  <si>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</si>
  <si>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</si>
  <si>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</si>
  <si>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</si>
  <si>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</si>
  <si>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coalHC_wind30LC_solar30LC</t>
  </si>
  <si>
    <t>Prayas analysis forthcoming report - Rs 7.5 crore per MW from CEA data + FGD cost of Rs 50 lakhs per MW from http://www.cercind.gov.in/2018/orders/104.pdf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</si>
</sst>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"/>
  <sheetViews>
    <sheetView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G15" sqref="G15"/>
    </sheetView>
  </sheetViews>
  <sheetFormatPr defaultColWidth="8.85546875"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4.28515625" bestFit="1" customWidth="1"/>
    <col min="8" max="14" width="13.140625" bestFit="1" customWidth="1"/>
    <col min="15" max="16" width="12.85546875" bestFit="1" customWidth="1"/>
    <col min="17" max="17" width="19" bestFit="1" customWidth="1"/>
    <col min="18" max="18" width="13.42578125" bestFit="1" customWidth="1"/>
    <col min="19" max="19" width="11.7109375" bestFit="1" customWidth="1"/>
    <col min="20" max="20" width="13.140625" bestFit="1" customWidth="1"/>
    <col min="21" max="21" width="18.85546875" bestFit="1" customWidth="1"/>
    <col min="22" max="22" width="13.140625" bestFit="1" customWidth="1"/>
    <col min="23" max="25" width="16.28515625" bestFit="1" customWidth="1"/>
    <col min="26" max="26" width="14.7109375" bestFit="1" customWidth="1"/>
    <col min="27" max="27" width="22.85546875" bestFit="1" customWidth="1"/>
  </cols>
  <sheetData>
    <row r="1" spans="1:27" x14ac:dyDescent="0.25">
      <c r="A1" t="s">
        <v>228</v>
      </c>
      <c r="B1" t="s">
        <v>229</v>
      </c>
      <c r="C1" t="s">
        <v>222</v>
      </c>
      <c r="D1" t="s">
        <v>230</v>
      </c>
      <c r="E1" t="s">
        <v>417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419</v>
      </c>
      <c r="V1" t="s">
        <v>246</v>
      </c>
      <c r="W1" t="s">
        <v>424</v>
      </c>
      <c r="X1" t="s">
        <v>425</v>
      </c>
      <c r="Y1" t="s">
        <v>426</v>
      </c>
      <c r="Z1" t="s">
        <v>427</v>
      </c>
      <c r="AA1" t="s">
        <v>442</v>
      </c>
    </row>
    <row r="2" spans="1:27" x14ac:dyDescent="0.25">
      <c r="A2" s="21" t="s">
        <v>247</v>
      </c>
      <c r="B2" s="21" t="s">
        <v>248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</row>
    <row r="3" spans="1:27" x14ac:dyDescent="0.25">
      <c r="A3" t="s">
        <v>249</v>
      </c>
      <c r="C3" t="str">
        <f>CONCATENATE(C10,C13,C15,C17,C19,C23,C27,C31,C34,C37,C40,C42,C45)</f>
        <v>ClcC70m</v>
      </c>
      <c r="D3" t="str">
        <f t="shared" ref="D3:Z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ClcC70mLmod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</row>
    <row r="4" spans="1:27" x14ac:dyDescent="0.25">
      <c r="A4" t="s">
        <v>418</v>
      </c>
      <c r="C4" t="str">
        <f>CONCATENATE(C10,C13,C15,C17,C19,C34,C37,C40,C42,C45)</f>
        <v>ClcC70m</v>
      </c>
      <c r="D4" t="str">
        <f t="shared" ref="D4:V4" si="2">CONCATENATE(D10,D13,D15,D17,D19,D34,D37,D40,D42,D45)</f>
        <v>ChcC70m</v>
      </c>
      <c r="E4" t="str">
        <f t="shared" si="2"/>
        <v>ClcC55m</v>
      </c>
      <c r="F4" t="str">
        <f t="shared" si="2"/>
        <v>ClcC70mH-25</v>
      </c>
      <c r="G4" t="str">
        <f t="shared" si="2"/>
        <v>ClcC70mH25</v>
      </c>
      <c r="H4" t="str">
        <f t="shared" si="2"/>
        <v>ClcC70mN64</v>
      </c>
      <c r="I4" t="str">
        <f t="shared" si="2"/>
        <v>ClcC70mB15</v>
      </c>
      <c r="J4" t="str">
        <f t="shared" si="2"/>
        <v>ClcC70mB30</v>
      </c>
      <c r="K4" t="str">
        <f t="shared" si="2"/>
        <v>ClcC70m</v>
      </c>
      <c r="L4" t="str">
        <f t="shared" si="2"/>
        <v>ClcC70m</v>
      </c>
      <c r="M4" t="str">
        <f t="shared" si="2"/>
        <v>ClcC70m</v>
      </c>
      <c r="N4" t="str">
        <f t="shared" si="2"/>
        <v>ClcC70m</v>
      </c>
      <c r="O4" t="str">
        <f t="shared" si="2"/>
        <v>ClcC70m</v>
      </c>
      <c r="P4" t="str">
        <f t="shared" si="2"/>
        <v>ClcC70m</v>
      </c>
      <c r="Q4" t="str">
        <f t="shared" si="2"/>
        <v>ClcC70m</v>
      </c>
      <c r="R4" t="str">
        <f t="shared" si="2"/>
        <v>ClcC70mW120</v>
      </c>
      <c r="S4" t="str">
        <f t="shared" si="2"/>
        <v>ClcC70mS1A</v>
      </c>
      <c r="T4" t="str">
        <f t="shared" si="2"/>
        <v>ClcC70mS90d</v>
      </c>
      <c r="U4" t="str">
        <f>CONCATENATE(U10,U13,U15,U17,U19,U34,U37,U40,U42,U45)</f>
        <v>ClcC70mW120S1A</v>
      </c>
      <c r="V4" t="str">
        <f t="shared" si="2"/>
        <v>ClcC70mLmod</v>
      </c>
      <c r="W4" t="str">
        <f>CONCATENATE(W10,W13,W15,W17,W19,W34,W37,W40,W42,W45)</f>
        <v>ClcC70mB15</v>
      </c>
      <c r="X4" t="str">
        <f>CONCATENATE(X10,X13,X15,X17,X19,X34,X37,X40,X42,X45)</f>
        <v>ClcC70mB15</v>
      </c>
      <c r="Y4" t="str">
        <f>CONCATENATE(Y10,Y13,Y15,Y17,Y19,Y34,Y37,Y40,Y42,Y45)</f>
        <v>ClcC70mB30</v>
      </c>
      <c r="Z4" t="str">
        <f>CONCATENATE(Z10,Z13,Z15,Z17,Z19,Z34,Z37,Z40,Z42,Z45)</f>
        <v>ClcC70mB30</v>
      </c>
    </row>
    <row r="5" spans="1:27" x14ac:dyDescent="0.25">
      <c r="A5" t="s">
        <v>250</v>
      </c>
      <c r="C5" t="str">
        <f t="shared" ref="C5:V5" si="3">CONCATENATE(C11,C15,C17,C19,C34,C37,C40,C42,C45)</f>
        <v>coallc</v>
      </c>
      <c r="D5" t="str">
        <f t="shared" si="3"/>
        <v>coalhc</v>
      </c>
      <c r="E5" t="str">
        <f t="shared" si="3"/>
        <v>coallc</v>
      </c>
      <c r="F5" t="str">
        <f t="shared" si="3"/>
        <v>coallcH-25</v>
      </c>
      <c r="G5" t="str">
        <f t="shared" si="3"/>
        <v>coallcH25</v>
      </c>
      <c r="H5" t="str">
        <f t="shared" si="3"/>
        <v>coallcN64</v>
      </c>
      <c r="I5" t="str">
        <f t="shared" si="3"/>
        <v>coallcB15</v>
      </c>
      <c r="J5" t="str">
        <f t="shared" si="3"/>
        <v>coallcB30</v>
      </c>
      <c r="K5" t="str">
        <f t="shared" si="3"/>
        <v>coallc</v>
      </c>
      <c r="L5" t="str">
        <f t="shared" si="3"/>
        <v>coallc</v>
      </c>
      <c r="M5" t="str">
        <f t="shared" si="3"/>
        <v>coallc</v>
      </c>
      <c r="N5" t="str">
        <f t="shared" si="3"/>
        <v>coallc</v>
      </c>
      <c r="O5" t="str">
        <f t="shared" si="3"/>
        <v>coallc</v>
      </c>
      <c r="P5" t="str">
        <f t="shared" si="3"/>
        <v>coallc</v>
      </c>
      <c r="Q5" t="str">
        <f t="shared" si="3"/>
        <v>coallc</v>
      </c>
      <c r="R5" t="str">
        <f t="shared" si="3"/>
        <v>coallcW120</v>
      </c>
      <c r="S5" t="str">
        <f t="shared" si="3"/>
        <v>coallcS1A</v>
      </c>
      <c r="T5" t="str">
        <f t="shared" si="3"/>
        <v>coallcS90d</v>
      </c>
      <c r="U5" t="str">
        <f>CONCATENATE(U11,U15,U17,U19,U34,U37,U40,U42,U45)</f>
        <v>coallcW120S1A</v>
      </c>
      <c r="V5" t="str">
        <f t="shared" si="3"/>
        <v>coallcLmod</v>
      </c>
      <c r="W5" t="str">
        <f>CONCATENATE(W11,W15,W17,W19,W34,W37,W40,W42,W45)</f>
        <v>coallcB15</v>
      </c>
      <c r="X5" t="str">
        <f>CONCATENATE(X11,X15,X17,X19,X34,X37,X40,X42,X45)</f>
        <v>coallcB15</v>
      </c>
      <c r="Y5" t="str">
        <f>CONCATENATE(Y11,Y15,Y17,Y19,Y34,Y37,Y40,Y42,Y45)</f>
        <v>coallcB30</v>
      </c>
      <c r="Z5" t="str">
        <f>CONCATENATE(Z11,Z15,Z17,Z19,Z34,Z37,Z40,Z42,Z45)</f>
        <v>coallcB30</v>
      </c>
    </row>
    <row r="6" spans="1:27" x14ac:dyDescent="0.25">
      <c r="A6" t="s">
        <v>251</v>
      </c>
      <c r="C6" t="str">
        <f t="shared" ref="C6:V6" si="4">CONCATENATE(C11,C15,C17,C19,C34,C37,C40,C42,C45)</f>
        <v>coallc</v>
      </c>
      <c r="D6" t="str">
        <f>C6</f>
        <v>coallc</v>
      </c>
      <c r="E6" t="str">
        <f t="shared" si="4"/>
        <v>coallc</v>
      </c>
      <c r="F6" t="str">
        <f t="shared" si="4"/>
        <v>coallcH-25</v>
      </c>
      <c r="G6" t="str">
        <f t="shared" si="4"/>
        <v>coallcH25</v>
      </c>
      <c r="H6" t="str">
        <f t="shared" si="4"/>
        <v>coallcN64</v>
      </c>
      <c r="I6" t="str">
        <f t="shared" si="4"/>
        <v>coallcB15</v>
      </c>
      <c r="J6" t="str">
        <f t="shared" si="4"/>
        <v>coallcB30</v>
      </c>
      <c r="K6" t="str">
        <f t="shared" si="4"/>
        <v>coallc</v>
      </c>
      <c r="L6" t="str">
        <f t="shared" si="4"/>
        <v>coallc</v>
      </c>
      <c r="M6" t="str">
        <f t="shared" si="4"/>
        <v>coallc</v>
      </c>
      <c r="N6" t="str">
        <f t="shared" si="4"/>
        <v>coallc</v>
      </c>
      <c r="O6" t="str">
        <f t="shared" si="4"/>
        <v>coallc</v>
      </c>
      <c r="P6" t="str">
        <f t="shared" si="4"/>
        <v>coallc</v>
      </c>
      <c r="Q6" t="str">
        <f t="shared" si="4"/>
        <v>coallc</v>
      </c>
      <c r="R6" t="str">
        <f t="shared" si="4"/>
        <v>coallcW120</v>
      </c>
      <c r="S6" t="str">
        <f t="shared" si="4"/>
        <v>coallcS1A</v>
      </c>
      <c r="T6" t="str">
        <f t="shared" si="4"/>
        <v>coallcS90d</v>
      </c>
      <c r="U6" t="str">
        <f>CONCATENATE(U11,U15,U17,U19,U34,U37,U40,U42,U45)</f>
        <v>coallcW120S1A</v>
      </c>
      <c r="V6" t="str">
        <f t="shared" si="4"/>
        <v>coallcLmod</v>
      </c>
      <c r="W6" t="str">
        <f>CONCATENATE(W11,W15,W17,W19,W34,W37,W40,W42,W45)</f>
        <v>coallcB15</v>
      </c>
      <c r="X6" t="str">
        <f>CONCATENATE(X11,X15,X17,X19,X34,X37,X40,X42,X45)</f>
        <v>coallcB15</v>
      </c>
      <c r="Y6" t="str">
        <f>CONCATENATE(Y11,Y15,Y17,Y19,Y34,Y37,Y40,Y42,Y45)</f>
        <v>coallcB30</v>
      </c>
      <c r="Z6" t="str">
        <f>CONCATENATE(Z11,Z15,Z17,Z19,Z34,Z37,Z40,Z42,Z45)</f>
        <v>coallcB30</v>
      </c>
    </row>
    <row r="7" spans="1:27" x14ac:dyDescent="0.25">
      <c r="A7" t="s">
        <v>252</v>
      </c>
      <c r="C7" t="str">
        <f t="shared" ref="C7:V7" si="5">CONCATENATE(C35,"_",C38)</f>
        <v>W80_S0d</v>
      </c>
      <c r="D7" t="str">
        <f t="shared" si="5"/>
        <v>W80_S0d</v>
      </c>
      <c r="E7" t="str">
        <f t="shared" si="5"/>
        <v>W80_S0d</v>
      </c>
      <c r="F7" t="str">
        <f t="shared" si="5"/>
        <v>W80_S0d</v>
      </c>
      <c r="G7" t="str">
        <f t="shared" si="5"/>
        <v>W80_S0d</v>
      </c>
      <c r="H7" t="str">
        <f t="shared" si="5"/>
        <v>W80_S0d</v>
      </c>
      <c r="I7" t="str">
        <f t="shared" si="5"/>
        <v>W80_S0d</v>
      </c>
      <c r="J7" t="str">
        <f t="shared" si="5"/>
        <v>W80_S0d</v>
      </c>
      <c r="K7" t="str">
        <f t="shared" si="5"/>
        <v>W80_S0d</v>
      </c>
      <c r="L7" t="str">
        <f t="shared" si="5"/>
        <v>W80_S0d</v>
      </c>
      <c r="M7" t="str">
        <f t="shared" si="5"/>
        <v>W80_S0d</v>
      </c>
      <c r="N7" t="str">
        <f t="shared" si="5"/>
        <v>W80_S0d</v>
      </c>
      <c r="O7" t="str">
        <f t="shared" si="5"/>
        <v>W80_S0d</v>
      </c>
      <c r="P7" t="str">
        <f t="shared" si="5"/>
        <v>W80_S0d</v>
      </c>
      <c r="Q7" t="str">
        <f t="shared" si="5"/>
        <v>W80_S0d</v>
      </c>
      <c r="R7" t="str">
        <f t="shared" si="5"/>
        <v>W120_S0d</v>
      </c>
      <c r="S7" t="str">
        <f t="shared" si="5"/>
        <v>W80_S1A</v>
      </c>
      <c r="T7" t="str">
        <f t="shared" si="5"/>
        <v>W80_S90d</v>
      </c>
      <c r="U7" t="str">
        <f>CONCATENATE(U35,"_",U38)</f>
        <v>W120_S1A</v>
      </c>
      <c r="V7" t="str">
        <f t="shared" si="5"/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>CONCATENATE(Z35,"_",Z38)</f>
        <v>W80_S0d</v>
      </c>
    </row>
    <row r="8" spans="1:27" x14ac:dyDescent="0.25">
      <c r="A8" t="s">
        <v>253</v>
      </c>
      <c r="C8" t="str">
        <f>CONCATENATE(C11,C27,C31,C23)</f>
        <v>coallc</v>
      </c>
      <c r="D8" t="str">
        <f t="shared" ref="D8:Z8" si="6">CONCATENATE(D11,D27,D31,D23)</f>
        <v>coalhc</v>
      </c>
      <c r="E8" t="str">
        <f t="shared" si="6"/>
        <v>coallc</v>
      </c>
      <c r="F8" t="str">
        <f t="shared" si="6"/>
        <v>coallc</v>
      </c>
      <c r="G8" t="str">
        <f t="shared" si="6"/>
        <v>coallc</v>
      </c>
      <c r="H8" t="str">
        <f t="shared" si="6"/>
        <v>coallc</v>
      </c>
      <c r="I8" t="str">
        <f t="shared" si="6"/>
        <v>coallc</v>
      </c>
      <c r="J8" t="str">
        <f t="shared" si="6"/>
        <v>coallc</v>
      </c>
      <c r="K8" t="str">
        <f t="shared" si="6"/>
        <v>coallcW10lc</v>
      </c>
      <c r="L8" t="str">
        <f t="shared" si="6"/>
        <v>coallcW20lc</v>
      </c>
      <c r="M8" t="str">
        <f t="shared" si="6"/>
        <v>coallcW30lc</v>
      </c>
      <c r="N8" t="str">
        <f t="shared" si="6"/>
        <v>coallcS10lc</v>
      </c>
      <c r="O8" t="str">
        <f t="shared" si="6"/>
        <v>coallcS20lc</v>
      </c>
      <c r="P8" t="str">
        <f t="shared" si="6"/>
        <v>coallcS30lc</v>
      </c>
      <c r="Q8" t="str">
        <f t="shared" si="6"/>
        <v>coallcW30lcS30lc</v>
      </c>
      <c r="R8" t="str">
        <f t="shared" si="6"/>
        <v>coallc</v>
      </c>
      <c r="S8" t="str">
        <f t="shared" si="6"/>
        <v>coallc</v>
      </c>
      <c r="T8" t="str">
        <f t="shared" si="6"/>
        <v>coallc</v>
      </c>
      <c r="U8" t="str">
        <f t="shared" si="6"/>
        <v>coallc</v>
      </c>
      <c r="V8" t="str">
        <f t="shared" si="6"/>
        <v>coallc</v>
      </c>
      <c r="W8" t="str">
        <f t="shared" si="6"/>
        <v>coallcB25lc</v>
      </c>
      <c r="X8" t="str">
        <f t="shared" si="6"/>
        <v>coallcB50lc</v>
      </c>
      <c r="Y8" t="str">
        <f t="shared" si="6"/>
        <v>coallcB25lc</v>
      </c>
      <c r="Z8" t="str">
        <f t="shared" si="6"/>
        <v>coallcB50lc</v>
      </c>
    </row>
    <row r="9" spans="1:27" x14ac:dyDescent="0.25">
      <c r="A9" s="21" t="s">
        <v>254</v>
      </c>
      <c r="B9" s="21" t="s">
        <v>255</v>
      </c>
      <c r="C9" s="21" t="s">
        <v>256</v>
      </c>
      <c r="D9" s="21" t="s">
        <v>257</v>
      </c>
      <c r="E9" s="21" t="s">
        <v>256</v>
      </c>
      <c r="F9" s="21" t="s">
        <v>256</v>
      </c>
      <c r="G9" s="21" t="s">
        <v>256</v>
      </c>
      <c r="H9" s="21" t="s">
        <v>256</v>
      </c>
      <c r="I9" s="21" t="s">
        <v>256</v>
      </c>
      <c r="J9" s="21" t="s">
        <v>256</v>
      </c>
      <c r="K9" s="21" t="s">
        <v>256</v>
      </c>
      <c r="L9" s="21" t="s">
        <v>256</v>
      </c>
      <c r="M9" s="21" t="s">
        <v>256</v>
      </c>
      <c r="N9" s="21" t="s">
        <v>256</v>
      </c>
      <c r="O9" s="21" t="s">
        <v>256</v>
      </c>
      <c r="P9" s="21" t="s">
        <v>256</v>
      </c>
      <c r="Q9" s="21" t="s">
        <v>256</v>
      </c>
      <c r="R9" s="21" t="s">
        <v>256</v>
      </c>
      <c r="S9" s="21" t="s">
        <v>256</v>
      </c>
      <c r="T9" s="21" t="s">
        <v>256</v>
      </c>
      <c r="U9" s="21" t="s">
        <v>256</v>
      </c>
      <c r="V9" s="21" t="s">
        <v>256</v>
      </c>
      <c r="W9" s="21" t="s">
        <v>256</v>
      </c>
      <c r="X9" s="21" t="s">
        <v>256</v>
      </c>
      <c r="Y9" s="21" t="s">
        <v>256</v>
      </c>
      <c r="Z9" s="21" t="s">
        <v>256</v>
      </c>
    </row>
    <row r="10" spans="1:27" x14ac:dyDescent="0.25">
      <c r="A10" t="s">
        <v>258</v>
      </c>
      <c r="C10" t="str">
        <f>CONCATENATE("C", LEFT(C9,1), "c")</f>
        <v>Clc</v>
      </c>
      <c r="D10" t="str">
        <f t="shared" ref="D10:V10" si="7">CONCATENATE("C", LEFT(D9,1), "c")</f>
        <v>Chc</v>
      </c>
      <c r="E10" t="str">
        <f t="shared" si="7"/>
        <v>Clc</v>
      </c>
      <c r="F10" t="str">
        <f t="shared" si="7"/>
        <v>Clc</v>
      </c>
      <c r="G10" t="str">
        <f t="shared" si="7"/>
        <v>Clc</v>
      </c>
      <c r="H10" t="str">
        <f t="shared" si="7"/>
        <v>Clc</v>
      </c>
      <c r="I10" t="str">
        <f t="shared" si="7"/>
        <v>Clc</v>
      </c>
      <c r="J10" t="str">
        <f t="shared" si="7"/>
        <v>Clc</v>
      </c>
      <c r="K10" t="str">
        <f t="shared" si="7"/>
        <v>Clc</v>
      </c>
      <c r="L10" t="str">
        <f t="shared" si="7"/>
        <v>Clc</v>
      </c>
      <c r="M10" t="str">
        <f t="shared" si="7"/>
        <v>Clc</v>
      </c>
      <c r="N10" t="str">
        <f t="shared" si="7"/>
        <v>Clc</v>
      </c>
      <c r="O10" t="str">
        <f t="shared" si="7"/>
        <v>Clc</v>
      </c>
      <c r="P10" t="str">
        <f t="shared" si="7"/>
        <v>Clc</v>
      </c>
      <c r="Q10" t="str">
        <f t="shared" si="7"/>
        <v>Clc</v>
      </c>
      <c r="R10" t="str">
        <f t="shared" si="7"/>
        <v>Clc</v>
      </c>
      <c r="S10" t="str">
        <f t="shared" si="7"/>
        <v>Clc</v>
      </c>
      <c r="T10" t="str">
        <f t="shared" si="7"/>
        <v>Clc</v>
      </c>
      <c r="U10" t="str">
        <f>CONCATENATE("C", LEFT(U9,1), "c")</f>
        <v>Clc</v>
      </c>
      <c r="V10" t="str">
        <f t="shared" si="7"/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</row>
    <row r="11" spans="1:27" x14ac:dyDescent="0.25">
      <c r="A11" t="s">
        <v>259</v>
      </c>
      <c r="C11" t="str">
        <f t="shared" ref="C11:V11" si="8">CONCATENATE("coal",LEFT(C9,1), "c")</f>
        <v>coallc</v>
      </c>
      <c r="D11" t="str">
        <f t="shared" si="8"/>
        <v>coalhc</v>
      </c>
      <c r="E11" t="str">
        <f t="shared" si="8"/>
        <v>coallc</v>
      </c>
      <c r="F11" t="str">
        <f t="shared" si="8"/>
        <v>coallc</v>
      </c>
      <c r="G11" t="str">
        <f t="shared" si="8"/>
        <v>coallc</v>
      </c>
      <c r="H11" t="str">
        <f t="shared" si="8"/>
        <v>coallc</v>
      </c>
      <c r="I11" t="str">
        <f t="shared" si="8"/>
        <v>coallc</v>
      </c>
      <c r="J11" t="str">
        <f t="shared" si="8"/>
        <v>coallc</v>
      </c>
      <c r="K11" t="str">
        <f t="shared" si="8"/>
        <v>coallc</v>
      </c>
      <c r="L11" t="str">
        <f t="shared" si="8"/>
        <v>coallc</v>
      </c>
      <c r="M11" t="str">
        <f t="shared" si="8"/>
        <v>coallc</v>
      </c>
      <c r="N11" t="str">
        <f t="shared" si="8"/>
        <v>coallc</v>
      </c>
      <c r="O11" t="str">
        <f t="shared" si="8"/>
        <v>coallc</v>
      </c>
      <c r="P11" t="str">
        <f t="shared" si="8"/>
        <v>coallc</v>
      </c>
      <c r="Q11" t="str">
        <f t="shared" si="8"/>
        <v>coallc</v>
      </c>
      <c r="R11" t="str">
        <f t="shared" si="8"/>
        <v>coallc</v>
      </c>
      <c r="S11" t="str">
        <f t="shared" si="8"/>
        <v>coallc</v>
      </c>
      <c r="T11" t="str">
        <f t="shared" si="8"/>
        <v>coallc</v>
      </c>
      <c r="U11" t="str">
        <f>CONCATENATE("coal",LEFT(U9,1), "c")</f>
        <v>coallc</v>
      </c>
      <c r="V11" t="str">
        <f t="shared" si="8"/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</row>
    <row r="12" spans="1:27" x14ac:dyDescent="0.25">
      <c r="A12" s="21" t="s">
        <v>260</v>
      </c>
      <c r="B12" s="21" t="s">
        <v>261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</row>
    <row r="13" spans="1:27" x14ac:dyDescent="0.25">
      <c r="A13" t="s">
        <v>262</v>
      </c>
      <c r="C13" t="str">
        <f>CONCATENATE("C",C12,"m")</f>
        <v>C70m</v>
      </c>
      <c r="D13" t="str">
        <f t="shared" ref="D13:V13" si="9">CONCATENATE("C",D12,"m")</f>
        <v>C70m</v>
      </c>
      <c r="E13" t="str">
        <f t="shared" si="9"/>
        <v>C55m</v>
      </c>
      <c r="F13" t="str">
        <f t="shared" si="9"/>
        <v>C70m</v>
      </c>
      <c r="G13" t="str">
        <f t="shared" si="9"/>
        <v>C70m</v>
      </c>
      <c r="H13" t="str">
        <f t="shared" si="9"/>
        <v>C70m</v>
      </c>
      <c r="I13" t="str">
        <f t="shared" si="9"/>
        <v>C70m</v>
      </c>
      <c r="J13" t="str">
        <f t="shared" si="9"/>
        <v>C70m</v>
      </c>
      <c r="K13" t="str">
        <f t="shared" si="9"/>
        <v>C70m</v>
      </c>
      <c r="L13" t="str">
        <f t="shared" si="9"/>
        <v>C70m</v>
      </c>
      <c r="M13" t="str">
        <f t="shared" si="9"/>
        <v>C70m</v>
      </c>
      <c r="N13" t="str">
        <f t="shared" si="9"/>
        <v>C70m</v>
      </c>
      <c r="O13" t="str">
        <f t="shared" si="9"/>
        <v>C70m</v>
      </c>
      <c r="P13" t="str">
        <f t="shared" si="9"/>
        <v>C70m</v>
      </c>
      <c r="Q13" t="str">
        <f t="shared" si="9"/>
        <v>C70m</v>
      </c>
      <c r="R13" t="str">
        <f t="shared" si="9"/>
        <v>C70m</v>
      </c>
      <c r="S13" t="str">
        <f t="shared" si="9"/>
        <v>C70m</v>
      </c>
      <c r="T13" t="str">
        <f t="shared" si="9"/>
        <v>C70m</v>
      </c>
      <c r="U13" t="str">
        <f>CONCATENATE("C",U12,"m")</f>
        <v>C70m</v>
      </c>
      <c r="V13" t="str">
        <f t="shared" si="9"/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</row>
    <row r="14" spans="1:27" x14ac:dyDescent="0.25">
      <c r="A14" s="21" t="s">
        <v>263</v>
      </c>
      <c r="B14" s="21" t="s">
        <v>264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7" x14ac:dyDescent="0.25">
      <c r="A15" t="s">
        <v>265</v>
      </c>
      <c r="C15" t="str">
        <f t="shared" ref="C15:V15" si="10">IF(C14=0,"",CONCATENATE("H",C14))</f>
        <v/>
      </c>
      <c r="D15" t="str">
        <f t="shared" si="10"/>
        <v/>
      </c>
      <c r="E15" t="str">
        <f t="shared" si="10"/>
        <v/>
      </c>
      <c r="F15" t="str">
        <f t="shared" si="10"/>
        <v>H-25</v>
      </c>
      <c r="G15" t="str">
        <f t="shared" si="10"/>
        <v>H25</v>
      </c>
      <c r="H15" t="str">
        <f t="shared" si="10"/>
        <v/>
      </c>
      <c r="I15" t="str">
        <f t="shared" si="10"/>
        <v/>
      </c>
      <c r="J15" t="str">
        <f t="shared" si="10"/>
        <v/>
      </c>
      <c r="K15" t="str">
        <f t="shared" si="10"/>
        <v/>
      </c>
      <c r="L15" t="str">
        <f t="shared" si="10"/>
        <v/>
      </c>
      <c r="M15" t="str">
        <f t="shared" si="10"/>
        <v/>
      </c>
      <c r="N15" t="str">
        <f t="shared" si="10"/>
        <v/>
      </c>
      <c r="O15" t="str">
        <f t="shared" si="10"/>
        <v/>
      </c>
      <c r="P15" t="str">
        <f t="shared" si="10"/>
        <v/>
      </c>
      <c r="Q15" t="str">
        <f t="shared" si="10"/>
        <v/>
      </c>
      <c r="R15" t="str">
        <f t="shared" si="10"/>
        <v/>
      </c>
      <c r="S15" t="str">
        <f t="shared" si="10"/>
        <v/>
      </c>
      <c r="T15" t="str">
        <f t="shared" si="10"/>
        <v/>
      </c>
      <c r="U15" t="str">
        <f>IF(U14=0,"",CONCATENATE("H",U14))</f>
        <v/>
      </c>
      <c r="V15" t="str">
        <f t="shared" si="10"/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>IF(Z14=0,"",CONCATENATE("H",Z14))</f>
        <v/>
      </c>
    </row>
    <row r="16" spans="1:27" x14ac:dyDescent="0.25">
      <c r="A16" s="21" t="s">
        <v>266</v>
      </c>
      <c r="B16" s="21" t="s">
        <v>267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 x14ac:dyDescent="0.25">
      <c r="A17" t="s">
        <v>268</v>
      </c>
      <c r="C17" t="str">
        <f t="shared" ref="C17:V17" si="11">IF(C16=0,"",CONCATENATE("N",C16))</f>
        <v/>
      </c>
      <c r="D17" t="str">
        <f t="shared" si="11"/>
        <v/>
      </c>
      <c r="E17" t="str">
        <f t="shared" si="11"/>
        <v/>
      </c>
      <c r="F17" t="str">
        <f t="shared" si="11"/>
        <v/>
      </c>
      <c r="G17" t="str">
        <f t="shared" si="11"/>
        <v/>
      </c>
      <c r="H17" t="str">
        <f t="shared" si="11"/>
        <v>N64</v>
      </c>
      <c r="I17" t="str">
        <f t="shared" si="11"/>
        <v/>
      </c>
      <c r="J17" t="str">
        <f t="shared" si="11"/>
        <v/>
      </c>
      <c r="K17" t="str">
        <f t="shared" si="11"/>
        <v/>
      </c>
      <c r="L17" t="str">
        <f t="shared" si="11"/>
        <v/>
      </c>
      <c r="M17" t="str">
        <f t="shared" si="11"/>
        <v/>
      </c>
      <c r="N17" t="str">
        <f t="shared" si="11"/>
        <v/>
      </c>
      <c r="O17" t="str">
        <f t="shared" si="11"/>
        <v/>
      </c>
      <c r="P17" t="str">
        <f t="shared" si="11"/>
        <v/>
      </c>
      <c r="Q17" t="str">
        <f t="shared" si="11"/>
        <v/>
      </c>
      <c r="R17" t="str">
        <f t="shared" si="11"/>
        <v/>
      </c>
      <c r="S17" t="str">
        <f t="shared" si="11"/>
        <v/>
      </c>
      <c r="T17" t="str">
        <f t="shared" si="11"/>
        <v/>
      </c>
      <c r="U17" t="str">
        <f>IF(U16=0,"",CONCATENATE("N",U16))</f>
        <v/>
      </c>
      <c r="V17" t="str">
        <f t="shared" si="11"/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>IF(Z16=0,"",CONCATENATE("N",Z16))</f>
        <v/>
      </c>
    </row>
    <row r="18" spans="1:26" x14ac:dyDescent="0.25">
      <c r="A18" s="21" t="s">
        <v>269</v>
      </c>
      <c r="B18" s="21" t="s">
        <v>270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15</v>
      </c>
      <c r="X18" s="21">
        <v>15</v>
      </c>
      <c r="Y18" s="21">
        <v>30</v>
      </c>
      <c r="Z18" s="21">
        <v>30</v>
      </c>
    </row>
    <row r="19" spans="1:26" x14ac:dyDescent="0.25">
      <c r="A19" t="s">
        <v>271</v>
      </c>
      <c r="C19" t="str">
        <f t="shared" ref="C19:V19" si="12">IF(C18=0,"",CONCATENATE("B",C18))</f>
        <v/>
      </c>
      <c r="D19" t="str">
        <f t="shared" si="12"/>
        <v/>
      </c>
      <c r="E19" t="str">
        <f t="shared" si="12"/>
        <v/>
      </c>
      <c r="F19" t="str">
        <f t="shared" si="12"/>
        <v/>
      </c>
      <c r="G19" t="str">
        <f t="shared" si="12"/>
        <v/>
      </c>
      <c r="H19" t="str">
        <f t="shared" si="12"/>
        <v/>
      </c>
      <c r="I19" t="str">
        <f t="shared" si="12"/>
        <v>B15</v>
      </c>
      <c r="J19" t="str">
        <f t="shared" si="12"/>
        <v>B30</v>
      </c>
      <c r="K19" t="str">
        <f t="shared" si="12"/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>IF(U18=0,"",CONCATENATE("B",U18))</f>
        <v/>
      </c>
      <c r="V19" t="str">
        <f t="shared" si="12"/>
        <v/>
      </c>
      <c r="W19" t="str">
        <f>IF(W18=0,"",CONCATENATE("B",W18))</f>
        <v>B15</v>
      </c>
      <c r="X19" t="str">
        <f>IF(X18=0,"",CONCATENATE("B",X18))</f>
        <v>B15</v>
      </c>
      <c r="Y19" t="str">
        <f>IF(Y18=0,"",CONCATENATE("B",Y18))</f>
        <v>B30</v>
      </c>
      <c r="Z19" t="str">
        <f>IF(Z18=0,"",CONCATENATE("B",Z18))</f>
        <v>B30</v>
      </c>
    </row>
    <row r="20" spans="1:26" x14ac:dyDescent="0.25">
      <c r="A20" t="s">
        <v>272</v>
      </c>
      <c r="C20" t="str">
        <f t="shared" ref="C20:V20" si="13">CONCATENATE("bat", C18)</f>
        <v>bat0</v>
      </c>
      <c r="D20" t="str">
        <f t="shared" si="13"/>
        <v>bat0</v>
      </c>
      <c r="E20" t="str">
        <f t="shared" si="13"/>
        <v>bat0</v>
      </c>
      <c r="F20" t="str">
        <f t="shared" si="13"/>
        <v>bat0</v>
      </c>
      <c r="G20" t="str">
        <f t="shared" si="13"/>
        <v>bat0</v>
      </c>
      <c r="H20" t="str">
        <f t="shared" si="13"/>
        <v>bat0</v>
      </c>
      <c r="I20" t="str">
        <f t="shared" si="13"/>
        <v>bat15</v>
      </c>
      <c r="J20" t="str">
        <f t="shared" si="13"/>
        <v>bat30</v>
      </c>
      <c r="K20" t="str">
        <f t="shared" si="13"/>
        <v>bat0</v>
      </c>
      <c r="L20" t="str">
        <f t="shared" si="13"/>
        <v>bat0</v>
      </c>
      <c r="M20" t="str">
        <f t="shared" si="13"/>
        <v>bat0</v>
      </c>
      <c r="N20" t="str">
        <f t="shared" si="13"/>
        <v>bat0</v>
      </c>
      <c r="O20" t="str">
        <f t="shared" si="13"/>
        <v>bat0</v>
      </c>
      <c r="P20" t="str">
        <f t="shared" si="13"/>
        <v>bat0</v>
      </c>
      <c r="Q20" t="str">
        <f t="shared" si="13"/>
        <v>bat0</v>
      </c>
      <c r="R20" t="str">
        <f t="shared" si="13"/>
        <v>bat0</v>
      </c>
      <c r="S20" t="str">
        <f t="shared" si="13"/>
        <v>bat0</v>
      </c>
      <c r="T20" t="str">
        <f t="shared" si="13"/>
        <v>bat0</v>
      </c>
      <c r="U20" t="str">
        <f>CONCATENATE("bat", U18)</f>
        <v>bat0</v>
      </c>
      <c r="V20" t="str">
        <f t="shared" si="13"/>
        <v>bat0</v>
      </c>
      <c r="W20" t="str">
        <f>CONCATENATE("bat", W18)</f>
        <v>bat15</v>
      </c>
      <c r="X20" t="str">
        <f>CONCATENATE("bat", X18)</f>
        <v>bat15</v>
      </c>
      <c r="Y20" t="str">
        <f>CONCATENATE("bat", Y18)</f>
        <v>bat30</v>
      </c>
      <c r="Z20" t="str">
        <f>CONCATENATE("bat", Z18)</f>
        <v>bat30</v>
      </c>
    </row>
    <row r="21" spans="1:26" x14ac:dyDescent="0.25">
      <c r="A21" s="21" t="s">
        <v>420</v>
      </c>
      <c r="B21" s="21" t="s">
        <v>274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25</v>
      </c>
      <c r="X21" s="21">
        <v>50</v>
      </c>
      <c r="Y21" s="21">
        <v>25</v>
      </c>
      <c r="Z21" s="21">
        <v>50</v>
      </c>
    </row>
    <row r="22" spans="1:26" x14ac:dyDescent="0.25">
      <c r="A22" t="s">
        <v>421</v>
      </c>
      <c r="B22" t="s">
        <v>276</v>
      </c>
      <c r="C22" t="s">
        <v>256</v>
      </c>
      <c r="D22" t="s">
        <v>256</v>
      </c>
      <c r="E22" t="s">
        <v>256</v>
      </c>
      <c r="F22" t="s">
        <v>256</v>
      </c>
      <c r="G22" t="s">
        <v>256</v>
      </c>
      <c r="H22" t="s">
        <v>256</v>
      </c>
      <c r="I22" t="s">
        <v>256</v>
      </c>
      <c r="J22" t="s">
        <v>256</v>
      </c>
      <c r="K22" t="s">
        <v>256</v>
      </c>
      <c r="L22" t="s">
        <v>256</v>
      </c>
      <c r="M22" t="s">
        <v>256</v>
      </c>
      <c r="N22" t="s">
        <v>256</v>
      </c>
      <c r="O22" t="s">
        <v>256</v>
      </c>
      <c r="P22" t="s">
        <v>256</v>
      </c>
      <c r="Q22" t="s">
        <v>256</v>
      </c>
      <c r="R22" t="s">
        <v>256</v>
      </c>
      <c r="S22" t="s">
        <v>256</v>
      </c>
      <c r="T22" t="s">
        <v>256</v>
      </c>
      <c r="U22" t="s">
        <v>256</v>
      </c>
      <c r="V22" t="s">
        <v>256</v>
      </c>
      <c r="W22" t="s">
        <v>256</v>
      </c>
      <c r="X22" t="s">
        <v>256</v>
      </c>
      <c r="Y22" t="s">
        <v>256</v>
      </c>
      <c r="Z22" t="s">
        <v>256</v>
      </c>
    </row>
    <row r="23" spans="1:26" x14ac:dyDescent="0.25">
      <c r="A23" t="s">
        <v>422</v>
      </c>
      <c r="C23" t="str">
        <f>IF(C21=0,"",CONCATENATE("B",C21,LEFT(C22,1),"c"))</f>
        <v/>
      </c>
      <c r="D23" t="str">
        <f t="shared" ref="D23:V23" si="14">IF(D21=0,"",CONCATENATE("B",D21,LEFT(D22,1),"c"))</f>
        <v/>
      </c>
      <c r="E23" t="str">
        <f t="shared" si="14"/>
        <v/>
      </c>
      <c r="F23" t="str">
        <f t="shared" si="14"/>
        <v/>
      </c>
      <c r="G23" t="str">
        <f t="shared" si="14"/>
        <v/>
      </c>
      <c r="H23" t="str">
        <f t="shared" si="14"/>
        <v/>
      </c>
      <c r="I23" t="str">
        <f t="shared" si="14"/>
        <v/>
      </c>
      <c r="J23" t="str">
        <f t="shared" si="14"/>
        <v/>
      </c>
      <c r="K23" t="str">
        <f t="shared" si="14"/>
        <v/>
      </c>
      <c r="L23" t="str">
        <f t="shared" si="14"/>
        <v/>
      </c>
      <c r="M23" t="str">
        <f t="shared" si="14"/>
        <v/>
      </c>
      <c r="N23" t="str">
        <f t="shared" si="14"/>
        <v/>
      </c>
      <c r="O23" t="str">
        <f t="shared" si="14"/>
        <v/>
      </c>
      <c r="P23" t="str">
        <f t="shared" si="14"/>
        <v/>
      </c>
      <c r="Q23" t="str">
        <f t="shared" si="14"/>
        <v/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  <c r="V23" t="str">
        <f t="shared" si="14"/>
        <v/>
      </c>
      <c r="W23" t="str">
        <f>IF(W21=0,"",CONCATENATE("B",W21,LEFT(W22,1),"c"))</f>
        <v>B25lc</v>
      </c>
      <c r="X23" t="str">
        <f>IF(X21=0,"",CONCATENATE("B",X21,LEFT(X22,1),"c"))</f>
        <v>B50lc</v>
      </c>
      <c r="Y23" t="str">
        <f>IF(Y21=0,"",CONCATENATE("B",Y21,LEFT(Y22,1),"c"))</f>
        <v>B25lc</v>
      </c>
      <c r="Z23" t="str">
        <f>IF(Z21=0,"",CONCATENATE("B",Z21,LEFT(Z22,1),"c"))</f>
        <v>B50lc</v>
      </c>
    </row>
    <row r="24" spans="1:26" x14ac:dyDescent="0.25">
      <c r="A24" t="s">
        <v>423</v>
      </c>
      <c r="C24" t="str">
        <f>CONCATENATE("battery",UPPER(LEFT(C22,1)), "C",C21)</f>
        <v>batteryLC0</v>
      </c>
      <c r="D24" t="str">
        <f t="shared" ref="D24:V24" si="15">CONCATENATE("battery",UPPER(LEFT(D22,1)), "C",D21)</f>
        <v>batteryLC0</v>
      </c>
      <c r="E24" t="str">
        <f t="shared" si="15"/>
        <v>batteryLC0</v>
      </c>
      <c r="F24" t="str">
        <f t="shared" si="15"/>
        <v>batteryLC0</v>
      </c>
      <c r="G24" t="str">
        <f t="shared" si="15"/>
        <v>batteryLC0</v>
      </c>
      <c r="H24" t="str">
        <f t="shared" si="15"/>
        <v>batteryLC0</v>
      </c>
      <c r="I24" t="str">
        <f t="shared" si="15"/>
        <v>batteryLC0</v>
      </c>
      <c r="J24" t="str">
        <f t="shared" si="15"/>
        <v>batteryLC0</v>
      </c>
      <c r="K24" t="str">
        <f t="shared" si="15"/>
        <v>batteryLC0</v>
      </c>
      <c r="L24" t="str">
        <f t="shared" si="15"/>
        <v>batteryLC0</v>
      </c>
      <c r="M24" t="str">
        <f t="shared" si="15"/>
        <v>batteryLC0</v>
      </c>
      <c r="N24" t="str">
        <f t="shared" si="15"/>
        <v>batteryLC0</v>
      </c>
      <c r="O24" t="str">
        <f t="shared" si="15"/>
        <v>batteryLC0</v>
      </c>
      <c r="P24" t="str">
        <f t="shared" si="15"/>
        <v>batteryLC0</v>
      </c>
      <c r="Q24" t="str">
        <f t="shared" si="15"/>
        <v>batteryLC0</v>
      </c>
      <c r="R24" t="str">
        <f t="shared" si="15"/>
        <v>batteryLC0</v>
      </c>
      <c r="S24" t="str">
        <f t="shared" si="15"/>
        <v>batteryLC0</v>
      </c>
      <c r="T24" t="str">
        <f t="shared" si="15"/>
        <v>batteryLC0</v>
      </c>
      <c r="U24" t="str">
        <f t="shared" si="15"/>
        <v>batteryLC0</v>
      </c>
      <c r="V24" t="str">
        <f t="shared" si="15"/>
        <v>batteryLC0</v>
      </c>
      <c r="W24" t="str">
        <f>CONCATENATE("battery",UPPER(LEFT(W22,1)), "C",W21)</f>
        <v>batteryLC25</v>
      </c>
      <c r="X24" t="str">
        <f>CONCATENATE("battery",UPPER(LEFT(X22,1)), "C",X21)</f>
        <v>batteryLC50</v>
      </c>
      <c r="Y24" t="str">
        <f>CONCATENATE("battery",UPPER(LEFT(Y22,1)), "C",Y21)</f>
        <v>batteryLC25</v>
      </c>
      <c r="Z24" t="str">
        <f>CONCATENATE("battery",UPPER(LEFT(Z22,1)), "C",Z21)</f>
        <v>batteryLC50</v>
      </c>
    </row>
    <row r="25" spans="1:26" x14ac:dyDescent="0.25">
      <c r="A25" s="21" t="s">
        <v>273</v>
      </c>
      <c r="B25" s="21" t="s">
        <v>274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 x14ac:dyDescent="0.25">
      <c r="A26" t="s">
        <v>275</v>
      </c>
      <c r="B26" t="s">
        <v>276</v>
      </c>
      <c r="C26" t="s">
        <v>256</v>
      </c>
      <c r="D26" t="s">
        <v>256</v>
      </c>
      <c r="E26" t="s">
        <v>256</v>
      </c>
      <c r="F26" t="s">
        <v>256</v>
      </c>
      <c r="G26" t="s">
        <v>256</v>
      </c>
      <c r="H26" t="s">
        <v>256</v>
      </c>
      <c r="I26" t="s">
        <v>256</v>
      </c>
      <c r="J26" t="s">
        <v>256</v>
      </c>
      <c r="K26" t="s">
        <v>256</v>
      </c>
      <c r="L26" t="s">
        <v>256</v>
      </c>
      <c r="M26" t="s">
        <v>256</v>
      </c>
      <c r="N26" t="s">
        <v>256</v>
      </c>
      <c r="O26" t="s">
        <v>256</v>
      </c>
      <c r="P26" t="s">
        <v>256</v>
      </c>
      <c r="Q26" t="s">
        <v>256</v>
      </c>
      <c r="R26" t="s">
        <v>256</v>
      </c>
      <c r="S26" t="s">
        <v>256</v>
      </c>
      <c r="T26" t="s">
        <v>256</v>
      </c>
      <c r="U26" t="s">
        <v>256</v>
      </c>
      <c r="V26" t="s">
        <v>256</v>
      </c>
      <c r="W26" t="s">
        <v>256</v>
      </c>
      <c r="X26" t="s">
        <v>256</v>
      </c>
      <c r="Y26" t="s">
        <v>256</v>
      </c>
      <c r="Z26" t="s">
        <v>256</v>
      </c>
    </row>
    <row r="27" spans="1:26" x14ac:dyDescent="0.25">
      <c r="A27" t="s">
        <v>277</v>
      </c>
      <c r="C27" t="str">
        <f t="shared" ref="C27:V27" si="16">IF(C25=0,"",CONCATENATE("W",C25,LEFT(C26,1),"c"))</f>
        <v/>
      </c>
      <c r="D27" t="str">
        <f t="shared" si="16"/>
        <v/>
      </c>
      <c r="E27" t="str">
        <f t="shared" si="16"/>
        <v/>
      </c>
      <c r="F27" t="str">
        <f t="shared" si="16"/>
        <v/>
      </c>
      <c r="G27" t="str">
        <f t="shared" si="16"/>
        <v/>
      </c>
      <c r="H27" t="str">
        <f t="shared" si="16"/>
        <v/>
      </c>
      <c r="I27" t="str">
        <f t="shared" si="16"/>
        <v/>
      </c>
      <c r="J27" t="str">
        <f t="shared" si="16"/>
        <v/>
      </c>
      <c r="K27" t="str">
        <f t="shared" si="16"/>
        <v>W10lc</v>
      </c>
      <c r="L27" t="str">
        <f t="shared" si="16"/>
        <v>W20lc</v>
      </c>
      <c r="M27" t="str">
        <f t="shared" si="16"/>
        <v>W30lc</v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>W30lc</v>
      </c>
      <c r="R27" t="str">
        <f t="shared" si="16"/>
        <v/>
      </c>
      <c r="S27" t="str">
        <f t="shared" si="16"/>
        <v/>
      </c>
      <c r="T27" t="str">
        <f t="shared" si="16"/>
        <v/>
      </c>
      <c r="U27" t="str">
        <f>IF(U25=0,"",CONCATENATE("W",U25,LEFT(U26,1),"c"))</f>
        <v/>
      </c>
      <c r="V27" t="str">
        <f t="shared" si="16"/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>IF(Z25=0,"",CONCATENATE("W",Z25,LEFT(Z26,1),"c"))</f>
        <v/>
      </c>
    </row>
    <row r="28" spans="1:26" x14ac:dyDescent="0.25">
      <c r="A28" t="s">
        <v>278</v>
      </c>
      <c r="C28" t="str">
        <f t="shared" ref="C28:V28" si="17">CONCATENATE("wind",UPPER(LEFT(C26,1)), "C",C25)</f>
        <v>windLC0</v>
      </c>
      <c r="D28" t="str">
        <f t="shared" si="17"/>
        <v>windLC0</v>
      </c>
      <c r="E28" t="str">
        <f t="shared" si="17"/>
        <v>windLC0</v>
      </c>
      <c r="F28" t="str">
        <f t="shared" si="17"/>
        <v>windLC0</v>
      </c>
      <c r="G28" t="str">
        <f t="shared" si="17"/>
        <v>windLC0</v>
      </c>
      <c r="H28" t="str">
        <f t="shared" si="17"/>
        <v>windLC0</v>
      </c>
      <c r="I28" t="str">
        <f t="shared" si="17"/>
        <v>windLC0</v>
      </c>
      <c r="J28" t="str">
        <f t="shared" si="17"/>
        <v>windLC0</v>
      </c>
      <c r="K28" t="str">
        <f t="shared" si="17"/>
        <v>windLC10</v>
      </c>
      <c r="L28" t="str">
        <f t="shared" si="17"/>
        <v>windLC20</v>
      </c>
      <c r="M28" t="str">
        <f t="shared" si="17"/>
        <v>windLC30</v>
      </c>
      <c r="N28" t="str">
        <f t="shared" si="17"/>
        <v>windLC0</v>
      </c>
      <c r="O28" t="str">
        <f t="shared" si="17"/>
        <v>windLC0</v>
      </c>
      <c r="P28" t="str">
        <f t="shared" si="17"/>
        <v>windLC0</v>
      </c>
      <c r="Q28" t="str">
        <f t="shared" si="17"/>
        <v>windLC30</v>
      </c>
      <c r="R28" t="str">
        <f t="shared" si="17"/>
        <v>windLC0</v>
      </c>
      <c r="S28" t="str">
        <f t="shared" si="17"/>
        <v>windLC0</v>
      </c>
      <c r="T28" t="str">
        <f t="shared" si="17"/>
        <v>windLC0</v>
      </c>
      <c r="U28" t="str">
        <f>CONCATENATE("wind",UPPER(LEFT(U26,1)), "C",U25)</f>
        <v>windLC0</v>
      </c>
      <c r="V28" t="str">
        <f t="shared" si="17"/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>CONCATENATE("wind",UPPER(LEFT(Z26,1)), "C",Z25)</f>
        <v>windLC0</v>
      </c>
    </row>
    <row r="29" spans="1:26" x14ac:dyDescent="0.25">
      <c r="A29" s="21" t="s">
        <v>279</v>
      </c>
      <c r="B29" s="21" t="s">
        <v>274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 x14ac:dyDescent="0.25">
      <c r="A30" t="s">
        <v>280</v>
      </c>
      <c r="B30" t="s">
        <v>276</v>
      </c>
      <c r="C30" t="s">
        <v>256</v>
      </c>
      <c r="D30" t="s">
        <v>256</v>
      </c>
      <c r="E30" t="s">
        <v>256</v>
      </c>
      <c r="F30" t="s">
        <v>256</v>
      </c>
      <c r="G30" t="s">
        <v>256</v>
      </c>
      <c r="H30" t="s">
        <v>256</v>
      </c>
      <c r="I30" t="s">
        <v>256</v>
      </c>
      <c r="J30" t="s">
        <v>256</v>
      </c>
      <c r="K30" t="s">
        <v>256</v>
      </c>
      <c r="L30" t="s">
        <v>256</v>
      </c>
      <c r="M30" t="s">
        <v>256</v>
      </c>
      <c r="N30" t="s">
        <v>256</v>
      </c>
      <c r="O30" t="s">
        <v>256</v>
      </c>
      <c r="P30" t="s">
        <v>256</v>
      </c>
      <c r="Q30" t="s">
        <v>256</v>
      </c>
      <c r="R30" t="s">
        <v>256</v>
      </c>
      <c r="S30" t="s">
        <v>256</v>
      </c>
      <c r="T30" t="s">
        <v>256</v>
      </c>
      <c r="U30" t="s">
        <v>256</v>
      </c>
      <c r="V30" t="s">
        <v>256</v>
      </c>
      <c r="W30" t="s">
        <v>256</v>
      </c>
      <c r="X30" t="s">
        <v>256</v>
      </c>
      <c r="Y30" t="s">
        <v>256</v>
      </c>
      <c r="Z30" t="s">
        <v>256</v>
      </c>
    </row>
    <row r="31" spans="1:26" x14ac:dyDescent="0.25">
      <c r="A31" t="s">
        <v>281</v>
      </c>
      <c r="C31" t="str">
        <f t="shared" ref="C31:M31" si="18">IF(C29=0,"",CONCATENATE("W",C29,LEFT(C30,1),"c"))</f>
        <v/>
      </c>
      <c r="D31" t="str">
        <f t="shared" si="18"/>
        <v/>
      </c>
      <c r="E31" t="str">
        <f t="shared" si="18"/>
        <v/>
      </c>
      <c r="F31" t="str">
        <f t="shared" si="18"/>
        <v/>
      </c>
      <c r="G31" t="str">
        <f t="shared" si="18"/>
        <v/>
      </c>
      <c r="H31" t="str">
        <f t="shared" si="18"/>
        <v/>
      </c>
      <c r="I31" t="str">
        <f t="shared" si="18"/>
        <v/>
      </c>
      <c r="J31" t="str">
        <f t="shared" si="18"/>
        <v/>
      </c>
      <c r="K31" t="str">
        <f t="shared" si="18"/>
        <v/>
      </c>
      <c r="L31" t="str">
        <f t="shared" si="18"/>
        <v/>
      </c>
      <c r="M31" t="str">
        <f t="shared" si="18"/>
        <v/>
      </c>
      <c r="N31" t="str">
        <f t="shared" ref="N31:V31" si="19">IF(N29=0,"",CONCATENATE("S",N29,LEFT(N30,1),"c"))</f>
        <v>S10lc</v>
      </c>
      <c r="O31" t="str">
        <f t="shared" si="19"/>
        <v>S20lc</v>
      </c>
      <c r="P31" t="str">
        <f t="shared" si="19"/>
        <v>S30lc</v>
      </c>
      <c r="Q31" t="str">
        <f t="shared" si="19"/>
        <v>S30lc</v>
      </c>
      <c r="R31" t="str">
        <f t="shared" si="19"/>
        <v/>
      </c>
      <c r="S31" t="str">
        <f t="shared" si="19"/>
        <v/>
      </c>
      <c r="T31" t="str">
        <f t="shared" si="19"/>
        <v/>
      </c>
      <c r="U31" t="str">
        <f>IF(U29=0,"",CONCATENATE("S",U29,LEFT(U30,1),"c"))</f>
        <v/>
      </c>
      <c r="V31" t="str">
        <f t="shared" si="19"/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>IF(Z29=0,"",CONCATENATE("W",Z29,LEFT(Z30,1),"c"))</f>
        <v/>
      </c>
    </row>
    <row r="32" spans="1:26" x14ac:dyDescent="0.25">
      <c r="A32" t="s">
        <v>282</v>
      </c>
      <c r="C32" t="str">
        <f t="shared" ref="C32:V32" si="20">CONCATENATE("solar",UPPER(LEFT(C30,1)), "C",C29)</f>
        <v>solarLC0</v>
      </c>
      <c r="D32" t="str">
        <f t="shared" si="20"/>
        <v>solarLC0</v>
      </c>
      <c r="E32" t="str">
        <f t="shared" si="20"/>
        <v>solarLC0</v>
      </c>
      <c r="F32" t="str">
        <f t="shared" si="20"/>
        <v>solarLC0</v>
      </c>
      <c r="G32" t="str">
        <f t="shared" si="20"/>
        <v>solarLC0</v>
      </c>
      <c r="H32" t="str">
        <f t="shared" si="20"/>
        <v>solarLC0</v>
      </c>
      <c r="I32" t="str">
        <f t="shared" si="20"/>
        <v>solarLC0</v>
      </c>
      <c r="J32" t="str">
        <f t="shared" si="20"/>
        <v>solarLC0</v>
      </c>
      <c r="K32" t="str">
        <f t="shared" si="20"/>
        <v>solarLC0</v>
      </c>
      <c r="L32" t="str">
        <f t="shared" si="20"/>
        <v>solarLC0</v>
      </c>
      <c r="M32" t="str">
        <f t="shared" si="20"/>
        <v>solarLC0</v>
      </c>
      <c r="N32" t="str">
        <f t="shared" si="20"/>
        <v>solarLC10</v>
      </c>
      <c r="O32" t="str">
        <f t="shared" si="20"/>
        <v>solarLC20</v>
      </c>
      <c r="P32" t="str">
        <f t="shared" si="20"/>
        <v>solarLC30</v>
      </c>
      <c r="Q32" t="str">
        <f t="shared" si="20"/>
        <v>solarLC30</v>
      </c>
      <c r="R32" t="str">
        <f t="shared" si="20"/>
        <v>solarLC0</v>
      </c>
      <c r="S32" t="str">
        <f t="shared" si="20"/>
        <v>solarLC0</v>
      </c>
      <c r="T32" t="str">
        <f t="shared" si="20"/>
        <v>solarLC0</v>
      </c>
      <c r="U32" t="str">
        <f>CONCATENATE("solar",UPPER(LEFT(U30,1)), "C",U29)</f>
        <v>solarLC0</v>
      </c>
      <c r="V32" t="str">
        <f t="shared" si="20"/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>CONCATENATE("solar",UPPER(LEFT(Z30,1)), "C",Z29)</f>
        <v>solarLC0</v>
      </c>
    </row>
    <row r="33" spans="1:26" x14ac:dyDescent="0.25">
      <c r="A33" s="21" t="s">
        <v>283</v>
      </c>
      <c r="B33" s="21" t="s">
        <v>284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</row>
    <row r="34" spans="1:26" x14ac:dyDescent="0.25">
      <c r="A34" t="s">
        <v>285</v>
      </c>
      <c r="C34" t="str">
        <f t="shared" ref="C34:V34" si="21">IF(C33=80,"", CONCATENATE("W",C33))</f>
        <v/>
      </c>
      <c r="D34" t="str">
        <f t="shared" si="21"/>
        <v/>
      </c>
      <c r="E34" t="str">
        <f t="shared" si="21"/>
        <v/>
      </c>
      <c r="F34" t="str">
        <f t="shared" si="21"/>
        <v/>
      </c>
      <c r="G34" t="str">
        <f t="shared" si="21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>W120</v>
      </c>
      <c r="S34" t="str">
        <f t="shared" si="21"/>
        <v/>
      </c>
      <c r="T34" t="str">
        <f t="shared" si="21"/>
        <v/>
      </c>
      <c r="U34" t="str">
        <f>IF(U33=80,"", CONCATENATE("W",U33))</f>
        <v>W120</v>
      </c>
      <c r="V34" t="str">
        <f t="shared" si="21"/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>IF(Z33=80,"", CONCATENATE("W",Z33))</f>
        <v/>
      </c>
    </row>
    <row r="35" spans="1:26" x14ac:dyDescent="0.25">
      <c r="A35" t="s">
        <v>286</v>
      </c>
      <c r="C35" t="str">
        <f t="shared" ref="C35:V35" si="22">CONCATENATE("W",C33)</f>
        <v>W80</v>
      </c>
      <c r="D35" t="str">
        <f t="shared" si="22"/>
        <v>W80</v>
      </c>
      <c r="E35" t="str">
        <f t="shared" si="22"/>
        <v>W80</v>
      </c>
      <c r="F35" t="str">
        <f t="shared" si="22"/>
        <v>W80</v>
      </c>
      <c r="G35" t="str">
        <f t="shared" si="22"/>
        <v>W80</v>
      </c>
      <c r="H35" t="str">
        <f t="shared" si="22"/>
        <v>W80</v>
      </c>
      <c r="I35" t="str">
        <f t="shared" si="22"/>
        <v>W80</v>
      </c>
      <c r="J35" t="str">
        <f t="shared" si="22"/>
        <v>W80</v>
      </c>
      <c r="K35" t="str">
        <f t="shared" si="22"/>
        <v>W80</v>
      </c>
      <c r="L35" t="str">
        <f t="shared" si="22"/>
        <v>W80</v>
      </c>
      <c r="M35" t="str">
        <f t="shared" si="22"/>
        <v>W80</v>
      </c>
      <c r="N35" t="str">
        <f t="shared" si="22"/>
        <v>W80</v>
      </c>
      <c r="O35" t="str">
        <f t="shared" si="22"/>
        <v>W80</v>
      </c>
      <c r="P35" t="str">
        <f t="shared" si="22"/>
        <v>W80</v>
      </c>
      <c r="Q35" t="str">
        <f t="shared" si="22"/>
        <v>W80</v>
      </c>
      <c r="R35" t="str">
        <f t="shared" si="22"/>
        <v>W120</v>
      </c>
      <c r="S35" t="str">
        <f t="shared" si="22"/>
        <v>W80</v>
      </c>
      <c r="T35" t="str">
        <f t="shared" si="22"/>
        <v>W80</v>
      </c>
      <c r="U35" t="str">
        <f>CONCATENATE("W",U33)</f>
        <v>W120</v>
      </c>
      <c r="V35" t="str">
        <f t="shared" si="22"/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>CONCATENATE("W",Z33)</f>
        <v>W80</v>
      </c>
    </row>
    <row r="36" spans="1:26" x14ac:dyDescent="0.25">
      <c r="A36" s="21" t="s">
        <v>287</v>
      </c>
      <c r="B36" s="21" t="s">
        <v>288</v>
      </c>
      <c r="C36" s="21" t="s">
        <v>289</v>
      </c>
      <c r="D36" s="21" t="s">
        <v>289</v>
      </c>
      <c r="E36" s="21" t="s">
        <v>289</v>
      </c>
      <c r="F36" s="21" t="s">
        <v>289</v>
      </c>
      <c r="G36" s="21" t="s">
        <v>289</v>
      </c>
      <c r="H36" s="21" t="s">
        <v>289</v>
      </c>
      <c r="I36" s="21" t="s">
        <v>289</v>
      </c>
      <c r="J36" s="21" t="s">
        <v>289</v>
      </c>
      <c r="K36" s="21" t="s">
        <v>289</v>
      </c>
      <c r="L36" s="21" t="s">
        <v>289</v>
      </c>
      <c r="M36" s="21" t="s">
        <v>289</v>
      </c>
      <c r="N36" s="21" t="s">
        <v>289</v>
      </c>
      <c r="O36" s="21" t="s">
        <v>289</v>
      </c>
      <c r="P36" s="21" t="s">
        <v>289</v>
      </c>
      <c r="Q36" s="21" t="s">
        <v>289</v>
      </c>
      <c r="R36" s="21" t="s">
        <v>289</v>
      </c>
      <c r="S36" s="21" t="s">
        <v>290</v>
      </c>
      <c r="T36" s="21" t="s">
        <v>291</v>
      </c>
      <c r="U36" s="21" t="s">
        <v>290</v>
      </c>
      <c r="V36" s="21" t="s">
        <v>289</v>
      </c>
      <c r="W36" s="21" t="s">
        <v>289</v>
      </c>
      <c r="X36" s="21" t="s">
        <v>289</v>
      </c>
      <c r="Y36" s="21" t="s">
        <v>289</v>
      </c>
      <c r="Z36" s="21" t="s">
        <v>289</v>
      </c>
    </row>
    <row r="37" spans="1:26" x14ac:dyDescent="0.25">
      <c r="A37" t="s">
        <v>292</v>
      </c>
      <c r="C37" t="str">
        <f t="shared" ref="C37:V37" si="23">IF(C36="0d", "", CONCATENATE("S",C36))</f>
        <v/>
      </c>
      <c r="D37" t="str">
        <f t="shared" si="23"/>
        <v/>
      </c>
      <c r="E37" t="str">
        <f t="shared" si="23"/>
        <v/>
      </c>
      <c r="F37" t="str">
        <f t="shared" si="23"/>
        <v/>
      </c>
      <c r="G37" t="str">
        <f t="shared" si="23"/>
        <v/>
      </c>
      <c r="H37" t="str">
        <f t="shared" si="23"/>
        <v/>
      </c>
      <c r="I37" t="str">
        <f t="shared" si="23"/>
        <v/>
      </c>
      <c r="J37" t="str">
        <f t="shared" si="23"/>
        <v/>
      </c>
      <c r="K37" t="str">
        <f t="shared" si="23"/>
        <v/>
      </c>
      <c r="L37" t="str">
        <f t="shared" si="23"/>
        <v/>
      </c>
      <c r="M37" t="str">
        <f t="shared" si="23"/>
        <v/>
      </c>
      <c r="N37" t="str">
        <f t="shared" si="23"/>
        <v/>
      </c>
      <c r="O37" t="str">
        <f t="shared" si="23"/>
        <v/>
      </c>
      <c r="P37" t="str">
        <f t="shared" si="23"/>
        <v/>
      </c>
      <c r="Q37" t="str">
        <f t="shared" si="23"/>
        <v/>
      </c>
      <c r="R37" t="str">
        <f t="shared" si="23"/>
        <v/>
      </c>
      <c r="S37" t="str">
        <f t="shared" si="23"/>
        <v>S1A</v>
      </c>
      <c r="T37" t="str">
        <f t="shared" si="23"/>
        <v>S90d</v>
      </c>
      <c r="U37" t="str">
        <f>IF(U36="0d", "", CONCATENATE("S",U36))</f>
        <v>S1A</v>
      </c>
      <c r="V37" t="str">
        <f t="shared" si="23"/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>IF(Z36="0d", "", CONCATENATE("S",Z36))</f>
        <v/>
      </c>
    </row>
    <row r="38" spans="1:26" x14ac:dyDescent="0.25">
      <c r="A38" t="s">
        <v>293</v>
      </c>
      <c r="C38" t="str">
        <f t="shared" ref="C38:V38" si="24">CONCATENATE("S",C36)</f>
        <v>S0d</v>
      </c>
      <c r="D38" t="str">
        <f t="shared" si="24"/>
        <v>S0d</v>
      </c>
      <c r="E38" t="str">
        <f t="shared" si="24"/>
        <v>S0d</v>
      </c>
      <c r="F38" t="str">
        <f t="shared" si="24"/>
        <v>S0d</v>
      </c>
      <c r="G38" t="str">
        <f t="shared" si="24"/>
        <v>S0d</v>
      </c>
      <c r="H38" t="str">
        <f t="shared" si="24"/>
        <v>S0d</v>
      </c>
      <c r="I38" t="str">
        <f t="shared" si="24"/>
        <v>S0d</v>
      </c>
      <c r="J38" t="str">
        <f t="shared" si="24"/>
        <v>S0d</v>
      </c>
      <c r="K38" t="str">
        <f t="shared" si="24"/>
        <v>S0d</v>
      </c>
      <c r="L38" t="str">
        <f t="shared" si="24"/>
        <v>S0d</v>
      </c>
      <c r="M38" t="str">
        <f t="shared" si="24"/>
        <v>S0d</v>
      </c>
      <c r="N38" t="str">
        <f t="shared" si="24"/>
        <v>S0d</v>
      </c>
      <c r="O38" t="str">
        <f t="shared" si="24"/>
        <v>S0d</v>
      </c>
      <c r="P38" t="str">
        <f t="shared" si="24"/>
        <v>S0d</v>
      </c>
      <c r="Q38" t="str">
        <f t="shared" si="24"/>
        <v>S0d</v>
      </c>
      <c r="R38" t="str">
        <f t="shared" si="24"/>
        <v>S0d</v>
      </c>
      <c r="S38" t="str">
        <f t="shared" si="24"/>
        <v>S1A</v>
      </c>
      <c r="T38" t="str">
        <f t="shared" si="24"/>
        <v>S90d</v>
      </c>
      <c r="U38" t="str">
        <f>CONCATENATE("S",U36)</f>
        <v>S1A</v>
      </c>
      <c r="V38" t="str">
        <f t="shared" si="24"/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>CONCATENATE("S",Z36)</f>
        <v>S0d</v>
      </c>
    </row>
    <row r="39" spans="1:26" x14ac:dyDescent="0.25">
      <c r="A39" s="21" t="s">
        <v>294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</row>
    <row r="40" spans="1:26" x14ac:dyDescent="0.25">
      <c r="A40" t="s">
        <v>295</v>
      </c>
      <c r="C40" t="str">
        <f t="shared" ref="C40:V40" si="25">IF(C39=2014,"",CONCATENATE("L",C39))</f>
        <v/>
      </c>
      <c r="D40" t="str">
        <f t="shared" si="25"/>
        <v/>
      </c>
      <c r="E40" t="str">
        <f t="shared" si="25"/>
        <v/>
      </c>
      <c r="F40" t="str">
        <f t="shared" si="25"/>
        <v/>
      </c>
      <c r="G40" t="str">
        <f t="shared" si="25"/>
        <v/>
      </c>
      <c r="H40" t="str">
        <f t="shared" si="25"/>
        <v/>
      </c>
      <c r="I40" t="str">
        <f t="shared" si="25"/>
        <v/>
      </c>
      <c r="J40" t="str">
        <f t="shared" si="25"/>
        <v/>
      </c>
      <c r="K40" t="str">
        <f t="shared" si="25"/>
        <v/>
      </c>
      <c r="L40" t="str">
        <f t="shared" si="25"/>
        <v/>
      </c>
      <c r="M40" t="str">
        <f t="shared" si="25"/>
        <v/>
      </c>
      <c r="N40" t="str">
        <f t="shared" si="25"/>
        <v/>
      </c>
      <c r="O40" t="str">
        <f t="shared" si="25"/>
        <v/>
      </c>
      <c r="P40" t="str">
        <f t="shared" si="25"/>
        <v/>
      </c>
      <c r="Q40" t="str">
        <f t="shared" si="25"/>
        <v/>
      </c>
      <c r="R40" t="str">
        <f t="shared" si="25"/>
        <v/>
      </c>
      <c r="S40" t="str">
        <f t="shared" si="25"/>
        <v/>
      </c>
      <c r="T40" t="str">
        <f t="shared" si="25"/>
        <v/>
      </c>
      <c r="U40" t="str">
        <f>IF(U39=2014,"",CONCATENATE("L",U39))</f>
        <v/>
      </c>
      <c r="V40" t="str">
        <f t="shared" si="25"/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>IF(Z39=2014,"",CONCATENATE("L",Z39))</f>
        <v/>
      </c>
    </row>
    <row r="41" spans="1:26" x14ac:dyDescent="0.25">
      <c r="A41" s="21" t="s">
        <v>296</v>
      </c>
      <c r="B41" s="21" t="s">
        <v>297</v>
      </c>
      <c r="C41" s="21" t="s">
        <v>298</v>
      </c>
      <c r="D41" s="21" t="s">
        <v>298</v>
      </c>
      <c r="E41" s="21" t="s">
        <v>298</v>
      </c>
      <c r="F41" s="21" t="s">
        <v>298</v>
      </c>
      <c r="G41" s="21" t="s">
        <v>298</v>
      </c>
      <c r="H41" s="21" t="s">
        <v>298</v>
      </c>
      <c r="I41" s="21" t="s">
        <v>298</v>
      </c>
      <c r="J41" s="21" t="s">
        <v>298</v>
      </c>
      <c r="K41" s="21" t="s">
        <v>298</v>
      </c>
      <c r="L41" s="21" t="s">
        <v>298</v>
      </c>
      <c r="M41" s="21" t="s">
        <v>298</v>
      </c>
      <c r="N41" s="21" t="s">
        <v>298</v>
      </c>
      <c r="O41" s="21" t="s">
        <v>298</v>
      </c>
      <c r="P41" s="21" t="s">
        <v>298</v>
      </c>
      <c r="Q41" s="21" t="s">
        <v>298</v>
      </c>
      <c r="R41" s="21" t="s">
        <v>298</v>
      </c>
      <c r="S41" s="21" t="s">
        <v>298</v>
      </c>
      <c r="T41" s="21" t="s">
        <v>298</v>
      </c>
      <c r="U41" s="21" t="s">
        <v>298</v>
      </c>
      <c r="V41" s="21" t="s">
        <v>299</v>
      </c>
      <c r="W41" s="21" t="s">
        <v>298</v>
      </c>
      <c r="X41" s="21" t="s">
        <v>298</v>
      </c>
      <c r="Y41" s="21" t="s">
        <v>298</v>
      </c>
      <c r="Z41" s="21" t="s">
        <v>298</v>
      </c>
    </row>
    <row r="42" spans="1:26" x14ac:dyDescent="0.25">
      <c r="A42" t="s">
        <v>300</v>
      </c>
      <c r="C42" t="str">
        <f t="shared" ref="C42:V42" si="26">IF(C41="none","",CONCATENATE("L",C41))</f>
        <v/>
      </c>
      <c r="D42" t="str">
        <f t="shared" si="26"/>
        <v/>
      </c>
      <c r="E42" t="str">
        <f t="shared" si="26"/>
        <v/>
      </c>
      <c r="F42" t="str">
        <f t="shared" si="26"/>
        <v/>
      </c>
      <c r="G42" t="str">
        <f t="shared" si="26"/>
        <v/>
      </c>
      <c r="H42" t="str">
        <f t="shared" si="26"/>
        <v/>
      </c>
      <c r="I42" t="str">
        <f t="shared" si="26"/>
        <v/>
      </c>
      <c r="J42" t="str">
        <f t="shared" si="26"/>
        <v/>
      </c>
      <c r="K42" t="str">
        <f t="shared" si="26"/>
        <v/>
      </c>
      <c r="L42" t="str">
        <f t="shared" si="26"/>
        <v/>
      </c>
      <c r="M42" t="str">
        <f t="shared" si="26"/>
        <v/>
      </c>
      <c r="N42" t="str">
        <f t="shared" si="26"/>
        <v/>
      </c>
      <c r="O42" t="str">
        <f t="shared" si="26"/>
        <v/>
      </c>
      <c r="P42" t="str">
        <f t="shared" si="26"/>
        <v/>
      </c>
      <c r="Q42" t="str">
        <f t="shared" si="26"/>
        <v/>
      </c>
      <c r="R42" t="str">
        <f t="shared" si="26"/>
        <v/>
      </c>
      <c r="S42" t="str">
        <f t="shared" si="26"/>
        <v/>
      </c>
      <c r="T42" t="str">
        <f t="shared" si="26"/>
        <v/>
      </c>
      <c r="U42" t="str">
        <f>IF(U41="none","",CONCATENATE("L",U41))</f>
        <v/>
      </c>
      <c r="V42" t="str">
        <f t="shared" si="26"/>
        <v>Lmod</v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>IF(Z41="none","",CONCATENATE("L",Z41))</f>
        <v/>
      </c>
    </row>
    <row r="43" spans="1:26" x14ac:dyDescent="0.25">
      <c r="A43" s="21" t="s">
        <v>301</v>
      </c>
      <c r="B43" s="21" t="s">
        <v>302</v>
      </c>
      <c r="C43" s="21" t="s">
        <v>303</v>
      </c>
      <c r="D43" s="21" t="s">
        <v>303</v>
      </c>
      <c r="E43" s="21" t="s">
        <v>303</v>
      </c>
      <c r="F43" s="21" t="s">
        <v>303</v>
      </c>
      <c r="G43" s="21" t="s">
        <v>303</v>
      </c>
      <c r="H43" s="21" t="s">
        <v>303</v>
      </c>
      <c r="I43" s="21" t="s">
        <v>303</v>
      </c>
      <c r="J43" s="21" t="s">
        <v>303</v>
      </c>
      <c r="K43" s="21" t="s">
        <v>303</v>
      </c>
      <c r="L43" s="21" t="s">
        <v>303</v>
      </c>
      <c r="M43" s="21" t="s">
        <v>303</v>
      </c>
      <c r="N43" s="21" t="s">
        <v>303</v>
      </c>
      <c r="O43" s="21" t="s">
        <v>303</v>
      </c>
      <c r="P43" s="21" t="s">
        <v>303</v>
      </c>
      <c r="Q43" s="21" t="s">
        <v>303</v>
      </c>
      <c r="R43" s="21" t="s">
        <v>303</v>
      </c>
      <c r="S43" s="21" t="s">
        <v>303</v>
      </c>
      <c r="T43" s="21" t="s">
        <v>303</v>
      </c>
      <c r="U43" s="21" t="s">
        <v>303</v>
      </c>
      <c r="V43" s="21" t="s">
        <v>303</v>
      </c>
      <c r="W43" s="21" t="s">
        <v>303</v>
      </c>
      <c r="X43" s="21" t="s">
        <v>303</v>
      </c>
      <c r="Y43" s="21" t="s">
        <v>303</v>
      </c>
      <c r="Z43" s="21" t="s">
        <v>303</v>
      </c>
    </row>
    <row r="44" spans="1:26" x14ac:dyDescent="0.25">
      <c r="A44" t="s">
        <v>304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t="s">
        <v>305</v>
      </c>
      <c r="C45" t="str">
        <f t="shared" ref="C45:V45" si="27">IF(C43="RT","",CONCATENATE(C43,C44))</f>
        <v/>
      </c>
      <c r="D45" t="str">
        <f t="shared" si="27"/>
        <v/>
      </c>
      <c r="E45" t="str">
        <f t="shared" si="27"/>
        <v/>
      </c>
      <c r="F45" t="str">
        <f t="shared" si="27"/>
        <v/>
      </c>
      <c r="G45" t="str">
        <f t="shared" si="27"/>
        <v/>
      </c>
      <c r="H45" t="str">
        <f t="shared" si="27"/>
        <v/>
      </c>
      <c r="I45" t="str">
        <f t="shared" si="27"/>
        <v/>
      </c>
      <c r="J45" t="str">
        <f t="shared" si="27"/>
        <v/>
      </c>
      <c r="K45" t="str">
        <f t="shared" si="27"/>
        <v/>
      </c>
      <c r="L45" t="str">
        <f t="shared" si="27"/>
        <v/>
      </c>
      <c r="M45" t="str">
        <f t="shared" si="27"/>
        <v/>
      </c>
      <c r="N45" t="str">
        <f t="shared" si="27"/>
        <v/>
      </c>
      <c r="O45" t="str">
        <f t="shared" si="27"/>
        <v/>
      </c>
      <c r="P45" t="str">
        <f t="shared" si="27"/>
        <v/>
      </c>
      <c r="Q45" t="str">
        <f t="shared" si="27"/>
        <v/>
      </c>
      <c r="R45" t="str">
        <f t="shared" si="27"/>
        <v/>
      </c>
      <c r="S45" t="str">
        <f t="shared" si="27"/>
        <v/>
      </c>
      <c r="T45" t="str">
        <f t="shared" si="27"/>
        <v/>
      </c>
      <c r="U45" t="str">
        <f>IF(U43="RT","",CONCATENATE(U43,U44))</f>
        <v/>
      </c>
      <c r="V45" t="str">
        <f t="shared" si="27"/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>IF(Z43="RT","",CONCATENATE(Z43,Z44))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ColWidth="8.85546875"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317</v>
      </c>
      <c r="D1" t="s">
        <v>316</v>
      </c>
      <c r="H1" t="s">
        <v>315</v>
      </c>
    </row>
    <row r="2" spans="1:8" x14ac:dyDescent="0.25">
      <c r="A2" t="s">
        <v>314</v>
      </c>
      <c r="D2" t="s">
        <v>313</v>
      </c>
      <c r="E2" t="s">
        <v>312</v>
      </c>
      <c r="F2" t="s">
        <v>311</v>
      </c>
      <c r="H2" t="s">
        <v>310</v>
      </c>
    </row>
    <row r="3" spans="1:8" x14ac:dyDescent="0.25">
      <c r="A3" t="s">
        <v>308</v>
      </c>
      <c r="B3" t="s">
        <v>235</v>
      </c>
      <c r="C3" t="s">
        <v>309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308</v>
      </c>
      <c r="B4" t="s">
        <v>235</v>
      </c>
      <c r="C4" t="s">
        <v>306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308</v>
      </c>
      <c r="B5" t="s">
        <v>307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308</v>
      </c>
      <c r="B6" t="s">
        <v>307</v>
      </c>
      <c r="C6" t="s">
        <v>306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defaultColWidth="8.85546875" defaultRowHeight="15" x14ac:dyDescent="0.25"/>
  <cols>
    <col min="1" max="1" width="17.7109375" bestFit="1" customWidth="1"/>
    <col min="3" max="3" width="14.140625" bestFit="1" customWidth="1"/>
    <col min="4" max="4" width="12.7109375" bestFit="1" customWidth="1"/>
  </cols>
  <sheetData>
    <row r="1" spans="1:4" x14ac:dyDescent="0.25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 x14ac:dyDescent="0.25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 x14ac:dyDescent="0.25">
      <c r="A3" t="s">
        <v>414</v>
      </c>
      <c r="B3" t="s">
        <v>416</v>
      </c>
    </row>
    <row r="4" spans="1:4" x14ac:dyDescent="0.25">
      <c r="A4" t="s">
        <v>415</v>
      </c>
      <c r="B4" t="s">
        <v>416</v>
      </c>
    </row>
    <row r="5" spans="1:4" x14ac:dyDescent="0.25">
      <c r="A5" t="s">
        <v>411</v>
      </c>
      <c r="B5" t="s">
        <v>416</v>
      </c>
    </row>
    <row r="6" spans="1:4" x14ac:dyDescent="0.25">
      <c r="A6" t="s">
        <v>412</v>
      </c>
      <c r="B6" t="s">
        <v>416</v>
      </c>
    </row>
    <row r="7" spans="1:4" x14ac:dyDescent="0.25">
      <c r="A7" t="s">
        <v>413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abSelected="1" workbookViewId="0">
      <selection activeCell="T53" sqref="T53"/>
    </sheetView>
  </sheetViews>
  <sheetFormatPr defaultColWidth="8.85546875" defaultRowHeight="15" x14ac:dyDescent="0.25"/>
  <cols>
    <col min="1" max="1" width="44.425781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42578125" customWidth="1"/>
    <col min="21" max="21" width="24.42578125" customWidth="1"/>
    <col min="22" max="22" width="12" customWidth="1"/>
    <col min="23" max="23" width="22.140625" bestFit="1" customWidth="1"/>
    <col min="24" max="24" width="13.28515625" customWidth="1"/>
    <col min="25" max="25" width="23.42578125" bestFit="1" customWidth="1"/>
    <col min="26" max="26" width="13.42578125" customWidth="1"/>
    <col min="27" max="27" width="26.140625" bestFit="1" customWidth="1"/>
    <col min="28" max="28" width="15.85546875" bestFit="1" customWidth="1"/>
    <col min="29" max="29" width="20.425781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5.42578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227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1230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428</v>
      </c>
      <c r="AK5">
        <f>$AK$4*0.75</f>
        <v>2100</v>
      </c>
      <c r="AL5">
        <v>18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429</v>
      </c>
      <c r="AK6">
        <f>$AK$4*0.5</f>
        <v>1400</v>
      </c>
      <c r="AL6">
        <v>12</v>
      </c>
    </row>
    <row r="7" spans="1:38" x14ac:dyDescent="0.25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5">
      <c r="A8" t="s">
        <v>28</v>
      </c>
      <c r="B8">
        <v>3900</v>
      </c>
      <c r="R8" s="7" t="s">
        <v>410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</row>
    <row r="10" spans="1:38" x14ac:dyDescent="0.25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</row>
    <row r="11" spans="1:38" x14ac:dyDescent="0.25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</row>
    <row r="12" spans="1:38" x14ac:dyDescent="0.25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428</v>
      </c>
      <c r="AC13" t="s">
        <v>429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 t="shared" ref="S14:AC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</row>
    <row r="15" spans="1:38" x14ac:dyDescent="0.25">
      <c r="A15" t="s">
        <v>438</v>
      </c>
      <c r="B15">
        <v>3.9</v>
      </c>
      <c r="C15" t="s">
        <v>439</v>
      </c>
      <c r="R15" t="s">
        <v>189</v>
      </c>
      <c r="S15" s="2">
        <f t="shared" ref="S15:AC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</row>
    <row r="16" spans="1:38" x14ac:dyDescent="0.25">
      <c r="A16" t="s">
        <v>27</v>
      </c>
      <c r="B16">
        <v>240</v>
      </c>
      <c r="R16" s="7" t="s">
        <v>1</v>
      </c>
    </row>
    <row r="17" spans="1:29" x14ac:dyDescent="0.25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C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</row>
    <row r="18" spans="1:29" x14ac:dyDescent="0.25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C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</row>
    <row r="19" spans="1:29" x14ac:dyDescent="0.25">
      <c r="A19" t="s">
        <v>165</v>
      </c>
      <c r="B19" s="4">
        <f>B18/E3</f>
        <v>9.4786729857819907</v>
      </c>
      <c r="R19" t="s">
        <v>20</v>
      </c>
      <c r="S19" s="5">
        <f t="shared" ref="S19:AC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</row>
    <row r="20" spans="1:29" x14ac:dyDescent="0.25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C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</row>
    <row r="21" spans="1:29" x14ac:dyDescent="0.25">
      <c r="A21" t="s">
        <v>49</v>
      </c>
      <c r="B21">
        <f>'Data and sources'!C35</f>
        <v>2071</v>
      </c>
      <c r="C21" t="s">
        <v>48</v>
      </c>
    </row>
    <row r="22" spans="1:29" x14ac:dyDescent="0.25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29" x14ac:dyDescent="0.25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C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</row>
    <row r="24" spans="1:29" x14ac:dyDescent="0.25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C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</row>
    <row r="25" spans="1:29" x14ac:dyDescent="0.25">
      <c r="A25" t="s">
        <v>52</v>
      </c>
      <c r="B25">
        <v>10390</v>
      </c>
      <c r="C25" t="s">
        <v>51</v>
      </c>
      <c r="R25" t="s">
        <v>32</v>
      </c>
      <c r="S25" s="5">
        <f t="shared" ref="S25:AC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</row>
    <row r="26" spans="1:29" x14ac:dyDescent="0.25">
      <c r="A26" t="s">
        <v>53</v>
      </c>
      <c r="B26">
        <v>6705</v>
      </c>
      <c r="C26" t="s">
        <v>51</v>
      </c>
    </row>
    <row r="27" spans="1:29" x14ac:dyDescent="0.25">
      <c r="R27" s="7" t="s">
        <v>3</v>
      </c>
    </row>
    <row r="28" spans="1:29" x14ac:dyDescent="0.25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1230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</row>
    <row r="29" spans="1:29" x14ac:dyDescent="0.25">
      <c r="A29" s="7" t="s">
        <v>16</v>
      </c>
      <c r="Q29" t="s">
        <v>208</v>
      </c>
      <c r="R29" t="s">
        <v>183</v>
      </c>
      <c r="S29" s="4">
        <f t="shared" ref="S29:AC29" si="11">$W$4</f>
        <v>2.6153846153846154</v>
      </c>
      <c r="T29" s="4">
        <f>$W$5</f>
        <v>3.9</v>
      </c>
      <c r="U29" s="4">
        <f t="shared" si="11"/>
        <v>2.6153846153846154</v>
      </c>
      <c r="V29" s="4">
        <f t="shared" si="11"/>
        <v>2.6153846153846154</v>
      </c>
      <c r="W29" s="4">
        <f t="shared" si="11"/>
        <v>2.6153846153846154</v>
      </c>
      <c r="X29" s="4">
        <f t="shared" si="11"/>
        <v>2.6153846153846154</v>
      </c>
      <c r="Y29" s="4">
        <f t="shared" si="11"/>
        <v>2.6153846153846154</v>
      </c>
      <c r="Z29" s="4">
        <f t="shared" si="11"/>
        <v>2.6153846153846154</v>
      </c>
      <c r="AA29" s="4">
        <f t="shared" si="11"/>
        <v>2.6153846153846154</v>
      </c>
      <c r="AB29" s="4">
        <f t="shared" si="11"/>
        <v>2.6153846153846154</v>
      </c>
      <c r="AC29" s="4">
        <f t="shared" si="11"/>
        <v>2.6153846153846154</v>
      </c>
    </row>
    <row r="30" spans="1:29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C30" si="12">S$28*S$15+$D$32</f>
        <v>125.88777825200532</v>
      </c>
      <c r="T30" s="5">
        <f t="shared" si="12"/>
        <v>147.64693618141871</v>
      </c>
      <c r="U30" s="5">
        <f t="shared" si="12"/>
        <v>125.88777825200532</v>
      </c>
      <c r="V30" s="5">
        <f t="shared" si="12"/>
        <v>125.88777825200532</v>
      </c>
      <c r="W30" s="5">
        <f t="shared" si="12"/>
        <v>125.88777825200532</v>
      </c>
      <c r="X30" s="5">
        <f t="shared" si="12"/>
        <v>125.88777825200532</v>
      </c>
      <c r="Y30" s="5">
        <f t="shared" si="12"/>
        <v>125.88777825200532</v>
      </c>
      <c r="Z30" s="5">
        <f t="shared" si="12"/>
        <v>125.88777825200532</v>
      </c>
      <c r="AA30" s="5">
        <f t="shared" si="12"/>
        <v>125.88777825200532</v>
      </c>
      <c r="AB30" s="5">
        <f t="shared" si="12"/>
        <v>125.88777825200532</v>
      </c>
      <c r="AC30" s="5">
        <f t="shared" si="12"/>
        <v>125.88777825200532</v>
      </c>
    </row>
    <row r="31" spans="1:29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3">B31*$E$1</f>
        <v>44087.400000000009</v>
      </c>
      <c r="I31">
        <f t="shared" si="13"/>
        <v>50385.600000000006</v>
      </c>
      <c r="J31">
        <f t="shared" si="13"/>
        <v>63467.80980675343</v>
      </c>
      <c r="R31" t="s">
        <v>32</v>
      </c>
      <c r="S31" s="5">
        <f t="shared" ref="S31:AC31" si="14">($D$34*S$29*$E$3*10^-3 + $D$33)/(1-$D$46)</f>
        <v>32.466607822649564</v>
      </c>
      <c r="T31" s="5">
        <f t="shared" si="14"/>
        <v>45.902984148611111</v>
      </c>
      <c r="U31" s="5">
        <f t="shared" si="14"/>
        <v>32.466607822649564</v>
      </c>
      <c r="V31" s="5">
        <f t="shared" si="14"/>
        <v>32.466607822649564</v>
      </c>
      <c r="W31" s="5">
        <f t="shared" si="14"/>
        <v>32.466607822649564</v>
      </c>
      <c r="X31" s="5">
        <f t="shared" si="14"/>
        <v>32.466607822649564</v>
      </c>
      <c r="Y31" s="5">
        <f t="shared" si="14"/>
        <v>32.466607822649564</v>
      </c>
      <c r="Z31" s="5">
        <f t="shared" si="14"/>
        <v>32.466607822649564</v>
      </c>
      <c r="AA31" s="5">
        <f t="shared" si="14"/>
        <v>32.466607822649564</v>
      </c>
      <c r="AB31" s="5">
        <f t="shared" si="14"/>
        <v>32.466607822649564</v>
      </c>
      <c r="AC31" s="5">
        <f t="shared" si="14"/>
        <v>32.466607822649564</v>
      </c>
    </row>
    <row r="32" spans="1:29" x14ac:dyDescent="0.25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3"/>
        <v>442</v>
      </c>
      <c r="I32" s="5">
        <f t="shared" si="13"/>
        <v>715</v>
      </c>
      <c r="J32" s="5">
        <f t="shared" si="13"/>
        <v>2736.5</v>
      </c>
    </row>
    <row r="33" spans="1:29" x14ac:dyDescent="0.25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3"/>
        <v>695.5</v>
      </c>
      <c r="I33" s="5">
        <f t="shared" si="13"/>
        <v>227.5</v>
      </c>
      <c r="J33" s="5">
        <f t="shared" si="13"/>
        <v>299</v>
      </c>
      <c r="P33" s="5"/>
      <c r="R33" s="7" t="s">
        <v>190</v>
      </c>
    </row>
    <row r="34" spans="1:29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5">(S24-S19)*1000/(S20-S25)/8760</f>
        <v>3.3984353954038309E-2</v>
      </c>
      <c r="T34" s="2">
        <f t="shared" si="15"/>
        <v>3.3984353954038309E-2</v>
      </c>
      <c r="U34" s="2">
        <f t="shared" si="15"/>
        <v>3.3984353954038309E-2</v>
      </c>
      <c r="V34" s="2">
        <f t="shared" si="15"/>
        <v>3.3984353954038309E-2</v>
      </c>
      <c r="W34" s="2">
        <f t="shared" si="15"/>
        <v>3.3984353954038309E-2</v>
      </c>
      <c r="X34" s="2">
        <f t="shared" si="15"/>
        <v>3.3984353954038309E-2</v>
      </c>
      <c r="Y34" s="2">
        <f t="shared" si="15"/>
        <v>3.3984353954038309E-2</v>
      </c>
      <c r="Z34" s="2">
        <f t="shared" si="15"/>
        <v>3.3984353954038309E-2</v>
      </c>
      <c r="AA34" s="2">
        <f t="shared" si="15"/>
        <v>3.3984353954038309E-2</v>
      </c>
      <c r="AB34" s="2">
        <f t="shared" si="15"/>
        <v>3.3984353954038309E-2</v>
      </c>
      <c r="AC34" s="2">
        <f t="shared" si="15"/>
        <v>3.3984353954038309E-2</v>
      </c>
    </row>
    <row r="35" spans="1:29" x14ac:dyDescent="0.25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6">(S30-S24)*1000/(S25-S31)/8760</f>
        <v>0.10523612453151106</v>
      </c>
      <c r="T35" s="2">
        <f t="shared" si="16"/>
        <v>0.2050960069674089</v>
      </c>
      <c r="U35" s="2">
        <f t="shared" si="16"/>
        <v>0.10523612453151106</v>
      </c>
      <c r="V35" s="2">
        <f t="shared" si="16"/>
        <v>0.10523612453151106</v>
      </c>
      <c r="W35" s="2">
        <f t="shared" si="16"/>
        <v>0.10523612453151106</v>
      </c>
      <c r="X35" s="2">
        <f t="shared" si="16"/>
        <v>0.10523612453151106</v>
      </c>
      <c r="Y35" s="2">
        <f t="shared" si="16"/>
        <v>0.10523612453151106</v>
      </c>
      <c r="Z35" s="2">
        <f t="shared" si="16"/>
        <v>0.10523612453151106</v>
      </c>
      <c r="AA35" s="2">
        <f t="shared" si="16"/>
        <v>0.10523612453151106</v>
      </c>
      <c r="AB35" s="2">
        <f t="shared" si="16"/>
        <v>0.10523612453151106</v>
      </c>
      <c r="AC35" s="2">
        <f t="shared" si="16"/>
        <v>0.10523612453151106</v>
      </c>
    </row>
    <row r="36" spans="1:29" x14ac:dyDescent="0.25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9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9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9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 t="shared" ref="S40:AC40" si="17">S19</f>
        <v>65.002501490990369</v>
      </c>
      <c r="T40" s="5">
        <f t="shared" si="17"/>
        <v>65.002501490990369</v>
      </c>
      <c r="U40" s="5">
        <f t="shared" si="17"/>
        <v>65.002501490990369</v>
      </c>
      <c r="V40" s="5">
        <f t="shared" si="17"/>
        <v>65.002501490990369</v>
      </c>
      <c r="W40" s="5">
        <f t="shared" si="17"/>
        <v>65.002501490990369</v>
      </c>
      <c r="X40" s="5">
        <f t="shared" si="17"/>
        <v>65.002501490990369</v>
      </c>
      <c r="Y40" s="5">
        <f t="shared" si="17"/>
        <v>65.002501490990369</v>
      </c>
      <c r="Z40" s="5">
        <f t="shared" si="17"/>
        <v>65.002501490990369</v>
      </c>
      <c r="AA40" s="5">
        <f t="shared" si="17"/>
        <v>65.002501490990369</v>
      </c>
      <c r="AB40" s="5">
        <f t="shared" si="17"/>
        <v>65.002501490990369</v>
      </c>
      <c r="AC40" s="5">
        <f t="shared" si="17"/>
        <v>65.002501490990369</v>
      </c>
    </row>
    <row r="41" spans="1:29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 t="shared" ref="S41:AC41" si="18">S40+S20*$Q$41/1000</f>
        <v>1177.2962457334145</v>
      </c>
      <c r="T41" s="5">
        <f t="shared" si="18"/>
        <v>1177.2962457334145</v>
      </c>
      <c r="U41" s="5">
        <f t="shared" si="18"/>
        <v>1177.2962457334145</v>
      </c>
      <c r="V41" s="5">
        <f t="shared" si="18"/>
        <v>1177.2962457334145</v>
      </c>
      <c r="W41" s="5">
        <f t="shared" si="18"/>
        <v>1177.2962457334145</v>
      </c>
      <c r="X41" s="5">
        <f t="shared" si="18"/>
        <v>1177.2962457334145</v>
      </c>
      <c r="Y41" s="5">
        <f t="shared" si="18"/>
        <v>1177.2962457334145</v>
      </c>
      <c r="Z41" s="5">
        <f t="shared" si="18"/>
        <v>1177.2962457334145</v>
      </c>
      <c r="AA41" s="5">
        <f t="shared" si="18"/>
        <v>1177.2962457334145</v>
      </c>
      <c r="AB41" s="5">
        <f t="shared" si="18"/>
        <v>1177.2962457334145</v>
      </c>
      <c r="AC41" s="5">
        <f t="shared" si="18"/>
        <v>1177.2962457334145</v>
      </c>
    </row>
    <row r="42" spans="1:29" x14ac:dyDescent="0.25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Q42">
        <v>0</v>
      </c>
      <c r="R42" t="s">
        <v>196</v>
      </c>
      <c r="S42" s="5">
        <f t="shared" ref="S42:AC42" si="19">S24</f>
        <v>77.517144561131843</v>
      </c>
      <c r="T42" s="5">
        <f t="shared" si="19"/>
        <v>77.517144561131843</v>
      </c>
      <c r="U42" s="5">
        <f t="shared" si="19"/>
        <v>77.517144561131843</v>
      </c>
      <c r="V42" s="5">
        <f t="shared" si="19"/>
        <v>77.517144561131843</v>
      </c>
      <c r="W42" s="5">
        <f t="shared" si="19"/>
        <v>77.517144561131843</v>
      </c>
      <c r="X42" s="5">
        <f t="shared" si="19"/>
        <v>77.517144561131843</v>
      </c>
      <c r="Y42" s="5">
        <f t="shared" si="19"/>
        <v>77.517144561131843</v>
      </c>
      <c r="Z42" s="5">
        <f t="shared" si="19"/>
        <v>77.517144561131843</v>
      </c>
      <c r="AA42" s="5">
        <f t="shared" si="19"/>
        <v>77.517144561131843</v>
      </c>
      <c r="AB42" s="5">
        <f t="shared" si="19"/>
        <v>77.517144561131843</v>
      </c>
      <c r="AC42" s="5">
        <f t="shared" si="19"/>
        <v>77.517144561131843</v>
      </c>
    </row>
    <row r="43" spans="1:29" x14ac:dyDescent="0.25">
      <c r="A43" t="s">
        <v>22</v>
      </c>
      <c r="B43" s="6">
        <f t="shared" ref="B43:D45" si="20">B39*B$34*10^-3/$E$2</f>
        <v>1.0454948181818182E-3</v>
      </c>
      <c r="C43" s="6">
        <f t="shared" si="20"/>
        <v>7.2103090909090911E-4</v>
      </c>
      <c r="D43" s="6">
        <f t="shared" si="20"/>
        <v>0.22306893749999998</v>
      </c>
      <c r="Q43">
        <v>8760</v>
      </c>
      <c r="R43" t="s">
        <v>196</v>
      </c>
      <c r="S43" s="5">
        <f t="shared" ref="S43:AC43" si="21">S42+S25*$Q$43/1000</f>
        <v>821.56369225343963</v>
      </c>
      <c r="T43" s="5">
        <f t="shared" si="21"/>
        <v>821.56369225343963</v>
      </c>
      <c r="U43" s="5">
        <f t="shared" si="21"/>
        <v>821.56369225343963</v>
      </c>
      <c r="V43" s="5">
        <f t="shared" si="21"/>
        <v>821.56369225343963</v>
      </c>
      <c r="W43" s="5">
        <f t="shared" si="21"/>
        <v>821.56369225343963</v>
      </c>
      <c r="X43" s="5">
        <f t="shared" si="21"/>
        <v>821.56369225343963</v>
      </c>
      <c r="Y43" s="5">
        <f t="shared" si="21"/>
        <v>821.56369225343963</v>
      </c>
      <c r="Z43" s="5">
        <f t="shared" si="21"/>
        <v>821.56369225343963</v>
      </c>
      <c r="AA43" s="5">
        <f t="shared" si="21"/>
        <v>821.56369225343963</v>
      </c>
      <c r="AB43" s="5">
        <f t="shared" si="21"/>
        <v>821.56369225343963</v>
      </c>
      <c r="AC43" s="5">
        <f t="shared" si="21"/>
        <v>821.56369225343963</v>
      </c>
    </row>
    <row r="44" spans="1:29" x14ac:dyDescent="0.25">
      <c r="A44" t="s">
        <v>23</v>
      </c>
      <c r="B44" s="3">
        <f t="shared" si="20"/>
        <v>0.17250664499999999</v>
      </c>
      <c r="C44" s="3">
        <f t="shared" si="20"/>
        <v>2.6317628181818178E-2</v>
      </c>
      <c r="D44" s="3">
        <f t="shared" si="20"/>
        <v>0.20278994318181817</v>
      </c>
      <c r="Q44">
        <v>0</v>
      </c>
      <c r="R44" t="s">
        <v>3</v>
      </c>
      <c r="S44" s="5">
        <f t="shared" ref="S44:AC44" si="22">S30</f>
        <v>125.88777825200532</v>
      </c>
      <c r="T44" s="5">
        <f t="shared" si="22"/>
        <v>147.64693618141871</v>
      </c>
      <c r="U44" s="5">
        <f t="shared" si="22"/>
        <v>125.88777825200532</v>
      </c>
      <c r="V44" s="5">
        <f t="shared" si="22"/>
        <v>125.88777825200532</v>
      </c>
      <c r="W44" s="5">
        <f t="shared" si="22"/>
        <v>125.88777825200532</v>
      </c>
      <c r="X44" s="5">
        <f t="shared" si="22"/>
        <v>125.88777825200532</v>
      </c>
      <c r="Y44" s="5">
        <f t="shared" si="22"/>
        <v>125.88777825200532</v>
      </c>
      <c r="Z44" s="5">
        <f t="shared" si="22"/>
        <v>125.88777825200532</v>
      </c>
      <c r="AA44" s="5">
        <f t="shared" si="22"/>
        <v>125.88777825200532</v>
      </c>
      <c r="AB44" s="5">
        <f t="shared" si="22"/>
        <v>125.88777825200532</v>
      </c>
      <c r="AC44" s="5">
        <f t="shared" si="22"/>
        <v>125.88777825200532</v>
      </c>
    </row>
    <row r="45" spans="1:29" x14ac:dyDescent="0.25">
      <c r="A45" t="s">
        <v>24</v>
      </c>
      <c r="B45" s="2">
        <f t="shared" si="20"/>
        <v>3.1364844545454539E-2</v>
      </c>
      <c r="C45" s="2">
        <f t="shared" si="20"/>
        <v>2.0909896363636361E-2</v>
      </c>
      <c r="D45" s="2">
        <f t="shared" si="20"/>
        <v>4.4613787499999995E-2</v>
      </c>
      <c r="Q45">
        <v>8760</v>
      </c>
      <c r="R45" t="s">
        <v>3</v>
      </c>
      <c r="S45" s="5">
        <f t="shared" ref="S45:AC45" si="23">S44+S31*$Q$45/1000</f>
        <v>410.29526277841552</v>
      </c>
      <c r="T45" s="5">
        <f t="shared" si="23"/>
        <v>549.75707732325202</v>
      </c>
      <c r="U45" s="5">
        <f t="shared" si="23"/>
        <v>410.29526277841552</v>
      </c>
      <c r="V45" s="5">
        <f t="shared" si="23"/>
        <v>410.29526277841552</v>
      </c>
      <c r="W45" s="5">
        <f t="shared" si="23"/>
        <v>410.29526277841552</v>
      </c>
      <c r="X45" s="5">
        <f t="shared" si="23"/>
        <v>410.29526277841552</v>
      </c>
      <c r="Y45" s="5">
        <f t="shared" si="23"/>
        <v>410.29526277841552</v>
      </c>
      <c r="Z45" s="5">
        <f t="shared" si="23"/>
        <v>410.29526277841552</v>
      </c>
      <c r="AA45" s="5">
        <f t="shared" si="23"/>
        <v>410.29526277841552</v>
      </c>
      <c r="AB45" s="5">
        <f t="shared" si="23"/>
        <v>410.29526277841552</v>
      </c>
      <c r="AC45" s="5">
        <f t="shared" si="23"/>
        <v>410.29526277841552</v>
      </c>
    </row>
    <row r="46" spans="1:29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9" x14ac:dyDescent="0.25">
      <c r="Q47" s="20" t="s">
        <v>430</v>
      </c>
      <c r="R47" s="7" t="s">
        <v>197</v>
      </c>
    </row>
    <row r="48" spans="1:29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  <c r="S48" t="str">
        <f>S9</f>
        <v>coallc</v>
      </c>
      <c r="T48" t="str">
        <f t="shared" ref="T48:AC48" si="24">T9</f>
        <v>coalhc</v>
      </c>
      <c r="U48" t="str">
        <f t="shared" si="24"/>
        <v>coallcW10lc</v>
      </c>
      <c r="V48" t="str">
        <f t="shared" si="24"/>
        <v>coallcW20lc</v>
      </c>
      <c r="W48" t="str">
        <f t="shared" si="24"/>
        <v>coallcW30lc</v>
      </c>
      <c r="X48" t="str">
        <f t="shared" si="24"/>
        <v>coallcS10lc</v>
      </c>
      <c r="Y48" t="str">
        <f t="shared" si="24"/>
        <v>coallcS20lc</v>
      </c>
      <c r="Z48" t="str">
        <f t="shared" si="24"/>
        <v>coallcS30lc</v>
      </c>
      <c r="AA48" t="str">
        <f t="shared" si="24"/>
        <v>coallcW30lcS30lc</v>
      </c>
      <c r="AB48" t="str">
        <f t="shared" si="24"/>
        <v>coallcB25lc</v>
      </c>
      <c r="AC48" t="str">
        <f t="shared" si="24"/>
        <v>coallcB50lc</v>
      </c>
    </row>
    <row r="49" spans="1:29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 t="shared" ref="S49:AC49" si="25">S17</f>
        <v>678.26769230769241</v>
      </c>
      <c r="T49" s="5">
        <f t="shared" si="25"/>
        <v>678.26769230769241</v>
      </c>
      <c r="U49" s="5">
        <f t="shared" si="25"/>
        <v>678.26769230769241</v>
      </c>
      <c r="V49" s="5">
        <f t="shared" si="25"/>
        <v>678.26769230769241</v>
      </c>
      <c r="W49" s="5">
        <f t="shared" si="25"/>
        <v>678.26769230769241</v>
      </c>
      <c r="X49" s="5">
        <f t="shared" si="25"/>
        <v>678.26769230769241</v>
      </c>
      <c r="Y49" s="5">
        <f t="shared" si="25"/>
        <v>678.26769230769241</v>
      </c>
      <c r="Z49" s="5">
        <f t="shared" si="25"/>
        <v>678.26769230769241</v>
      </c>
      <c r="AA49" s="5">
        <f t="shared" si="25"/>
        <v>678.26769230769241</v>
      </c>
      <c r="AB49" s="5">
        <f t="shared" si="25"/>
        <v>678.26769230769241</v>
      </c>
      <c r="AC49" s="5">
        <f t="shared" si="25"/>
        <v>678.26769230769241</v>
      </c>
    </row>
    <row r="50" spans="1:29" ht="15.75" x14ac:dyDescent="0.2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  <c r="Q50" t="s">
        <v>204</v>
      </c>
      <c r="R50" t="s">
        <v>199</v>
      </c>
      <c r="S50" s="4">
        <f t="shared" ref="S50:AC50" si="26">$B$32</f>
        <v>6.8</v>
      </c>
      <c r="T50" s="4">
        <f t="shared" si="26"/>
        <v>6.8</v>
      </c>
      <c r="U50" s="4">
        <f t="shared" si="26"/>
        <v>6.8</v>
      </c>
      <c r="V50" s="4">
        <f t="shared" si="26"/>
        <v>6.8</v>
      </c>
      <c r="W50" s="4">
        <f t="shared" si="26"/>
        <v>6.8</v>
      </c>
      <c r="X50" s="4">
        <f t="shared" si="26"/>
        <v>6.8</v>
      </c>
      <c r="Y50" s="4">
        <f t="shared" si="26"/>
        <v>6.8</v>
      </c>
      <c r="Z50" s="4">
        <f t="shared" si="26"/>
        <v>6.8</v>
      </c>
      <c r="AA50" s="4">
        <f t="shared" si="26"/>
        <v>6.8</v>
      </c>
      <c r="AB50" s="4">
        <f t="shared" si="26"/>
        <v>6.8</v>
      </c>
      <c r="AC50" s="4">
        <f t="shared" si="26"/>
        <v>6.8</v>
      </c>
    </row>
    <row r="51" spans="1:29" x14ac:dyDescent="0.25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t="s">
        <v>203</v>
      </c>
      <c r="R51" t="s">
        <v>200</v>
      </c>
      <c r="S51" s="5">
        <f t="shared" ref="S51:AC51" si="27">S23</f>
        <v>775.16307692307703</v>
      </c>
      <c r="T51" s="5">
        <f t="shared" si="27"/>
        <v>775.16307692307703</v>
      </c>
      <c r="U51" s="5">
        <f t="shared" si="27"/>
        <v>775.16307692307703</v>
      </c>
      <c r="V51" s="5">
        <f t="shared" si="27"/>
        <v>775.16307692307703</v>
      </c>
      <c r="W51" s="5">
        <f t="shared" si="27"/>
        <v>775.16307692307703</v>
      </c>
      <c r="X51" s="5">
        <f t="shared" si="27"/>
        <v>775.16307692307703</v>
      </c>
      <c r="Y51" s="5">
        <f t="shared" si="27"/>
        <v>775.16307692307703</v>
      </c>
      <c r="Z51" s="5">
        <f t="shared" si="27"/>
        <v>775.16307692307703</v>
      </c>
      <c r="AA51" s="5">
        <f t="shared" si="27"/>
        <v>775.16307692307703</v>
      </c>
      <c r="AB51" s="5">
        <f t="shared" si="27"/>
        <v>775.16307692307703</v>
      </c>
      <c r="AC51" s="5">
        <f t="shared" si="27"/>
        <v>775.16307692307703</v>
      </c>
    </row>
    <row r="52" spans="1:29" x14ac:dyDescent="0.25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 t="shared" ref="S52:AC52" si="28">$C$32</f>
        <v>11</v>
      </c>
      <c r="T52" s="4">
        <f t="shared" si="28"/>
        <v>11</v>
      </c>
      <c r="U52" s="4">
        <f t="shared" si="28"/>
        <v>11</v>
      </c>
      <c r="V52" s="4">
        <f t="shared" si="28"/>
        <v>11</v>
      </c>
      <c r="W52" s="4">
        <f t="shared" si="28"/>
        <v>11</v>
      </c>
      <c r="X52" s="4">
        <f t="shared" si="28"/>
        <v>11</v>
      </c>
      <c r="Y52" s="4">
        <f t="shared" si="28"/>
        <v>11</v>
      </c>
      <c r="Z52" s="4">
        <f t="shared" si="28"/>
        <v>11</v>
      </c>
      <c r="AA52" s="4">
        <f t="shared" si="28"/>
        <v>11</v>
      </c>
      <c r="AB52" s="4">
        <f t="shared" si="28"/>
        <v>11</v>
      </c>
      <c r="AC52" s="4">
        <f t="shared" si="28"/>
        <v>11</v>
      </c>
    </row>
    <row r="53" spans="1:29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 t="shared" ref="S53:AC53" si="29">S28</f>
        <v>976.42784318082204</v>
      </c>
      <c r="T53" s="5">
        <f t="shared" si="29"/>
        <v>1230</v>
      </c>
      <c r="U53" s="5">
        <f t="shared" si="29"/>
        <v>976.42784318082204</v>
      </c>
      <c r="V53" s="5">
        <f t="shared" si="29"/>
        <v>976.42784318082204</v>
      </c>
      <c r="W53" s="5">
        <f t="shared" si="29"/>
        <v>976.42784318082204</v>
      </c>
      <c r="X53" s="5">
        <f t="shared" si="29"/>
        <v>976.42784318082204</v>
      </c>
      <c r="Y53" s="5">
        <f t="shared" si="29"/>
        <v>976.42784318082204</v>
      </c>
      <c r="Z53" s="5">
        <f t="shared" si="29"/>
        <v>976.42784318082204</v>
      </c>
      <c r="AA53" s="5">
        <f t="shared" si="29"/>
        <v>976.42784318082204</v>
      </c>
      <c r="AB53" s="5">
        <f t="shared" si="29"/>
        <v>976.42784318082204</v>
      </c>
      <c r="AC53" s="5">
        <f t="shared" si="29"/>
        <v>976.42784318082204</v>
      </c>
    </row>
    <row r="54" spans="1:29" x14ac:dyDescent="0.25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 t="shared" ref="S54:AC54" si="30">$D$32</f>
        <v>42.1</v>
      </c>
      <c r="T54" s="4">
        <f t="shared" si="30"/>
        <v>42.1</v>
      </c>
      <c r="U54" s="4">
        <f t="shared" si="30"/>
        <v>42.1</v>
      </c>
      <c r="V54" s="4">
        <f t="shared" si="30"/>
        <v>42.1</v>
      </c>
      <c r="W54" s="4">
        <f t="shared" si="30"/>
        <v>42.1</v>
      </c>
      <c r="X54" s="4">
        <f t="shared" si="30"/>
        <v>42.1</v>
      </c>
      <c r="Y54" s="4">
        <f t="shared" si="30"/>
        <v>42.1</v>
      </c>
      <c r="Z54" s="4">
        <f t="shared" si="30"/>
        <v>42.1</v>
      </c>
      <c r="AA54" s="4">
        <f t="shared" si="30"/>
        <v>42.1</v>
      </c>
      <c r="AB54" s="4">
        <f t="shared" si="30"/>
        <v>42.1</v>
      </c>
      <c r="AC54" s="4">
        <f t="shared" si="30"/>
        <v>42.1</v>
      </c>
    </row>
    <row r="55" spans="1:29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 t="shared" ref="S55:AC55" si="31">INDEX($AD$4:$AF$7, MATCH(S11,$AD$4:$AD$7,0), 2)</f>
        <v>1100</v>
      </c>
      <c r="T55">
        <f t="shared" si="31"/>
        <v>1100</v>
      </c>
      <c r="U55">
        <f t="shared" si="31"/>
        <v>990</v>
      </c>
      <c r="V55">
        <f t="shared" si="31"/>
        <v>880</v>
      </c>
      <c r="W55">
        <f t="shared" si="31"/>
        <v>770</v>
      </c>
      <c r="X55">
        <f t="shared" si="31"/>
        <v>1100</v>
      </c>
      <c r="Y55">
        <f t="shared" si="31"/>
        <v>1100</v>
      </c>
      <c r="Z55">
        <f t="shared" si="31"/>
        <v>1100</v>
      </c>
      <c r="AA55">
        <f t="shared" si="31"/>
        <v>770</v>
      </c>
      <c r="AB55">
        <f t="shared" si="31"/>
        <v>1100</v>
      </c>
      <c r="AC55">
        <f t="shared" si="31"/>
        <v>1100</v>
      </c>
    </row>
    <row r="56" spans="1:29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 t="shared" ref="S56:AC56" si="32">INDEX($AD$4:$AF$7, MATCH(S11,$AD$4:$AD$7,0), 3)</f>
        <v>15</v>
      </c>
      <c r="T56">
        <f t="shared" si="32"/>
        <v>15</v>
      </c>
      <c r="U56">
        <f t="shared" si="32"/>
        <v>15</v>
      </c>
      <c r="V56">
        <f t="shared" si="32"/>
        <v>15</v>
      </c>
      <c r="W56">
        <f t="shared" si="32"/>
        <v>15</v>
      </c>
      <c r="X56">
        <f t="shared" si="32"/>
        <v>15</v>
      </c>
      <c r="Y56">
        <f t="shared" si="32"/>
        <v>15</v>
      </c>
      <c r="Z56">
        <f t="shared" si="32"/>
        <v>15</v>
      </c>
      <c r="AA56">
        <f t="shared" si="32"/>
        <v>15</v>
      </c>
      <c r="AB56">
        <f t="shared" si="32"/>
        <v>15</v>
      </c>
      <c r="AC56">
        <f t="shared" si="32"/>
        <v>15</v>
      </c>
    </row>
    <row r="57" spans="1:29" x14ac:dyDescent="0.25">
      <c r="B57" s="12"/>
      <c r="Q57" t="s">
        <v>203</v>
      </c>
      <c r="R57" t="s">
        <v>202</v>
      </c>
      <c r="S57">
        <f t="shared" ref="S57:AC57" si="33">INDEX($AG$4:$AI$7, MATCH(S12,$AG$4:$AG$7,0), 2)</f>
        <v>800</v>
      </c>
      <c r="T57">
        <f t="shared" si="33"/>
        <v>800</v>
      </c>
      <c r="U57">
        <f t="shared" si="33"/>
        <v>800</v>
      </c>
      <c r="V57">
        <f t="shared" si="33"/>
        <v>800</v>
      </c>
      <c r="W57">
        <f t="shared" si="33"/>
        <v>800</v>
      </c>
      <c r="X57">
        <f t="shared" si="33"/>
        <v>720</v>
      </c>
      <c r="Y57">
        <f t="shared" si="33"/>
        <v>640</v>
      </c>
      <c r="Z57">
        <f t="shared" si="33"/>
        <v>560</v>
      </c>
      <c r="AA57">
        <f t="shared" si="33"/>
        <v>560</v>
      </c>
      <c r="AB57">
        <f t="shared" si="33"/>
        <v>800</v>
      </c>
      <c r="AC57">
        <f t="shared" si="33"/>
        <v>800</v>
      </c>
    </row>
    <row r="58" spans="1:29" x14ac:dyDescent="0.25">
      <c r="B58" s="12"/>
      <c r="Q58" t="s">
        <v>204</v>
      </c>
      <c r="R58" t="s">
        <v>202</v>
      </c>
      <c r="S58">
        <f t="shared" ref="S58:AC58" si="34">INDEX($AG$4:$AI$7, MATCH(S12,$AG$4:$AG$7,0), 3)</f>
        <v>10</v>
      </c>
      <c r="T58">
        <f t="shared" si="34"/>
        <v>10</v>
      </c>
      <c r="U58">
        <f t="shared" si="34"/>
        <v>10</v>
      </c>
      <c r="V58">
        <f t="shared" si="34"/>
        <v>10</v>
      </c>
      <c r="W58">
        <f t="shared" si="34"/>
        <v>10</v>
      </c>
      <c r="X58">
        <f t="shared" si="34"/>
        <v>10</v>
      </c>
      <c r="Y58">
        <f t="shared" si="34"/>
        <v>10</v>
      </c>
      <c r="Z58">
        <f t="shared" si="34"/>
        <v>10</v>
      </c>
      <c r="AA58">
        <f t="shared" si="34"/>
        <v>10</v>
      </c>
      <c r="AB58">
        <f t="shared" si="34"/>
        <v>10</v>
      </c>
      <c r="AC58">
        <f t="shared" si="34"/>
        <v>10</v>
      </c>
    </row>
    <row r="59" spans="1:29" x14ac:dyDescent="0.25">
      <c r="A59" s="7" t="s">
        <v>149</v>
      </c>
      <c r="Q59" t="s">
        <v>203</v>
      </c>
      <c r="R59" t="s">
        <v>225</v>
      </c>
      <c r="S59">
        <f t="shared" ref="S59:AC59" si="35">INDEX($AJ$4:$AL$7, MATCH(S13,$AJ$4:$AJ$7,0), 2)</f>
        <v>2800</v>
      </c>
      <c r="T59">
        <f t="shared" si="35"/>
        <v>2800</v>
      </c>
      <c r="U59">
        <f t="shared" si="35"/>
        <v>2800</v>
      </c>
      <c r="V59">
        <f t="shared" si="35"/>
        <v>2800</v>
      </c>
      <c r="W59">
        <f t="shared" si="35"/>
        <v>2800</v>
      </c>
      <c r="X59">
        <f t="shared" si="35"/>
        <v>2800</v>
      </c>
      <c r="Y59">
        <f t="shared" si="35"/>
        <v>2800</v>
      </c>
      <c r="Z59">
        <f t="shared" si="35"/>
        <v>2800</v>
      </c>
      <c r="AA59">
        <f t="shared" si="35"/>
        <v>2800</v>
      </c>
      <c r="AB59">
        <f t="shared" si="35"/>
        <v>2100</v>
      </c>
      <c r="AC59">
        <f t="shared" si="35"/>
        <v>1400</v>
      </c>
    </row>
    <row r="60" spans="1:29" x14ac:dyDescent="0.25">
      <c r="A60" t="s">
        <v>147</v>
      </c>
      <c r="Q60" t="s">
        <v>204</v>
      </c>
      <c r="R60" t="s">
        <v>225</v>
      </c>
      <c r="S60">
        <f t="shared" ref="S60:AC60" si="36">INDEX($AJ$4:$AL$7, MATCH(S13,$AJ$4:$AJ$7,0), 3)</f>
        <v>24</v>
      </c>
      <c r="T60">
        <f t="shared" si="36"/>
        <v>24</v>
      </c>
      <c r="U60">
        <f t="shared" si="36"/>
        <v>24</v>
      </c>
      <c r="V60">
        <f t="shared" si="36"/>
        <v>24</v>
      </c>
      <c r="W60">
        <f t="shared" si="36"/>
        <v>24</v>
      </c>
      <c r="X60">
        <f t="shared" si="36"/>
        <v>24</v>
      </c>
      <c r="Y60">
        <f t="shared" si="36"/>
        <v>24</v>
      </c>
      <c r="Z60">
        <f t="shared" si="36"/>
        <v>24</v>
      </c>
      <c r="AA60">
        <f t="shared" si="36"/>
        <v>24</v>
      </c>
      <c r="AB60">
        <f t="shared" si="36"/>
        <v>18</v>
      </c>
      <c r="AC60">
        <f t="shared" si="36"/>
        <v>12</v>
      </c>
    </row>
    <row r="61" spans="1:29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9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9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  <row r="66" spans="1:3" x14ac:dyDescent="0.25">
      <c r="A66" s="7" t="s">
        <v>431</v>
      </c>
    </row>
    <row r="67" spans="1:3" x14ac:dyDescent="0.25">
      <c r="B67" t="s">
        <v>159</v>
      </c>
      <c r="C67" t="s">
        <v>160</v>
      </c>
    </row>
    <row r="68" spans="1:3" x14ac:dyDescent="0.25">
      <c r="A68" t="s">
        <v>432</v>
      </c>
      <c r="B68">
        <v>1100</v>
      </c>
      <c r="C68">
        <v>800</v>
      </c>
    </row>
    <row r="69" spans="1:3" x14ac:dyDescent="0.25">
      <c r="A69" t="s">
        <v>433</v>
      </c>
      <c r="B69">
        <v>15</v>
      </c>
      <c r="C69">
        <v>10</v>
      </c>
    </row>
    <row r="70" spans="1:3" x14ac:dyDescent="0.25">
      <c r="A70" t="s">
        <v>435</v>
      </c>
      <c r="B70" s="1">
        <v>0.28000000000000003</v>
      </c>
      <c r="C70" s="1">
        <v>0.2</v>
      </c>
    </row>
    <row r="71" spans="1:3" x14ac:dyDescent="0.25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5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5">
      <c r="A73" t="s">
        <v>434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defaultColWidth="8.85546875" defaultRowHeight="15" x14ac:dyDescent="0.25"/>
  <cols>
    <col min="1" max="1" width="11.85546875" bestFit="1" customWidth="1"/>
  </cols>
  <sheetData>
    <row r="1" spans="1:6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curves'!W9</f>
        <v>coallcW30lc</v>
      </c>
      <c r="E1" t="str">
        <f>'Screening curves'!Z9</f>
        <v>coallcS30lc</v>
      </c>
      <c r="F1" t="str">
        <f>'Screening curves'!AA9</f>
        <v>coallcW30lcS30lc</v>
      </c>
    </row>
    <row r="2" spans="1:6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curves'!W34</f>
        <v>3.3984353954038309E-2</v>
      </c>
      <c r="E2" s="2">
        <f>'Screening curves'!Z34</f>
        <v>3.3984353954038309E-2</v>
      </c>
      <c r="F2" s="2">
        <f>'Screening curves'!AA34</f>
        <v>3.3984353954038309E-2</v>
      </c>
    </row>
    <row r="3" spans="1:6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0.2050960069674089</v>
      </c>
      <c r="D3" s="2">
        <f>'Screening curves'!W35</f>
        <v>0.10523612453151106</v>
      </c>
      <c r="E3" s="2">
        <f>'Screening curves'!Z35</f>
        <v>0.10523612453151106</v>
      </c>
      <c r="F3" s="2">
        <f>'Screening curves'!AA35</f>
        <v>0.10523612453151106</v>
      </c>
    </row>
    <row r="4" spans="1:6" x14ac:dyDescent="0.25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curves'!W36</f>
        <v>1</v>
      </c>
      <c r="E4">
        <f>'Screening curves'!Z36</f>
        <v>1</v>
      </c>
      <c r="F4">
        <f>'Screening curves'!AA36</f>
        <v>1</v>
      </c>
    </row>
    <row r="5" spans="1:6" x14ac:dyDescent="0.25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curves'!W18</f>
        <v>10</v>
      </c>
      <c r="E5" s="5">
        <f>'Screening curves'!Z18</f>
        <v>10</v>
      </c>
      <c r="F5">
        <f>'Screening curves'!AA18</f>
        <v>10</v>
      </c>
    </row>
    <row r="6" spans="1:6" x14ac:dyDescent="0.25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curves'!W17</f>
        <v>678.26769230769241</v>
      </c>
      <c r="E6" s="5">
        <f>'Screening curves'!Z17</f>
        <v>678.26769230769241</v>
      </c>
      <c r="F6" s="5">
        <f>'Screening curves'!AA17</f>
        <v>678.26769230769241</v>
      </c>
    </row>
    <row r="7" spans="1:6" x14ac:dyDescent="0.25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curves'!W23</f>
        <v>775.16307692307703</v>
      </c>
      <c r="E7" s="5">
        <f>'Screening curves'!Z23</f>
        <v>775.16307692307703</v>
      </c>
      <c r="F7" s="5">
        <f>'Screening curves'!AA23</f>
        <v>775.16307692307703</v>
      </c>
    </row>
    <row r="8" spans="1:6" x14ac:dyDescent="0.25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1230</v>
      </c>
      <c r="D8" s="5">
        <f>'Screening curves'!W28</f>
        <v>976.42784318082204</v>
      </c>
      <c r="E8" s="5">
        <f>'Screening curves'!Z28</f>
        <v>976.42784318082204</v>
      </c>
      <c r="F8" s="5">
        <f>'Screening curves'!AA28</f>
        <v>976.42784318082204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ColWidth="8.85546875"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 x14ac:dyDescent="0.25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 x14ac:dyDescent="0.25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 x14ac:dyDescent="0.25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 x14ac:dyDescent="0.25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147.64693618141871</v>
      </c>
    </row>
    <row r="7" spans="1:4" x14ac:dyDescent="0.25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549.75707732325202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7" sqref="D7"/>
    </sheetView>
  </sheetViews>
  <sheetFormatPr defaultColWidth="8.85546875" defaultRowHeight="15" x14ac:dyDescent="0.25"/>
  <cols>
    <col min="1" max="1" width="9.42578125" bestFit="1" customWidth="1"/>
    <col min="2" max="2" width="10.85546875" bestFit="1" customWidth="1"/>
    <col min="3" max="3" width="10.140625" customWidth="1"/>
    <col min="5" max="6" width="12" bestFit="1" customWidth="1"/>
    <col min="7" max="7" width="15.85546875" bestFit="1" customWidth="1"/>
    <col min="8" max="10" width="10.42578125" bestFit="1" customWidth="1"/>
    <col min="11" max="11" width="15.85546875" bestFit="1" customWidth="1"/>
    <col min="12" max="12" width="10.42578125" bestFit="1" customWidth="1"/>
    <col min="13" max="13" width="13.140625" customWidth="1"/>
  </cols>
  <sheetData>
    <row r="1" spans="1:13" x14ac:dyDescent="0.25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</row>
    <row r="2" spans="1:13" x14ac:dyDescent="0.25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  <c r="H2" s="5">
        <f>'Screening curves'!X49</f>
        <v>678.26769230769241</v>
      </c>
      <c r="I2" s="5">
        <f>'Screening curves'!Y49</f>
        <v>678.26769230769241</v>
      </c>
      <c r="J2" s="5">
        <f>'Screening curves'!Z49</f>
        <v>678.26769230769241</v>
      </c>
      <c r="K2" s="5">
        <f>'Screening curves'!AA49</f>
        <v>678.26769230769241</v>
      </c>
      <c r="L2" s="5">
        <f>'Screening curves'!AB49</f>
        <v>678.26769230769241</v>
      </c>
      <c r="M2" s="5">
        <f>'Screening curves'!AC49</f>
        <v>678.26769230769241</v>
      </c>
    </row>
    <row r="3" spans="1:13" x14ac:dyDescent="0.25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  <c r="H3" s="5">
        <f>'Screening curves'!X50</f>
        <v>6.8</v>
      </c>
      <c r="I3" s="5">
        <f>'Screening curves'!Y50</f>
        <v>6.8</v>
      </c>
      <c r="J3" s="5">
        <f>'Screening curves'!Z50</f>
        <v>6.8</v>
      </c>
      <c r="K3" s="5">
        <f>'Screening curves'!AA50</f>
        <v>6.8</v>
      </c>
      <c r="L3" s="5">
        <f>'Screening curves'!AB50</f>
        <v>6.8</v>
      </c>
      <c r="M3" s="5">
        <f>'Screening curves'!AC50</f>
        <v>6.8</v>
      </c>
    </row>
    <row r="4" spans="1:13" x14ac:dyDescent="0.25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  <c r="H4" s="5">
        <f>'Screening curves'!X51</f>
        <v>775.16307692307703</v>
      </c>
      <c r="I4" s="5">
        <f>'Screening curves'!Y51</f>
        <v>775.16307692307703</v>
      </c>
      <c r="J4" s="5">
        <f>'Screening curves'!Z51</f>
        <v>775.16307692307703</v>
      </c>
      <c r="K4" s="5">
        <f>'Screening curves'!AA51</f>
        <v>775.16307692307703</v>
      </c>
      <c r="L4" s="5">
        <f>'Screening curves'!AB51</f>
        <v>775.16307692307703</v>
      </c>
      <c r="M4" s="5">
        <f>'Screening curves'!AC51</f>
        <v>775.16307692307703</v>
      </c>
    </row>
    <row r="5" spans="1:13" x14ac:dyDescent="0.25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  <c r="H5" s="5">
        <f>'Screening curves'!X52</f>
        <v>11</v>
      </c>
      <c r="I5" s="5">
        <f>'Screening curves'!Y52</f>
        <v>11</v>
      </c>
      <c r="J5" s="5">
        <f>'Screening curves'!Z52</f>
        <v>11</v>
      </c>
      <c r="K5" s="5">
        <f>'Screening curves'!AA52</f>
        <v>11</v>
      </c>
      <c r="L5" s="5">
        <f>'Screening curves'!AB52</f>
        <v>11</v>
      </c>
      <c r="M5" s="5">
        <f>'Screening curves'!AC52</f>
        <v>11</v>
      </c>
    </row>
    <row r="6" spans="1:13" x14ac:dyDescent="0.25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1230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  <c r="H6" s="5">
        <f>'Screening curves'!X53</f>
        <v>976.42784318082204</v>
      </c>
      <c r="I6" s="5">
        <f>'Screening curves'!Y53</f>
        <v>976.42784318082204</v>
      </c>
      <c r="J6" s="5">
        <f>'Screening curves'!Z53</f>
        <v>976.42784318082204</v>
      </c>
      <c r="K6" s="5">
        <f>'Screening curves'!AA53</f>
        <v>976.42784318082204</v>
      </c>
      <c r="L6" s="5">
        <f>'Screening curves'!AB53</f>
        <v>976.42784318082204</v>
      </c>
      <c r="M6" s="5">
        <f>'Screening curves'!AC53</f>
        <v>976.42784318082204</v>
      </c>
    </row>
    <row r="7" spans="1:13" x14ac:dyDescent="0.25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  <c r="H7" s="5">
        <f>'Screening curves'!X54</f>
        <v>42.1</v>
      </c>
      <c r="I7" s="5">
        <f>'Screening curves'!Y54</f>
        <v>42.1</v>
      </c>
      <c r="J7" s="5">
        <f>'Screening curves'!Z54</f>
        <v>42.1</v>
      </c>
      <c r="K7" s="5">
        <f>'Screening curves'!AA54</f>
        <v>42.1</v>
      </c>
      <c r="L7" s="5">
        <f>'Screening curves'!AB54</f>
        <v>42.1</v>
      </c>
      <c r="M7" s="5">
        <f>'Screening curves'!AC54</f>
        <v>42.1</v>
      </c>
    </row>
    <row r="8" spans="1:13" x14ac:dyDescent="0.25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990</v>
      </c>
      <c r="F8" s="5">
        <f>'Screening curves'!V55</f>
        <v>880</v>
      </c>
      <c r="G8" s="5">
        <f>'Screening curves'!W55</f>
        <v>770</v>
      </c>
      <c r="H8" s="5">
        <f>'Screening curves'!X55</f>
        <v>1100</v>
      </c>
      <c r="I8" s="5">
        <f>'Screening curves'!Y55</f>
        <v>1100</v>
      </c>
      <c r="J8" s="5">
        <f>'Screening curves'!Z55</f>
        <v>1100</v>
      </c>
      <c r="K8" s="5">
        <f>'Screening curves'!AA55</f>
        <v>770</v>
      </c>
      <c r="L8" s="5">
        <f>'Screening curves'!AB55</f>
        <v>1100</v>
      </c>
      <c r="M8" s="5">
        <f>'Screening curves'!AC55</f>
        <v>1100</v>
      </c>
    </row>
    <row r="9" spans="1:13" x14ac:dyDescent="0.25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  <c r="H9" s="5">
        <f>'Screening curves'!X56</f>
        <v>15</v>
      </c>
      <c r="I9" s="5">
        <f>'Screening curves'!Y56</f>
        <v>15</v>
      </c>
      <c r="J9" s="5">
        <f>'Screening curves'!Z56</f>
        <v>15</v>
      </c>
      <c r="K9" s="5">
        <f>'Screening curves'!AA56</f>
        <v>15</v>
      </c>
      <c r="L9" s="5">
        <f>'Screening curves'!AB56</f>
        <v>15</v>
      </c>
      <c r="M9" s="5">
        <f>'Screening curves'!AC56</f>
        <v>15</v>
      </c>
    </row>
    <row r="10" spans="1:13" x14ac:dyDescent="0.25">
      <c r="A10" t="str">
        <f>'Screening curves'!Q57</f>
        <v>capital</v>
      </c>
      <c r="B10" t="str">
        <f>'Screening curves'!R57</f>
        <v>solarPV</v>
      </c>
      <c r="C10" s="5">
        <f>'Screening curves'!S57</f>
        <v>800</v>
      </c>
      <c r="D10" s="5">
        <f>'Screening curves'!T57</f>
        <v>800</v>
      </c>
      <c r="E10" s="5">
        <f>'Screening curves'!U57</f>
        <v>800</v>
      </c>
      <c r="F10" s="5">
        <f>'Screening curves'!V57</f>
        <v>800</v>
      </c>
      <c r="G10" s="5">
        <f>'Screening curves'!W57</f>
        <v>800</v>
      </c>
      <c r="H10" s="5">
        <f>'Screening curves'!X57</f>
        <v>720</v>
      </c>
      <c r="I10" s="5">
        <f>'Screening curves'!Y57</f>
        <v>640</v>
      </c>
      <c r="J10" s="5">
        <f>'Screening curves'!Z57</f>
        <v>560</v>
      </c>
      <c r="K10" s="5">
        <f>'Screening curves'!AA57</f>
        <v>560</v>
      </c>
      <c r="L10" s="5">
        <f>'Screening curves'!AB57</f>
        <v>800</v>
      </c>
      <c r="M10" s="5">
        <f>'Screening curves'!AC57</f>
        <v>800</v>
      </c>
    </row>
    <row r="11" spans="1:13" x14ac:dyDescent="0.25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  <c r="H11" s="5">
        <f>'Screening curves'!X58</f>
        <v>10</v>
      </c>
      <c r="I11" s="5">
        <f>'Screening curves'!Y58</f>
        <v>10</v>
      </c>
      <c r="J11" s="5">
        <f>'Screening curves'!Z58</f>
        <v>10</v>
      </c>
      <c r="K11" s="5">
        <f>'Screening curves'!AA58</f>
        <v>10</v>
      </c>
      <c r="L11" s="5">
        <f>'Screening curves'!AB58</f>
        <v>10</v>
      </c>
      <c r="M11" s="5">
        <f>'Screening curves'!AC58</f>
        <v>10</v>
      </c>
    </row>
    <row r="12" spans="1:13" x14ac:dyDescent="0.25">
      <c r="A12" t="str">
        <f>'Screening curves'!Q59</f>
        <v>capital</v>
      </c>
      <c r="B12" t="str">
        <f>'Screening curves'!R59</f>
        <v>battery</v>
      </c>
      <c r="C12" s="5">
        <f>'Screening curves'!S59</f>
        <v>2800</v>
      </c>
      <c r="D12" s="5">
        <f>'Screening curves'!T59</f>
        <v>2800</v>
      </c>
      <c r="E12" s="5">
        <f>'Screening curves'!U59</f>
        <v>2800</v>
      </c>
      <c r="F12" s="5">
        <f>'Screening curves'!V59</f>
        <v>2800</v>
      </c>
      <c r="G12" s="5">
        <f>'Screening curves'!W59</f>
        <v>2800</v>
      </c>
      <c r="H12" s="5">
        <f>'Screening curves'!X59</f>
        <v>2800</v>
      </c>
      <c r="I12" s="5">
        <f>'Screening curves'!Y59</f>
        <v>2800</v>
      </c>
      <c r="J12" s="5">
        <f>'Screening curves'!Z59</f>
        <v>2800</v>
      </c>
      <c r="K12" s="5">
        <f>'Screening curves'!AA59</f>
        <v>2800</v>
      </c>
      <c r="L12" s="5">
        <f>'Screening curves'!AB59</f>
        <v>2100</v>
      </c>
      <c r="M12" s="5">
        <f>'Screening curves'!AC59</f>
        <v>1400</v>
      </c>
    </row>
    <row r="13" spans="1:13" x14ac:dyDescent="0.25">
      <c r="A13" t="str">
        <f>'Screening curves'!Q60</f>
        <v>om</v>
      </c>
      <c r="B13" t="str">
        <f>'Screening curves'!R60</f>
        <v>battery</v>
      </c>
      <c r="C13" s="5">
        <f>'Screening curves'!S60</f>
        <v>24</v>
      </c>
      <c r="D13" s="5">
        <f>'Screening curves'!T60</f>
        <v>24</v>
      </c>
      <c r="E13" s="5">
        <f>'Screening curves'!U60</f>
        <v>24</v>
      </c>
      <c r="F13" s="5">
        <f>'Screening curves'!V60</f>
        <v>24</v>
      </c>
      <c r="G13" s="5">
        <f>'Screening curves'!W60</f>
        <v>24</v>
      </c>
      <c r="H13" s="5">
        <f>'Screening curves'!X60</f>
        <v>24</v>
      </c>
      <c r="I13" s="5">
        <f>'Screening curves'!Y60</f>
        <v>24</v>
      </c>
      <c r="J13" s="5">
        <f>'Screening curves'!Z60</f>
        <v>24</v>
      </c>
      <c r="K13" s="5">
        <f>'Screening curves'!AA60</f>
        <v>24</v>
      </c>
      <c r="L13" s="5">
        <f>'Screening curves'!AB60</f>
        <v>18</v>
      </c>
      <c r="M13" s="5">
        <f>'Screening curves'!AC60</f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19" sqref="D19"/>
    </sheetView>
  </sheetViews>
  <sheetFormatPr defaultColWidth="8.85546875" defaultRowHeight="15" x14ac:dyDescent="0.25"/>
  <cols>
    <col min="1" max="1" width="25.42578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5">
      <c r="A18" t="s">
        <v>437</v>
      </c>
      <c r="B18" s="5"/>
      <c r="C18" s="5"/>
      <c r="D18" s="15">
        <v>1077</v>
      </c>
      <c r="E18" s="5"/>
      <c r="H18" t="s">
        <v>436</v>
      </c>
    </row>
    <row r="19" spans="1:8" x14ac:dyDescent="0.25">
      <c r="A19" t="s">
        <v>437</v>
      </c>
      <c r="B19" s="5"/>
      <c r="C19" s="5"/>
      <c r="D19" s="14">
        <v>1230</v>
      </c>
      <c r="E19" s="5"/>
      <c r="H19" t="s">
        <v>443</v>
      </c>
    </row>
    <row r="21" spans="1:8" x14ac:dyDescent="0.25">
      <c r="A21" s="7" t="s">
        <v>65</v>
      </c>
    </row>
    <row r="22" spans="1:8" x14ac:dyDescent="0.25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5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5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5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5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5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5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5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5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5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5">
      <c r="A33" s="7" t="s">
        <v>70</v>
      </c>
    </row>
    <row r="34" spans="1:8" x14ac:dyDescent="0.25">
      <c r="A34" t="s">
        <v>71</v>
      </c>
      <c r="E34">
        <v>2375</v>
      </c>
      <c r="H34" t="s">
        <v>69</v>
      </c>
    </row>
    <row r="35" spans="1:8" x14ac:dyDescent="0.25">
      <c r="A35" t="s">
        <v>71</v>
      </c>
      <c r="B35">
        <v>3065</v>
      </c>
      <c r="C35">
        <v>2071</v>
      </c>
      <c r="H35" t="s">
        <v>94</v>
      </c>
    </row>
    <row r="36" spans="1:8" x14ac:dyDescent="0.25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5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5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5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5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5">
      <c r="A42" s="7" t="s">
        <v>134</v>
      </c>
    </row>
    <row r="45" spans="1:8" x14ac:dyDescent="0.25">
      <c r="A45" s="7" t="s">
        <v>135</v>
      </c>
    </row>
    <row r="46" spans="1:8" x14ac:dyDescent="0.25">
      <c r="A46" t="s">
        <v>136</v>
      </c>
      <c r="B46" s="8">
        <v>6.25E-2</v>
      </c>
      <c r="C46" t="s">
        <v>137</v>
      </c>
    </row>
    <row r="47" spans="1:8" x14ac:dyDescent="0.25">
      <c r="B47" s="8">
        <v>0.108</v>
      </c>
      <c r="C47" t="s">
        <v>138</v>
      </c>
    </row>
    <row r="49" spans="1:4" x14ac:dyDescent="0.25">
      <c r="A49" s="7" t="s">
        <v>140</v>
      </c>
    </row>
    <row r="50" spans="1:4" x14ac:dyDescent="0.25">
      <c r="A50" t="s">
        <v>141</v>
      </c>
      <c r="B50">
        <v>10.7</v>
      </c>
      <c r="C50" t="s">
        <v>143</v>
      </c>
    </row>
    <row r="51" spans="1:4" x14ac:dyDescent="0.25">
      <c r="B51">
        <v>8.5</v>
      </c>
      <c r="C51" t="s">
        <v>144</v>
      </c>
    </row>
    <row r="52" spans="1:4" x14ac:dyDescent="0.25">
      <c r="B52" s="7">
        <v>10</v>
      </c>
      <c r="C52" t="s">
        <v>142</v>
      </c>
    </row>
    <row r="53" spans="1:4" x14ac:dyDescent="0.25">
      <c r="B53">
        <v>5.5</v>
      </c>
      <c r="C53" t="s">
        <v>145</v>
      </c>
    </row>
    <row r="54" spans="1:4" x14ac:dyDescent="0.25">
      <c r="C54" t="s">
        <v>164</v>
      </c>
    </row>
    <row r="56" spans="1:4" x14ac:dyDescent="0.25">
      <c r="A56" s="7" t="s">
        <v>146</v>
      </c>
    </row>
    <row r="59" spans="1:4" x14ac:dyDescent="0.25">
      <c r="A59" s="7" t="s">
        <v>150</v>
      </c>
      <c r="B59" t="s">
        <v>159</v>
      </c>
      <c r="C59" t="s">
        <v>160</v>
      </c>
    </row>
    <row r="60" spans="1:4" x14ac:dyDescent="0.25">
      <c r="A60" t="s">
        <v>151</v>
      </c>
      <c r="B60">
        <f>'Screening curves'!E1</f>
        <v>65</v>
      </c>
      <c r="C60">
        <f>B60</f>
        <v>65</v>
      </c>
    </row>
    <row r="61" spans="1:4" x14ac:dyDescent="0.25">
      <c r="A61" t="s">
        <v>152</v>
      </c>
      <c r="B61" s="17">
        <v>1100</v>
      </c>
      <c r="C61" s="17">
        <v>800</v>
      </c>
      <c r="D61" s="17"/>
    </row>
    <row r="62" spans="1:4" x14ac:dyDescent="0.25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.75" x14ac:dyDescent="0.25">
      <c r="A63" t="s">
        <v>17</v>
      </c>
      <c r="B63" s="18">
        <v>7.0000000000000007E-2</v>
      </c>
      <c r="C63" s="18">
        <v>7.0000000000000007E-2</v>
      </c>
      <c r="D63" s="18"/>
    </row>
    <row r="64" spans="1:4" ht="15.75" x14ac:dyDescent="0.25">
      <c r="A64" t="s">
        <v>156</v>
      </c>
      <c r="B64" s="19">
        <v>25</v>
      </c>
      <c r="C64" s="19">
        <v>25</v>
      </c>
      <c r="D64" s="19"/>
    </row>
    <row r="65" spans="1:4" ht="15.75" x14ac:dyDescent="0.2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.75" x14ac:dyDescent="0.25">
      <c r="A66" t="s">
        <v>157</v>
      </c>
      <c r="B66" s="16">
        <v>15</v>
      </c>
      <c r="C66" s="16">
        <v>10</v>
      </c>
      <c r="D66" s="16"/>
    </row>
    <row r="67" spans="1:4" ht="15.75" x14ac:dyDescent="0.25">
      <c r="A67" t="s">
        <v>158</v>
      </c>
      <c r="B67" s="16">
        <v>0</v>
      </c>
      <c r="C67" s="16">
        <v>0</v>
      </c>
      <c r="D67" s="16"/>
    </row>
    <row r="68" spans="1:4" x14ac:dyDescent="0.25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5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5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ColWidth="8.85546875"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121</v>
      </c>
    </row>
    <row r="21" spans="1:12" x14ac:dyDescent="0.25">
      <c r="A21" t="s">
        <v>109</v>
      </c>
    </row>
    <row r="22" spans="1:12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F17" sqref="F17"/>
    </sheetView>
  </sheetViews>
  <sheetFormatPr defaultColWidth="8.85546875" defaultRowHeight="15" x14ac:dyDescent="0.25"/>
  <cols>
    <col min="1" max="1" width="27.28515625" customWidth="1"/>
    <col min="2" max="2" width="20.42578125" bestFit="1" customWidth="1"/>
    <col min="3" max="3" width="18.28515625" bestFit="1" customWidth="1"/>
    <col min="4" max="4" width="30.42578125" bestFit="1" customWidth="1"/>
    <col min="5" max="5" width="22.42578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409</v>
      </c>
    </row>
    <row r="4" spans="1:9" x14ac:dyDescent="0.25">
      <c r="A4" s="7" t="s">
        <v>408</v>
      </c>
      <c r="B4" s="7" t="s">
        <v>407</v>
      </c>
      <c r="C4" s="7" t="s">
        <v>406</v>
      </c>
      <c r="D4" s="7" t="s">
        <v>405</v>
      </c>
      <c r="E4" s="7" t="s">
        <v>404</v>
      </c>
      <c r="F4" s="7" t="s">
        <v>403</v>
      </c>
      <c r="G4" s="7" t="s">
        <v>402</v>
      </c>
      <c r="H4" s="7" t="s">
        <v>401</v>
      </c>
      <c r="I4" s="7" t="s">
        <v>229</v>
      </c>
    </row>
    <row r="5" spans="1:9" x14ac:dyDescent="0.25">
      <c r="A5" t="s">
        <v>400</v>
      </c>
      <c r="B5">
        <v>0</v>
      </c>
      <c r="C5" t="s">
        <v>399</v>
      </c>
    </row>
    <row r="6" spans="1:9" x14ac:dyDescent="0.25">
      <c r="B6">
        <v>200</v>
      </c>
      <c r="C6" t="s">
        <v>398</v>
      </c>
    </row>
    <row r="7" spans="1:9" x14ac:dyDescent="0.25">
      <c r="B7">
        <v>200</v>
      </c>
      <c r="C7" t="s">
        <v>397</v>
      </c>
    </row>
    <row r="8" spans="1:9" x14ac:dyDescent="0.25">
      <c r="B8">
        <v>200</v>
      </c>
      <c r="C8" t="s">
        <v>396</v>
      </c>
    </row>
    <row r="9" spans="1:9" x14ac:dyDescent="0.25">
      <c r="B9">
        <v>200</v>
      </c>
      <c r="C9" t="s">
        <v>395</v>
      </c>
    </row>
    <row r="10" spans="1:9" x14ac:dyDescent="0.25">
      <c r="B10">
        <v>200</v>
      </c>
      <c r="C10" t="s">
        <v>394</v>
      </c>
    </row>
    <row r="11" spans="1:9" x14ac:dyDescent="0.25">
      <c r="B11">
        <v>300</v>
      </c>
      <c r="C11" t="s">
        <v>398</v>
      </c>
    </row>
    <row r="12" spans="1:9" x14ac:dyDescent="0.25">
      <c r="B12">
        <v>300</v>
      </c>
      <c r="C12" t="s">
        <v>397</v>
      </c>
    </row>
    <row r="13" spans="1:9" x14ac:dyDescent="0.25">
      <c r="B13">
        <v>300</v>
      </c>
      <c r="C13" t="s">
        <v>396</v>
      </c>
    </row>
    <row r="14" spans="1:9" x14ac:dyDescent="0.25">
      <c r="B14">
        <v>300</v>
      </c>
      <c r="C14" t="s">
        <v>395</v>
      </c>
    </row>
    <row r="15" spans="1:9" x14ac:dyDescent="0.25">
      <c r="B15">
        <v>300</v>
      </c>
      <c r="C15" t="s">
        <v>394</v>
      </c>
    </row>
    <row r="16" spans="1:9" x14ac:dyDescent="0.25">
      <c r="B16">
        <v>400</v>
      </c>
      <c r="C16" t="s">
        <v>398</v>
      </c>
    </row>
    <row r="17" spans="1:9" x14ac:dyDescent="0.25">
      <c r="B17">
        <v>400</v>
      </c>
      <c r="C17" t="s">
        <v>397</v>
      </c>
    </row>
    <row r="18" spans="1:9" x14ac:dyDescent="0.25">
      <c r="B18">
        <v>400</v>
      </c>
      <c r="C18" t="s">
        <v>396</v>
      </c>
    </row>
    <row r="19" spans="1:9" x14ac:dyDescent="0.25">
      <c r="B19">
        <v>400</v>
      </c>
      <c r="C19" t="s">
        <v>395</v>
      </c>
    </row>
    <row r="20" spans="1:9" x14ac:dyDescent="0.25">
      <c r="B20">
        <v>400</v>
      </c>
      <c r="C20" t="s">
        <v>394</v>
      </c>
    </row>
    <row r="22" spans="1:9" x14ac:dyDescent="0.25">
      <c r="A22" s="7" t="s">
        <v>393</v>
      </c>
    </row>
    <row r="23" spans="1:9" ht="30" x14ac:dyDescent="0.25">
      <c r="A23" t="s">
        <v>392</v>
      </c>
      <c r="D23" s="13" t="s">
        <v>391</v>
      </c>
    </row>
    <row r="24" spans="1:9" x14ac:dyDescent="0.25">
      <c r="D24" s="7" t="s">
        <v>390</v>
      </c>
      <c r="G24" t="s">
        <v>389</v>
      </c>
    </row>
    <row r="25" spans="1:9" x14ac:dyDescent="0.25">
      <c r="D25" s="7" t="s">
        <v>388</v>
      </c>
      <c r="G25" t="s">
        <v>387</v>
      </c>
      <c r="H25" t="s">
        <v>440</v>
      </c>
      <c r="I25" t="s">
        <v>441</v>
      </c>
    </row>
    <row r="26" spans="1:9" x14ac:dyDescent="0.25">
      <c r="E26" s="7" t="s">
        <v>386</v>
      </c>
      <c r="G26" t="s">
        <v>385</v>
      </c>
      <c r="H26" t="s">
        <v>316</v>
      </c>
    </row>
    <row r="27" spans="1:9" x14ac:dyDescent="0.25">
      <c r="F27" t="s">
        <v>384</v>
      </c>
      <c r="G27" t="s">
        <v>383</v>
      </c>
      <c r="H27" t="s">
        <v>376</v>
      </c>
    </row>
    <row r="28" spans="1:9" x14ac:dyDescent="0.25">
      <c r="F28" t="s">
        <v>382</v>
      </c>
      <c r="G28" t="s">
        <v>381</v>
      </c>
      <c r="H28" t="s">
        <v>376</v>
      </c>
    </row>
    <row r="29" spans="1:9" x14ac:dyDescent="0.25">
      <c r="F29" t="s">
        <v>380</v>
      </c>
      <c r="G29" t="s">
        <v>379</v>
      </c>
      <c r="H29" t="s">
        <v>376</v>
      </c>
    </row>
    <row r="30" spans="1:9" x14ac:dyDescent="0.25">
      <c r="F30" t="s">
        <v>378</v>
      </c>
      <c r="G30" t="s">
        <v>377</v>
      </c>
      <c r="H30" t="s">
        <v>376</v>
      </c>
    </row>
    <row r="31" spans="1:9" x14ac:dyDescent="0.25">
      <c r="D31" s="7" t="s">
        <v>375</v>
      </c>
      <c r="G31" t="s">
        <v>374</v>
      </c>
      <c r="H31" t="s">
        <v>357</v>
      </c>
      <c r="I31" t="s">
        <v>373</v>
      </c>
    </row>
    <row r="32" spans="1:9" x14ac:dyDescent="0.25">
      <c r="D32" s="7" t="s">
        <v>372</v>
      </c>
      <c r="G32" t="s">
        <v>371</v>
      </c>
      <c r="H32" t="s">
        <v>357</v>
      </c>
      <c r="I32" t="s">
        <v>370</v>
      </c>
    </row>
    <row r="33" spans="4:9" x14ac:dyDescent="0.25">
      <c r="D33" s="7" t="s">
        <v>369</v>
      </c>
      <c r="G33" t="s">
        <v>368</v>
      </c>
      <c r="I33" t="s">
        <v>367</v>
      </c>
    </row>
    <row r="34" spans="4:9" x14ac:dyDescent="0.25">
      <c r="D34" s="22" t="s">
        <v>366</v>
      </c>
      <c r="G34" t="s">
        <v>365</v>
      </c>
      <c r="H34" t="s">
        <v>357</v>
      </c>
      <c r="I34" t="s">
        <v>343</v>
      </c>
    </row>
    <row r="35" spans="4:9" x14ac:dyDescent="0.25">
      <c r="D35" s="7" t="s">
        <v>364</v>
      </c>
      <c r="G35" t="s">
        <v>363</v>
      </c>
      <c r="H35" t="s">
        <v>357</v>
      </c>
      <c r="I35" t="s">
        <v>362</v>
      </c>
    </row>
    <row r="36" spans="4:9" x14ac:dyDescent="0.25">
      <c r="D36" s="22" t="s">
        <v>361</v>
      </c>
      <c r="G36" t="s">
        <v>360</v>
      </c>
      <c r="H36" t="s">
        <v>357</v>
      </c>
      <c r="I36" t="s">
        <v>343</v>
      </c>
    </row>
    <row r="37" spans="4:9" x14ac:dyDescent="0.25">
      <c r="D37" s="7" t="s">
        <v>359</v>
      </c>
      <c r="G37" t="s">
        <v>358</v>
      </c>
      <c r="H37" t="s">
        <v>357</v>
      </c>
      <c r="I37" t="s">
        <v>356</v>
      </c>
    </row>
    <row r="38" spans="4:9" x14ac:dyDescent="0.25">
      <c r="D38" t="s">
        <v>355</v>
      </c>
      <c r="I38" t="s">
        <v>353</v>
      </c>
    </row>
    <row r="39" spans="4:9" x14ac:dyDescent="0.25">
      <c r="D39" t="s">
        <v>354</v>
      </c>
      <c r="I39" t="s">
        <v>353</v>
      </c>
    </row>
    <row r="40" spans="4:9" x14ac:dyDescent="0.25">
      <c r="D40" t="s">
        <v>352</v>
      </c>
      <c r="F40" t="s">
        <v>351</v>
      </c>
      <c r="I40" t="s">
        <v>348</v>
      </c>
    </row>
    <row r="41" spans="4:9" x14ac:dyDescent="0.25">
      <c r="D41" t="s">
        <v>350</v>
      </c>
      <c r="F41" t="s">
        <v>349</v>
      </c>
      <c r="I41" t="s">
        <v>348</v>
      </c>
    </row>
    <row r="42" spans="4:9" x14ac:dyDescent="0.25">
      <c r="D42" s="7" t="s">
        <v>347</v>
      </c>
      <c r="G42" t="s">
        <v>346</v>
      </c>
    </row>
    <row r="43" spans="4:9" x14ac:dyDescent="0.25">
      <c r="D43" t="s">
        <v>345</v>
      </c>
      <c r="I43" t="s">
        <v>343</v>
      </c>
    </row>
    <row r="44" spans="4:9" x14ac:dyDescent="0.25">
      <c r="D44" t="s">
        <v>344</v>
      </c>
      <c r="I44" t="s">
        <v>343</v>
      </c>
    </row>
    <row r="45" spans="4:9" x14ac:dyDescent="0.25">
      <c r="D45" t="s">
        <v>342</v>
      </c>
      <c r="G45" t="s">
        <v>341</v>
      </c>
    </row>
    <row r="46" spans="4:9" x14ac:dyDescent="0.25">
      <c r="D46" s="7" t="s">
        <v>340</v>
      </c>
      <c r="G46" t="s">
        <v>339</v>
      </c>
    </row>
    <row r="47" spans="4:9" x14ac:dyDescent="0.25">
      <c r="D47" s="7" t="s">
        <v>338</v>
      </c>
      <c r="G47" t="s">
        <v>244</v>
      </c>
    </row>
    <row r="48" spans="4:9" x14ac:dyDescent="0.25">
      <c r="D48" t="s">
        <v>337</v>
      </c>
      <c r="G48" t="s">
        <v>336</v>
      </c>
    </row>
    <row r="49" spans="4:7" x14ac:dyDescent="0.25">
      <c r="D49" t="s">
        <v>335</v>
      </c>
      <c r="G49" t="s">
        <v>245</v>
      </c>
    </row>
    <row r="54" spans="4:7" x14ac:dyDescent="0.25">
      <c r="D54" t="s">
        <v>334</v>
      </c>
      <c r="E54" t="s">
        <v>333</v>
      </c>
      <c r="F54" t="s">
        <v>316</v>
      </c>
      <c r="G54" t="s">
        <v>332</v>
      </c>
    </row>
    <row r="55" spans="4:7" x14ac:dyDescent="0.25">
      <c r="D55" t="s">
        <v>327</v>
      </c>
      <c r="E55" t="s">
        <v>320</v>
      </c>
      <c r="F55" t="s">
        <v>318</v>
      </c>
      <c r="G55" t="s">
        <v>328</v>
      </c>
    </row>
    <row r="56" spans="4:7" x14ac:dyDescent="0.25">
      <c r="D56" t="s">
        <v>325</v>
      </c>
      <c r="E56" t="s">
        <v>319</v>
      </c>
      <c r="G56" t="s">
        <v>326</v>
      </c>
    </row>
    <row r="57" spans="4:7" x14ac:dyDescent="0.25">
      <c r="D57" t="s">
        <v>324</v>
      </c>
    </row>
    <row r="58" spans="4:7" x14ac:dyDescent="0.25">
      <c r="D58" t="s">
        <v>323</v>
      </c>
    </row>
    <row r="59" spans="4:7" x14ac:dyDescent="0.25">
      <c r="D59" t="s">
        <v>322</v>
      </c>
    </row>
    <row r="60" spans="4:7" x14ac:dyDescent="0.25">
      <c r="D60" t="s">
        <v>321</v>
      </c>
    </row>
    <row r="63" spans="4:7" x14ac:dyDescent="0.25">
      <c r="D63" t="s">
        <v>331</v>
      </c>
      <c r="E63" t="s">
        <v>330</v>
      </c>
      <c r="F63" t="s">
        <v>329</v>
      </c>
    </row>
    <row r="64" spans="4:7" x14ac:dyDescent="0.25">
      <c r="D64" t="s">
        <v>328</v>
      </c>
      <c r="E64" t="s">
        <v>327</v>
      </c>
      <c r="F64" t="s">
        <v>327</v>
      </c>
    </row>
    <row r="65" spans="4:6" x14ac:dyDescent="0.25">
      <c r="D65" t="s">
        <v>326</v>
      </c>
      <c r="E65" t="s">
        <v>325</v>
      </c>
      <c r="F65" t="s">
        <v>325</v>
      </c>
    </row>
    <row r="66" spans="4:6" x14ac:dyDescent="0.25">
      <c r="D66" t="s">
        <v>321</v>
      </c>
      <c r="E66" t="s">
        <v>324</v>
      </c>
      <c r="F66" t="s">
        <v>324</v>
      </c>
    </row>
    <row r="67" spans="4:6" x14ac:dyDescent="0.25">
      <c r="E67" t="s">
        <v>323</v>
      </c>
      <c r="F67" t="s">
        <v>323</v>
      </c>
    </row>
    <row r="68" spans="4:6" x14ac:dyDescent="0.25">
      <c r="E68" t="s">
        <v>322</v>
      </c>
      <c r="F68" t="s">
        <v>322</v>
      </c>
    </row>
    <row r="69" spans="4:6" x14ac:dyDescent="0.25">
      <c r="E69" t="s">
        <v>321</v>
      </c>
      <c r="F69" t="s">
        <v>321</v>
      </c>
    </row>
    <row r="70" spans="4:6" x14ac:dyDescent="0.25">
      <c r="E70" t="s">
        <v>320</v>
      </c>
      <c r="F70" t="s">
        <v>320</v>
      </c>
    </row>
    <row r="71" spans="4:6" x14ac:dyDescent="0.25">
      <c r="E71" t="s">
        <v>319</v>
      </c>
      <c r="F71" t="s">
        <v>319</v>
      </c>
    </row>
    <row r="72" spans="4:6" x14ac:dyDescent="0.25">
      <c r="F72" t="s">
        <v>318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akjohnson</cp:lastModifiedBy>
  <dcterms:created xsi:type="dcterms:W3CDTF">2016-11-08T05:09:06Z</dcterms:created>
  <dcterms:modified xsi:type="dcterms:W3CDTF">2018-08-31T23:21:56Z</dcterms:modified>
</cp:coreProperties>
</file>