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SWITCH\india_ED\india_ED_input\"/>
    </mc:Choice>
  </mc:AlternateContent>
  <bookViews>
    <workbookView xWindow="0" yWindow="0" windowWidth="19200" windowHeight="7635" activeTab="1"/>
  </bookViews>
  <sheets>
    <sheet name="Screening curves" sheetId="1" r:id="rId1"/>
    <sheet name="Data and sources" sheetId="4" r:id="rId2"/>
    <sheet name="inflation rate" sheetId="5" r:id="rId3"/>
    <sheet name="price_sc1" sheetId="6" r:id="rId4"/>
    <sheet name="price_sc1_old_thesis" sheetId="2" r:id="rId5"/>
    <sheet name="price_sc2_old_thesis" sheetId="3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1" l="1"/>
  <c r="D36" i="1"/>
  <c r="B36" i="1"/>
  <c r="B18" i="1"/>
  <c r="B19" i="1" s="1"/>
  <c r="C63" i="4"/>
  <c r="C67" i="4" s="1"/>
  <c r="B58" i="4"/>
  <c r="C58" i="4" s="1"/>
  <c r="C60" i="4" s="1"/>
  <c r="B63" i="4"/>
  <c r="B67" i="4" s="1"/>
  <c r="B60" i="4" l="1"/>
  <c r="B68" i="4"/>
  <c r="C68" i="4"/>
  <c r="D62" i="1" l="1"/>
  <c r="C33" i="1" l="1"/>
  <c r="D33" i="1"/>
  <c r="B33" i="1"/>
  <c r="C32" i="1"/>
  <c r="D32" i="1"/>
  <c r="B32" i="1"/>
  <c r="B24" i="1"/>
  <c r="D34" i="1" s="1"/>
  <c r="D35" i="1" s="1"/>
  <c r="B12" i="1" s="1"/>
  <c r="B23" i="1"/>
  <c r="C34" i="1" s="1"/>
  <c r="B22" i="1"/>
  <c r="B34" i="1" s="1"/>
  <c r="B21" i="1"/>
  <c r="B20" i="1"/>
  <c r="C8" i="4"/>
  <c r="D8" i="4"/>
  <c r="F8" i="4"/>
  <c r="G8" i="4"/>
  <c r="B8" i="4"/>
  <c r="C6" i="4"/>
  <c r="D6" i="4"/>
  <c r="F6" i="4"/>
  <c r="B6" i="4"/>
  <c r="C29" i="4"/>
  <c r="D29" i="4"/>
  <c r="F29" i="4"/>
  <c r="G29" i="4"/>
  <c r="B29" i="4"/>
  <c r="C28" i="4"/>
  <c r="D28" i="4"/>
  <c r="F28" i="4"/>
  <c r="G28" i="4"/>
  <c r="B28" i="4"/>
  <c r="K32" i="5"/>
  <c r="J31" i="5"/>
  <c r="J32" i="5" s="1"/>
  <c r="I30" i="5"/>
  <c r="I31" i="5" s="1"/>
  <c r="I32" i="5" s="1"/>
  <c r="H29" i="5"/>
  <c r="H30" i="5" s="1"/>
  <c r="H31" i="5" s="1"/>
  <c r="H32" i="5" s="1"/>
  <c r="G28" i="5"/>
  <c r="G29" i="5" s="1"/>
  <c r="G30" i="5" s="1"/>
  <c r="G31" i="5" s="1"/>
  <c r="G32" i="5" s="1"/>
  <c r="F27" i="5"/>
  <c r="F28" i="5" s="1"/>
  <c r="F29" i="5" s="1"/>
  <c r="F30" i="5" s="1"/>
  <c r="F31" i="5" s="1"/>
  <c r="F32" i="5" s="1"/>
  <c r="E27" i="5"/>
  <c r="E28" i="5" s="1"/>
  <c r="E29" i="5" s="1"/>
  <c r="E30" i="5" s="1"/>
  <c r="E31" i="5" s="1"/>
  <c r="E32" i="5" s="1"/>
  <c r="E26" i="5"/>
  <c r="D25" i="5"/>
  <c r="D26" i="5" s="1"/>
  <c r="D27" i="5" s="1"/>
  <c r="D28" i="5" s="1"/>
  <c r="D29" i="5" s="1"/>
  <c r="D30" i="5" s="1"/>
  <c r="D31" i="5" s="1"/>
  <c r="D32" i="5" s="1"/>
  <c r="C24" i="5"/>
  <c r="C25" i="5" s="1"/>
  <c r="C26" i="5" s="1"/>
  <c r="C27" i="5" s="1"/>
  <c r="C28" i="5" s="1"/>
  <c r="C29" i="5" s="1"/>
  <c r="C30" i="5" s="1"/>
  <c r="C31" i="5" s="1"/>
  <c r="C32" i="5" s="1"/>
  <c r="C13" i="4"/>
  <c r="C14" i="4" s="1"/>
  <c r="C31" i="1" s="1"/>
  <c r="D13" i="4"/>
  <c r="D14" i="4" s="1"/>
  <c r="E13" i="4"/>
  <c r="E14" i="4" s="1"/>
  <c r="B13" i="4"/>
  <c r="B14" i="4" s="1"/>
  <c r="B31" i="1" s="1"/>
  <c r="E16" i="4"/>
  <c r="E17" i="4" s="1"/>
  <c r="D16" i="4"/>
  <c r="D17" i="4" s="1"/>
  <c r="D31" i="1" s="1"/>
  <c r="C10" i="4"/>
  <c r="C11" i="4" s="1"/>
  <c r="D10" i="4"/>
  <c r="D11" i="4" s="1"/>
  <c r="E10" i="4"/>
  <c r="E11" i="4" s="1"/>
  <c r="B10" i="4"/>
  <c r="B11" i="4" s="1"/>
  <c r="E12" i="5"/>
  <c r="E13" i="5" s="1"/>
  <c r="E14" i="5" s="1"/>
  <c r="E15" i="5" s="1"/>
  <c r="E16" i="5" s="1"/>
  <c r="E17" i="5" s="1"/>
  <c r="D11" i="5"/>
  <c r="D12" i="5"/>
  <c r="D13" i="5" s="1"/>
  <c r="D14" i="5" s="1"/>
  <c r="D15" i="5" s="1"/>
  <c r="D16" i="5" s="1"/>
  <c r="D17" i="5" s="1"/>
  <c r="K17" i="5"/>
  <c r="J16" i="5"/>
  <c r="J17" i="5" s="1"/>
  <c r="I15" i="5"/>
  <c r="I16" i="5" s="1"/>
  <c r="I17" i="5" s="1"/>
  <c r="H14" i="5"/>
  <c r="H15" i="5" s="1"/>
  <c r="H16" i="5" s="1"/>
  <c r="H17" i="5" s="1"/>
  <c r="G13" i="5"/>
  <c r="G14" i="5" s="1"/>
  <c r="G15" i="5" s="1"/>
  <c r="G16" i="5" s="1"/>
  <c r="G17" i="5" s="1"/>
  <c r="F12" i="5"/>
  <c r="F13" i="5" s="1"/>
  <c r="F14" i="5" s="1"/>
  <c r="F15" i="5" s="1"/>
  <c r="F16" i="5" s="1"/>
  <c r="F17" i="5" s="1"/>
  <c r="E11" i="5"/>
  <c r="D10" i="5"/>
  <c r="C9" i="5"/>
  <c r="C10" i="5" s="1"/>
  <c r="C11" i="5" s="1"/>
  <c r="C12" i="5" s="1"/>
  <c r="C13" i="5" s="1"/>
  <c r="C14" i="5" s="1"/>
  <c r="C15" i="5" s="1"/>
  <c r="C16" i="5" s="1"/>
  <c r="C17" i="5" s="1"/>
  <c r="B38" i="4"/>
  <c r="C38" i="4"/>
  <c r="D38" i="4"/>
  <c r="C36" i="4"/>
  <c r="B36" i="4"/>
  <c r="D36" i="4"/>
  <c r="B21" i="4"/>
  <c r="E21" i="4"/>
  <c r="C21" i="4"/>
  <c r="D21" i="4"/>
  <c r="D53" i="1" l="1"/>
  <c r="D54" i="1" s="1"/>
  <c r="C42" i="1"/>
  <c r="G41" i="1"/>
  <c r="G40" i="1"/>
  <c r="B17" i="1"/>
  <c r="B7" i="1"/>
  <c r="B9" i="1"/>
  <c r="B10" i="1" s="1"/>
  <c r="B11" i="1" s="1"/>
  <c r="D42" i="1"/>
  <c r="D48" i="1"/>
  <c r="D50" i="1" s="1"/>
  <c r="D51" i="1" s="1"/>
  <c r="D60" i="1" s="1"/>
  <c r="C48" i="1"/>
  <c r="C50" i="1" s="1"/>
  <c r="C51" i="1" s="1"/>
  <c r="B50" i="1"/>
  <c r="B51" i="1" s="1"/>
  <c r="D61" i="1" l="1"/>
  <c r="B52" i="1"/>
  <c r="B60" i="1"/>
  <c r="C52" i="1"/>
  <c r="C60" i="1"/>
  <c r="C53" i="1"/>
  <c r="C54" i="1" s="1"/>
  <c r="C35" i="1"/>
  <c r="B42" i="1"/>
  <c r="B35" i="1"/>
  <c r="D52" i="1"/>
  <c r="B53" i="1"/>
  <c r="B54" i="1" s="1"/>
  <c r="B13" i="1"/>
  <c r="C61" i="1" l="1"/>
  <c r="B61" i="1"/>
  <c r="C55" i="1"/>
  <c r="C62" i="1" s="1"/>
  <c r="B56" i="1"/>
  <c r="B55" i="1"/>
  <c r="H52" i="1" l="1"/>
  <c r="H54" i="1" s="1"/>
  <c r="H55" i="1" s="1"/>
  <c r="B62" i="1"/>
  <c r="I52" i="1"/>
  <c r="I54" i="1" s="1"/>
  <c r="I55" i="1" s="1"/>
  <c r="J52" i="1"/>
  <c r="J54" i="1" s="1"/>
  <c r="J55" i="1" s="1"/>
  <c r="H33" i="1"/>
  <c r="H32" i="1"/>
  <c r="I32" i="1"/>
  <c r="J32" i="1"/>
  <c r="I33" i="1"/>
  <c r="J33" i="1"/>
  <c r="H31" i="1"/>
  <c r="J31" i="1"/>
  <c r="D43" i="1"/>
  <c r="D44" i="1"/>
  <c r="D45" i="1"/>
  <c r="C43" i="1"/>
  <c r="C44" i="1"/>
  <c r="C45" i="1"/>
  <c r="B43" i="1"/>
  <c r="B44" i="1"/>
  <c r="B45" i="1"/>
  <c r="I31" i="1"/>
</calcChain>
</file>

<file path=xl/comments1.xml><?xml version="1.0" encoding="utf-8"?>
<comments xmlns="http://schemas.openxmlformats.org/spreadsheetml/2006/main">
  <authors>
    <author>Ranjit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http://cornerstonemag.net/coal-based-electricity-generation-in-india/
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Sub-bituminous http://www.industry.gov.au/Office-of-the-Chief-Economist/Publications/Documents/Coal-in-India.pdf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http://cornerstonemag.net/coal-based-electricity-generation-in-india/
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multiple sources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This B&amp;V number 
matched CERC 2014 numbers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Key difference between CT vs CCGT/coal is that it can start stop during the day.</t>
        </r>
      </text>
    </comment>
    <comment ref="D37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India's regulation. B&amp;V 's was 40%.</t>
        </r>
      </text>
    </comment>
  </commentList>
</comments>
</file>

<file path=xl/comments2.xml><?xml version="1.0" encoding="utf-8"?>
<comments xmlns="http://schemas.openxmlformats.org/spreadsheetml/2006/main">
  <authors>
    <author>Ranjit</author>
  </authors>
  <commentList>
    <comment ref="B20" authorId="0" shapeId="0">
      <text>
        <r>
          <rPr>
            <b/>
            <sz val="9"/>
            <color indexed="81"/>
            <rFont val="Tahoma"/>
            <charset val="1"/>
          </rPr>
          <t>Ranjit:</t>
        </r>
        <r>
          <rPr>
            <sz val="9"/>
            <color indexed="81"/>
            <rFont val="Tahoma"/>
            <charset val="1"/>
          </rPr>
          <t xml:space="preserve">
CERC 2014 page 74, Small gas turbine power gen 2016-17 costs
</t>
        </r>
      </text>
    </comment>
    <comment ref="C20" authorId="0" shapeId="0">
      <text>
        <r>
          <rPr>
            <b/>
            <sz val="9"/>
            <color indexed="81"/>
            <rFont val="Tahoma"/>
            <charset val="1"/>
          </rPr>
          <t>Ranjit:</t>
        </r>
        <r>
          <rPr>
            <sz val="9"/>
            <color indexed="81"/>
            <rFont val="Tahoma"/>
            <charset val="1"/>
          </rPr>
          <t xml:space="preserve">
CERC 2014 page 74, CCGT 2016-17</t>
        </r>
      </text>
    </comment>
    <comment ref="D20" authorId="0" shapeId="0">
      <text>
        <r>
          <rPr>
            <b/>
            <sz val="9"/>
            <color indexed="81"/>
            <rFont val="Tahoma"/>
            <charset val="1"/>
          </rPr>
          <t>Ranjit:</t>
        </r>
        <r>
          <rPr>
            <sz val="9"/>
            <color indexed="81"/>
            <rFont val="Tahoma"/>
            <charset val="1"/>
          </rPr>
          <t xml:space="preserve">
CERC 2014 for 2016-17 for supercritical 600 MW coal
</t>
        </r>
      </text>
    </comment>
    <comment ref="E20" authorId="0" shapeId="0">
      <text>
        <r>
          <rPr>
            <b/>
            <sz val="9"/>
            <color indexed="81"/>
            <rFont val="Tahoma"/>
            <charset val="1"/>
          </rPr>
          <t>Ranjit:</t>
        </r>
        <r>
          <rPr>
            <sz val="9"/>
            <color indexed="81"/>
            <rFont val="Tahoma"/>
            <charset val="1"/>
          </rPr>
          <t xml:space="preserve">
page 72 500 MW subcritical coal. 2016-17 costs
</t>
        </r>
      </text>
    </comment>
    <comment ref="E32" authorId="0" shapeId="0">
      <text>
        <r>
          <rPr>
            <b/>
            <sz val="9"/>
            <color indexed="81"/>
            <rFont val="Tahoma"/>
            <charset val="1"/>
          </rPr>
          <t>Ranjit:</t>
        </r>
        <r>
          <rPr>
            <sz val="9"/>
            <color indexed="81"/>
            <rFont val="Tahoma"/>
            <charset val="1"/>
          </rPr>
          <t xml:space="preserve">
page 103; 500 MW plant</t>
        </r>
      </text>
    </comment>
    <comment ref="B59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US wind installed cost in 2015 - $1690/kW - Wind report 2015 market data</t>
        </r>
      </text>
    </comment>
  </commentList>
</comments>
</file>

<file path=xl/sharedStrings.xml><?xml version="1.0" encoding="utf-8"?>
<sst xmlns="http://schemas.openxmlformats.org/spreadsheetml/2006/main" count="216" uniqueCount="171">
  <si>
    <t>Screening curves</t>
  </si>
  <si>
    <t>CT</t>
  </si>
  <si>
    <t>CCGT</t>
  </si>
  <si>
    <t>Coal</t>
  </si>
  <si>
    <t>Capital cost (USD/kW)</t>
  </si>
  <si>
    <t>Capital cost (INR/kW)</t>
  </si>
  <si>
    <t>Fixed O&amp;M (USD/kW-y)</t>
  </si>
  <si>
    <t>Variable O&amp;M (USD/MWh)</t>
  </si>
  <si>
    <t>Heat Rate (Btu/kWh)</t>
  </si>
  <si>
    <t>Minimum load</t>
  </si>
  <si>
    <t>Emissions CO2 (lbs/mmbtu)</t>
  </si>
  <si>
    <t>Emissions SO2 (lbs/mmbtu)</t>
  </si>
  <si>
    <t>Emissions Nox (lbs/mmbtu)</t>
  </si>
  <si>
    <t>PM10 (lbs/mmbtu)</t>
  </si>
  <si>
    <t>Fixed O&amp;M (INR/kW-y)</t>
  </si>
  <si>
    <t>Variable O&amp;M (INR/MWh)</t>
  </si>
  <si>
    <t>source: B&amp;V 2012</t>
  </si>
  <si>
    <t>Discount rate</t>
  </si>
  <si>
    <t>Plant life</t>
  </si>
  <si>
    <t>CRF</t>
  </si>
  <si>
    <t>Annualized fixed costs (USD/kW-y)</t>
  </si>
  <si>
    <t>Emissions CO2 (tonnes/MWh)</t>
  </si>
  <si>
    <t>Emissions SO2 (kg/MWh)</t>
  </si>
  <si>
    <t>Emissions Nox (kg/MWh)</t>
  </si>
  <si>
    <t>PM10 (kg/MWh)</t>
  </si>
  <si>
    <t>Fuel cost (Rangan's article)</t>
  </si>
  <si>
    <t>Coal (INR/GJ)</t>
  </si>
  <si>
    <t>NG (INR/GJ)</t>
  </si>
  <si>
    <t>Coal Calorific value (kcal/kg)</t>
  </si>
  <si>
    <t>Coal (INR/tonne)</t>
  </si>
  <si>
    <t>Coal Calorific value (GJ/tonne)</t>
  </si>
  <si>
    <t>Coal (USD/tonne)</t>
  </si>
  <si>
    <t>Variable cost (USD/MWh)</t>
  </si>
  <si>
    <t>Coal (USD/GJ)</t>
  </si>
  <si>
    <t>GJ per MMBTU</t>
  </si>
  <si>
    <t>lbs per kg</t>
  </si>
  <si>
    <t>INR per USD</t>
  </si>
  <si>
    <t>Variable cost (INR/MWh)</t>
  </si>
  <si>
    <t>NG (USD/GJ)</t>
  </si>
  <si>
    <t>Breakeven Capacity Factor</t>
  </si>
  <si>
    <t>Annualized fixed costs (INR/kW-y)</t>
  </si>
  <si>
    <t>Coal (kg/kWh)</t>
  </si>
  <si>
    <t>source</t>
  </si>
  <si>
    <t>CERC 2014</t>
  </si>
  <si>
    <t>source: http://cercind.gov.in/2014/regulation/reg21.pdf</t>
  </si>
  <si>
    <t>CERC</t>
  </si>
  <si>
    <t>B&amp;V</t>
  </si>
  <si>
    <t>Coal (kcal/kWh)</t>
  </si>
  <si>
    <t>NG heat rate - CT (kcal/kWh)</t>
  </si>
  <si>
    <t>CERC 2014 average</t>
  </si>
  <si>
    <t>NG heat rate - CCGT (kcal/kWh)</t>
  </si>
  <si>
    <t>Auxillary consumption</t>
  </si>
  <si>
    <t>B&amp;V average</t>
  </si>
  <si>
    <t>NG heat rate - CT (Btu/kWh)</t>
  </si>
  <si>
    <t>NG heat rate - CCGT (Btu/kWh)</t>
  </si>
  <si>
    <t>Btu per kcal</t>
  </si>
  <si>
    <t>gas_ct</t>
  </si>
  <si>
    <t>gas_ccgt</t>
  </si>
  <si>
    <t>coal</t>
  </si>
  <si>
    <t>gas_price</t>
  </si>
  <si>
    <t>0.61 - IESS coal and gas power stations GoI</t>
  </si>
  <si>
    <t>cap_cost_ct</t>
  </si>
  <si>
    <t>cap_cost_ccgt</t>
  </si>
  <si>
    <t>cap_cost_coal</t>
  </si>
  <si>
    <t>Breakeven Capacity Factor - only CT and coal</t>
  </si>
  <si>
    <t>Fixed cost per kWh</t>
  </si>
  <si>
    <t>Expected PLF in hours</t>
  </si>
  <si>
    <t>See NEP Vol I page 241; page 309 shows gas as 0.49, coal as 1.01</t>
  </si>
  <si>
    <t>O&amp;M</t>
  </si>
  <si>
    <t>Coal SC</t>
  </si>
  <si>
    <t>Coal SubC</t>
  </si>
  <si>
    <t>Sources</t>
  </si>
  <si>
    <t>CERC (Terms and Conditions of Tariff) Regulations 2014</t>
  </si>
  <si>
    <t>Heat rates</t>
  </si>
  <si>
    <t>kcal/kWh</t>
  </si>
  <si>
    <t>CERC 2014 "Recommendations on Operation Norms for Thermal Power Stations Tariff Period 2014-19"</t>
  </si>
  <si>
    <t>CERC 2014 Operating norms for gas</t>
  </si>
  <si>
    <t>Heat Rate (kcal/kWh) (converted from Btu/kWh)</t>
  </si>
  <si>
    <t>See NEP Vol I page 151 for more estimates</t>
  </si>
  <si>
    <t>B&amp;V &amp; CERC 2014 operating norms</t>
  </si>
  <si>
    <t>CERC 2014 heat rate for super critical is 2375; NEP Vol I for coal is 2350; gas is 1850 (doesn't say which gas).</t>
  </si>
  <si>
    <t>Capital costs</t>
  </si>
  <si>
    <t>EIA Capital cost estimates for utility scale elec gen plants 2016; coal cost is only for ultra-supercritical; CT is advanced (regular one is 1101)</t>
  </si>
  <si>
    <t>Nuclear</t>
  </si>
  <si>
    <t>Hydro</t>
  </si>
  <si>
    <t xml:space="preserve">O&amp;M (USD/kW-y) </t>
  </si>
  <si>
    <t>Btu/kWh</t>
  </si>
  <si>
    <t>B&amp;V-NREL 2012</t>
  </si>
  <si>
    <t>USD/kW (2009$)</t>
  </si>
  <si>
    <t>B&amp;V (combine with variable)</t>
  </si>
  <si>
    <t>B&amp;V (combine with fixed)</t>
  </si>
  <si>
    <t>O&amp;M (USD/MWh)</t>
  </si>
  <si>
    <t>B&amp;V-NREL 2012; coal is pulverized coal plant</t>
  </si>
  <si>
    <t>EIA 2016</t>
  </si>
  <si>
    <t>EIA 2016 (combine with variable)</t>
  </si>
  <si>
    <t>EIA 2016 (combine with fixed)</t>
  </si>
  <si>
    <t>National Electricity Plan Draft - CEA 2016; page 152 coal 660 MW unit</t>
  </si>
  <si>
    <t>CERC Operating norms for thermal power generating plants 2014; Average of plants mentioned in order</t>
  </si>
  <si>
    <t>kcal/kWh (converted)</t>
  </si>
  <si>
    <t>Coal (kg/kWh) computed</t>
  </si>
  <si>
    <t>INR Rs lakhs/MW (2012)</t>
  </si>
  <si>
    <t>IESS 2047; first apply inflation rate and then convert to USD</t>
  </si>
  <si>
    <t>Data and sources</t>
  </si>
  <si>
    <t>IESS 2047; gas costs are not split into CCGT and CT. don't use</t>
  </si>
  <si>
    <t>Phadke et al 2016</t>
  </si>
  <si>
    <t>INR Rs lakhs/MW (2015)</t>
  </si>
  <si>
    <t>CERC 2012 Benchmark capital costs for thermal power stations with coal as fuel; average of costs of six units of 660 MW for SC and another six units of 500 MW for SubC</t>
  </si>
  <si>
    <t>India Inflation rates</t>
  </si>
  <si>
    <t>http://www.inflation.eu/inflation-rates/india/historic-inflation/cpi-inflation-india.aspx</t>
  </si>
  <si>
    <t>source: Consumer Price Index India</t>
  </si>
  <si>
    <t>Average annual inflation rate</t>
  </si>
  <si>
    <t>INR Rs lakhs/MW (2016)</t>
  </si>
  <si>
    <t>Cumulative inflation factors</t>
  </si>
  <si>
    <t>IESS 2047 adjusted for inflation</t>
  </si>
  <si>
    <t>USD/kW (2016 USD)</t>
  </si>
  <si>
    <t>CERC 2012 adjusted for inflation</t>
  </si>
  <si>
    <t>Phadke et al 2016 adjusted for inflation</t>
  </si>
  <si>
    <t>USD/kW (2016)</t>
  </si>
  <si>
    <t>USD/kW (2015 $)</t>
  </si>
  <si>
    <t>O&amp;M (USD/kW-y)(2016)</t>
  </si>
  <si>
    <t>CERC (Terms and Conditions of Tariff) Regulations 2014; values are for 2016-17, so no inflation rate applied</t>
  </si>
  <si>
    <t>O&amp;M (USD/kW-y) (2009$)</t>
  </si>
  <si>
    <t>O&amp;M (USD/MWh) (2009$)</t>
  </si>
  <si>
    <t>INDIA</t>
  </si>
  <si>
    <t>US</t>
  </si>
  <si>
    <t>O&amp;M (USD/kW-y) (2016$)</t>
  </si>
  <si>
    <t>O&amp;M (USD/MWh) (2016$)</t>
  </si>
  <si>
    <t xml:space="preserve">CERC (Terms and Conditions of Tariff) Regulations 2014 - not sure if these include variable O&amp;M as well. I am assuming not. Then gas O&amp;M make sense, but coal for India is much lower than US, which also makes sense. </t>
  </si>
  <si>
    <t>USD/kW (2016 $)</t>
  </si>
  <si>
    <t>B&amp;V-NREL 2012; adjusted for inflation</t>
  </si>
  <si>
    <t>EIA 2016 adjusted for inflation</t>
  </si>
  <si>
    <t>CERC 2014 assumed zero</t>
  </si>
  <si>
    <t>O&amp;M (INR/kW-y)(2016)</t>
  </si>
  <si>
    <t>O&amp;M (INR/MWh) (2016)</t>
  </si>
  <si>
    <t>O&amp;M (USD/MWh) (2016)</t>
  </si>
  <si>
    <t>NEP 2016</t>
  </si>
  <si>
    <t>NG heat rate - coal super critical (kcal/kWh)</t>
  </si>
  <si>
    <t>Aux consumption</t>
  </si>
  <si>
    <t>Discount rates</t>
  </si>
  <si>
    <t>%</t>
  </si>
  <si>
    <t>Central bank December 2016</t>
  </si>
  <si>
    <t>CERC regulations (I think this is nominal discount rate because it determines tariff over the lifetime of the plant)</t>
  </si>
  <si>
    <t>Total cost per kWh</t>
  </si>
  <si>
    <t>CERC - 10.8% is probably nominal, so using 7%</t>
  </si>
  <si>
    <t>LNG</t>
  </si>
  <si>
    <t>USD/MMBTU</t>
  </si>
  <si>
    <t>World Bank forecast (2017) for 2030 for Natural Gas LNG in Japan</t>
  </si>
  <si>
    <t>12.7 - Indonesian LNG in Japan - source IMF (2016) - Quarterly average from 2014 Q1 to 2016 Q2 ; 10.7 - Indonesian LNG in Japan - IMF - average of medium term commodity baseline that includes past baseline data from 2009 to 2016, and future projections till 2021</t>
  </si>
  <si>
    <t>IMF (2017) LNG forecast for 2017-2022 Indonesian gas in Japan</t>
  </si>
  <si>
    <t>World LNG Estimated Landed Prices June 2017 - Federal Energy Regulatory Commission (2017)</t>
  </si>
  <si>
    <t>Outage rates</t>
  </si>
  <si>
    <t>Hour</t>
  </si>
  <si>
    <t>Cutoff Hour</t>
  </si>
  <si>
    <t>For screening curve plots</t>
  </si>
  <si>
    <t>Solar and wind costs</t>
  </si>
  <si>
    <t>1USD to Rs</t>
  </si>
  <si>
    <t>Capital cost adjusted (USD/kW)</t>
  </si>
  <si>
    <t>LCOE (USD/MWh)</t>
  </si>
  <si>
    <t>Average capacity factor</t>
  </si>
  <si>
    <t>LCOE (INR/kWh)</t>
  </si>
  <si>
    <t>Plant Life (years)</t>
  </si>
  <si>
    <t>Fixed O&amp;M Costs (USD/kW)</t>
  </si>
  <si>
    <t>Variable O&amp;M Costs (USD/kWh)</t>
  </si>
  <si>
    <t>Wind</t>
  </si>
  <si>
    <t>Solar PV</t>
  </si>
  <si>
    <t>These are average capacity factors from S0W400 and S400W0 generation profiles</t>
  </si>
  <si>
    <t>Capital cost adjusted (INR/kW)</t>
  </si>
  <si>
    <t>LNG (USD/MMBTU)</t>
  </si>
  <si>
    <t>(FERC - 5.57 landed in India - https://www.ferc.gov/market-oversight/mkt-gas/overview/ngas-ovr-lng-wld-pr-est.pdf)</t>
  </si>
  <si>
    <t>LNG (USD/GJ)</t>
  </si>
  <si>
    <t>Heat Rate (MJ/kWh) converted from Btu/kWh)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</si>
</sst>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"/>
    <numFmt numFmtId="165" formatCode="0.0"/>
    <numFmt numFmtId="166" formatCode="0.0000"/>
    <numFmt numFmtId="167" formatCode="0.0%"/>
    <numFmt numFmtId="169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0">
    <xf numFmtId="0" fontId="0" fillId="0" borderId="0" xfId="0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2" fillId="0" borderId="0" xfId="0" applyFont="1"/>
    <xf numFmtId="10" fontId="0" fillId="0" borderId="0" xfId="0" applyNumberFormat="1"/>
    <xf numFmtId="164" fontId="3" fillId="0" borderId="0" xfId="0" applyNumberFormat="1" applyFont="1" applyFill="1" applyBorder="1" applyAlignment="1">
      <alignment horizontal="right"/>
    </xf>
    <xf numFmtId="10" fontId="2" fillId="0" borderId="0" xfId="0" applyNumberFormat="1" applyFont="1"/>
    <xf numFmtId="9" fontId="0" fillId="0" borderId="0" xfId="1" applyFont="1"/>
    <xf numFmtId="167" fontId="0" fillId="0" borderId="0" xfId="1" applyNumberFormat="1" applyFont="1"/>
    <xf numFmtId="0" fontId="0" fillId="0" borderId="0" xfId="0" applyAlignment="1">
      <alignment wrapText="1"/>
    </xf>
    <xf numFmtId="1" fontId="2" fillId="0" borderId="0" xfId="0" applyNumberFormat="1" applyFont="1"/>
    <xf numFmtId="1" fontId="0" fillId="0" borderId="0" xfId="0" applyNumberFormat="1" applyFont="1"/>
    <xf numFmtId="169" fontId="3" fillId="0" borderId="0" xfId="2" applyNumberFormat="1" applyFont="1" applyFill="1" applyBorder="1" applyAlignment="1">
      <alignment horizontal="right"/>
    </xf>
    <xf numFmtId="169" fontId="0" fillId="0" borderId="0" xfId="2" applyNumberFormat="1" applyFont="1" applyBorder="1" applyAlignment="1">
      <alignment horizontal="right"/>
    </xf>
    <xf numFmtId="10" fontId="3" fillId="0" borderId="0" xfId="0" applyNumberFormat="1" applyFont="1" applyFill="1" applyBorder="1" applyAlignment="1">
      <alignment horizontal="right"/>
    </xf>
    <xf numFmtId="1" fontId="3" fillId="0" borderId="0" xfId="0" applyNumberFormat="1" applyFont="1" applyFill="1" applyBorder="1" applyAlignment="1">
      <alignment horizontal="right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2"/>
  <sheetViews>
    <sheetView workbookViewId="0">
      <selection activeCell="B7" sqref="B7"/>
    </sheetView>
  </sheetViews>
  <sheetFormatPr defaultRowHeight="15" x14ac:dyDescent="0.25"/>
  <cols>
    <col min="1" max="1" width="42.28515625" customWidth="1"/>
    <col min="4" max="4" width="11.140625" customWidth="1"/>
    <col min="5" max="5" width="17.28515625" customWidth="1"/>
    <col min="7" max="7" width="24.42578125" bestFit="1" customWidth="1"/>
  </cols>
  <sheetData>
    <row r="1" spans="1:5" x14ac:dyDescent="0.25">
      <c r="A1" s="7" t="s">
        <v>0</v>
      </c>
      <c r="D1" t="s">
        <v>36</v>
      </c>
      <c r="E1">
        <v>65</v>
      </c>
    </row>
    <row r="2" spans="1:5" x14ac:dyDescent="0.25">
      <c r="D2" t="s">
        <v>35</v>
      </c>
      <c r="E2">
        <v>2.2000000000000002</v>
      </c>
    </row>
    <row r="3" spans="1:5" x14ac:dyDescent="0.25">
      <c r="D3" t="s">
        <v>34</v>
      </c>
      <c r="E3">
        <v>1.0549999999999999</v>
      </c>
    </row>
    <row r="4" spans="1:5" x14ac:dyDescent="0.25">
      <c r="D4" t="s">
        <v>55</v>
      </c>
      <c r="E4">
        <v>3.9656699999999998</v>
      </c>
    </row>
    <row r="5" spans="1:5" x14ac:dyDescent="0.25">
      <c r="A5" t="s">
        <v>25</v>
      </c>
    </row>
    <row r="6" spans="1:5" x14ac:dyDescent="0.25">
      <c r="A6" t="s">
        <v>26</v>
      </c>
      <c r="B6">
        <v>170</v>
      </c>
    </row>
    <row r="7" spans="1:5" x14ac:dyDescent="0.25">
      <c r="A7" t="s">
        <v>33</v>
      </c>
      <c r="B7" s="4">
        <f>B6/E1</f>
        <v>2.6153846153846154</v>
      </c>
    </row>
    <row r="8" spans="1:5" x14ac:dyDescent="0.25">
      <c r="A8" t="s">
        <v>28</v>
      </c>
      <c r="B8">
        <v>3900</v>
      </c>
    </row>
    <row r="9" spans="1:5" x14ac:dyDescent="0.25">
      <c r="A9" t="s">
        <v>30</v>
      </c>
      <c r="B9" s="3">
        <f>B8*4.184*10^-3</f>
        <v>16.317600000000002</v>
      </c>
    </row>
    <row r="10" spans="1:5" x14ac:dyDescent="0.25">
      <c r="A10" t="s">
        <v>29</v>
      </c>
      <c r="B10" s="5">
        <f>B6*B9</f>
        <v>2773.9920000000002</v>
      </c>
    </row>
    <row r="11" spans="1:5" x14ac:dyDescent="0.25">
      <c r="A11" t="s">
        <v>31</v>
      </c>
      <c r="B11" s="4">
        <f>B10/E1</f>
        <v>42.6768</v>
      </c>
    </row>
    <row r="12" spans="1:5" x14ac:dyDescent="0.25">
      <c r="A12" t="s">
        <v>99</v>
      </c>
      <c r="B12" s="4">
        <f>D35/B8</f>
        <v>0.57692307692307687</v>
      </c>
    </row>
    <row r="13" spans="1:5" x14ac:dyDescent="0.25">
      <c r="A13" t="s">
        <v>41</v>
      </c>
      <c r="B13" s="3">
        <f>D34*E3/B9/10^3</f>
        <v>0.57689299667230454</v>
      </c>
      <c r="C13" t="s">
        <v>60</v>
      </c>
    </row>
    <row r="14" spans="1:5" x14ac:dyDescent="0.25">
      <c r="A14" t="s">
        <v>47</v>
      </c>
      <c r="B14" s="5">
        <v>2375</v>
      </c>
      <c r="C14" t="s">
        <v>75</v>
      </c>
    </row>
    <row r="16" spans="1:5" x14ac:dyDescent="0.25">
      <c r="A16" t="s">
        <v>27</v>
      </c>
      <c r="B16">
        <v>240</v>
      </c>
    </row>
    <row r="17" spans="1:10" x14ac:dyDescent="0.25">
      <c r="A17" t="s">
        <v>38</v>
      </c>
      <c r="B17" s="4">
        <f>B16/E1</f>
        <v>3.6923076923076925</v>
      </c>
    </row>
    <row r="18" spans="1:10" x14ac:dyDescent="0.25">
      <c r="A18" t="s">
        <v>167</v>
      </c>
      <c r="B18">
        <f>'Data and sources'!B50</f>
        <v>10</v>
      </c>
    </row>
    <row r="19" spans="1:10" x14ac:dyDescent="0.25">
      <c r="A19" t="s">
        <v>169</v>
      </c>
      <c r="B19" s="4">
        <f>B18/E3</f>
        <v>9.4786729857819907</v>
      </c>
    </row>
    <row r="20" spans="1:10" x14ac:dyDescent="0.25">
      <c r="A20" t="s">
        <v>48</v>
      </c>
      <c r="B20">
        <f>'Data and sources'!B33</f>
        <v>3065</v>
      </c>
      <c r="C20" t="s">
        <v>49</v>
      </c>
    </row>
    <row r="21" spans="1:10" x14ac:dyDescent="0.25">
      <c r="A21" t="s">
        <v>50</v>
      </c>
      <c r="B21">
        <f>'Data and sources'!C33</f>
        <v>2071</v>
      </c>
      <c r="C21" t="s">
        <v>49</v>
      </c>
    </row>
    <row r="22" spans="1:10" x14ac:dyDescent="0.25">
      <c r="A22" t="s">
        <v>48</v>
      </c>
      <c r="B22">
        <f>'Data and sources'!B34</f>
        <v>2900</v>
      </c>
      <c r="C22" t="s">
        <v>135</v>
      </c>
    </row>
    <row r="23" spans="1:10" x14ac:dyDescent="0.25">
      <c r="A23" t="s">
        <v>50</v>
      </c>
      <c r="B23">
        <f>'Data and sources'!C34</f>
        <v>2000</v>
      </c>
      <c r="C23" t="s">
        <v>135</v>
      </c>
    </row>
    <row r="24" spans="1:10" x14ac:dyDescent="0.25">
      <c r="A24" t="s">
        <v>136</v>
      </c>
      <c r="B24">
        <f>'Data and sources'!D34</f>
        <v>2250</v>
      </c>
      <c r="C24" t="s">
        <v>135</v>
      </c>
    </row>
    <row r="25" spans="1:10" x14ac:dyDescent="0.25">
      <c r="A25" t="s">
        <v>53</v>
      </c>
      <c r="B25">
        <v>10390</v>
      </c>
      <c r="C25" t="s">
        <v>52</v>
      </c>
    </row>
    <row r="26" spans="1:10" x14ac:dyDescent="0.25">
      <c r="A26" t="s">
        <v>54</v>
      </c>
      <c r="B26">
        <v>6705</v>
      </c>
      <c r="C26" t="s">
        <v>52</v>
      </c>
    </row>
    <row r="28" spans="1:10" x14ac:dyDescent="0.25">
      <c r="A28" t="s">
        <v>44</v>
      </c>
    </row>
    <row r="29" spans="1:10" x14ac:dyDescent="0.25">
      <c r="A29" s="7" t="s">
        <v>16</v>
      </c>
    </row>
    <row r="30" spans="1:10" x14ac:dyDescent="0.25">
      <c r="B30" t="s">
        <v>1</v>
      </c>
      <c r="C30" t="s">
        <v>2</v>
      </c>
      <c r="D30" t="s">
        <v>3</v>
      </c>
      <c r="E30" t="s">
        <v>42</v>
      </c>
      <c r="H30" t="s">
        <v>1</v>
      </c>
      <c r="I30" t="s">
        <v>2</v>
      </c>
      <c r="J30" t="s">
        <v>3</v>
      </c>
    </row>
    <row r="31" spans="1:10" x14ac:dyDescent="0.25">
      <c r="A31" t="s">
        <v>4</v>
      </c>
      <c r="B31" s="5">
        <f>'Data and sources'!B14</f>
        <v>678.26769230769241</v>
      </c>
      <c r="C31" s="5">
        <f>'Data and sources'!C14</f>
        <v>775.16307692307703</v>
      </c>
      <c r="D31" s="5">
        <f>'Data and sources'!D17</f>
        <v>976.42784318082204</v>
      </c>
      <c r="G31" t="s">
        <v>5</v>
      </c>
      <c r="H31">
        <f>B31*$E$1</f>
        <v>44087.400000000009</v>
      </c>
      <c r="I31">
        <f>C31*$E$1</f>
        <v>50385.600000000006</v>
      </c>
      <c r="J31">
        <f>D31*$E$1</f>
        <v>63467.80980675343</v>
      </c>
    </row>
    <row r="32" spans="1:10" x14ac:dyDescent="0.25">
      <c r="A32" t="s">
        <v>6</v>
      </c>
      <c r="B32" s="4">
        <f>'Data and sources'!B24</f>
        <v>6.8</v>
      </c>
      <c r="C32" s="4">
        <f>'Data and sources'!C24</f>
        <v>11</v>
      </c>
      <c r="D32" s="4">
        <f>'Data and sources'!D24</f>
        <v>42.1</v>
      </c>
      <c r="G32" t="s">
        <v>14</v>
      </c>
      <c r="H32" s="5">
        <f t="shared" ref="H32" si="0">B32*$E$1</f>
        <v>442</v>
      </c>
      <c r="I32" s="5">
        <f t="shared" ref="I32:I33" si="1">C32*$E$1</f>
        <v>715</v>
      </c>
      <c r="J32" s="5">
        <f t="shared" ref="J32:J33" si="2">D32*$E$1</f>
        <v>2736.5</v>
      </c>
    </row>
    <row r="33" spans="1:10" x14ac:dyDescent="0.25">
      <c r="A33" t="s">
        <v>7</v>
      </c>
      <c r="B33" s="5">
        <f>'Data and sources'!B25</f>
        <v>10.7</v>
      </c>
      <c r="C33" s="5">
        <f>'Data and sources'!C25</f>
        <v>3.5</v>
      </c>
      <c r="D33" s="5">
        <f>'Data and sources'!D25</f>
        <v>4.5999999999999996</v>
      </c>
      <c r="G33" t="s">
        <v>15</v>
      </c>
      <c r="H33" s="5">
        <f>B33*$E$1</f>
        <v>695.5</v>
      </c>
      <c r="I33" s="5">
        <f t="shared" si="1"/>
        <v>227.5</v>
      </c>
      <c r="J33" s="5">
        <f t="shared" si="2"/>
        <v>299</v>
      </c>
    </row>
    <row r="34" spans="1:10" x14ac:dyDescent="0.25">
      <c r="A34" t="s">
        <v>8</v>
      </c>
      <c r="B34" s="5">
        <f>B22*$E$4</f>
        <v>11500.442999999999</v>
      </c>
      <c r="C34" s="5">
        <f>B23*E4</f>
        <v>7931.3399999999992</v>
      </c>
      <c r="D34" s="5">
        <f>B24*E4</f>
        <v>8922.7574999999997</v>
      </c>
      <c r="E34" t="s">
        <v>79</v>
      </c>
      <c r="F34" t="s">
        <v>78</v>
      </c>
    </row>
    <row r="35" spans="1:10" x14ac:dyDescent="0.25">
      <c r="A35" t="s">
        <v>77</v>
      </c>
      <c r="B35">
        <f>B34/$E$4</f>
        <v>2900</v>
      </c>
      <c r="C35">
        <f t="shared" ref="C35:D35" si="3">C34/$E$4</f>
        <v>2000</v>
      </c>
      <c r="D35" s="5">
        <f t="shared" si="3"/>
        <v>2250</v>
      </c>
      <c r="E35" t="s">
        <v>46</v>
      </c>
      <c r="F35" t="s">
        <v>80</v>
      </c>
    </row>
    <row r="36" spans="1:10" x14ac:dyDescent="0.25">
      <c r="A36" t="s">
        <v>170</v>
      </c>
      <c r="B36" s="4">
        <f>B34*$E$3*10^-3</f>
        <v>12.132967364999999</v>
      </c>
      <c r="C36" s="4">
        <f t="shared" ref="C36:D36" si="4">C34*$E$3*10^-3</f>
        <v>8.3675636999999998</v>
      </c>
      <c r="D36" s="4">
        <f t="shared" si="4"/>
        <v>9.4135091624999987</v>
      </c>
    </row>
    <row r="37" spans="1:10" x14ac:dyDescent="0.25">
      <c r="A37" t="s">
        <v>9</v>
      </c>
      <c r="B37" s="1">
        <v>0.5</v>
      </c>
      <c r="C37" s="1">
        <v>0.5</v>
      </c>
      <c r="D37" s="1">
        <v>0.55000000000000004</v>
      </c>
      <c r="E37" t="s">
        <v>45</v>
      </c>
    </row>
    <row r="38" spans="1:10" x14ac:dyDescent="0.25">
      <c r="A38" t="s">
        <v>10</v>
      </c>
      <c r="B38">
        <v>117</v>
      </c>
      <c r="C38">
        <v>117</v>
      </c>
      <c r="D38">
        <v>215</v>
      </c>
      <c r="E38" t="s">
        <v>46</v>
      </c>
    </row>
    <row r="39" spans="1:10" x14ac:dyDescent="0.25">
      <c r="A39" t="s">
        <v>11</v>
      </c>
      <c r="B39">
        <v>2.0000000000000001E-4</v>
      </c>
      <c r="C39">
        <v>2.0000000000000001E-4</v>
      </c>
      <c r="D39">
        <v>5.5E-2</v>
      </c>
      <c r="E39" t="s">
        <v>46</v>
      </c>
    </row>
    <row r="40" spans="1:10" x14ac:dyDescent="0.25">
      <c r="A40" t="s">
        <v>12</v>
      </c>
      <c r="B40">
        <v>3.3000000000000002E-2</v>
      </c>
      <c r="C40">
        <v>7.3000000000000001E-3</v>
      </c>
      <c r="D40">
        <v>0.05</v>
      </c>
      <c r="E40" t="s">
        <v>46</v>
      </c>
      <c r="G40">
        <f>52500/65</f>
        <v>807.69230769230774</v>
      </c>
    </row>
    <row r="41" spans="1:10" x14ac:dyDescent="0.25">
      <c r="A41" t="s">
        <v>13</v>
      </c>
      <c r="B41">
        <v>6.0000000000000001E-3</v>
      </c>
      <c r="C41">
        <v>5.7999999999999996E-3</v>
      </c>
      <c r="D41">
        <v>1.0999999999999999E-2</v>
      </c>
      <c r="E41" t="s">
        <v>46</v>
      </c>
      <c r="G41">
        <f>35860/65</f>
        <v>551.69230769230774</v>
      </c>
    </row>
    <row r="42" spans="1:10" x14ac:dyDescent="0.25">
      <c r="A42" t="s">
        <v>21</v>
      </c>
      <c r="B42" s="3">
        <f>B38*B$34*10^-6/$E$2</f>
        <v>0.61161446863636348</v>
      </c>
      <c r="C42" s="3">
        <f t="shared" ref="C42:D42" si="5">C38*C$34*10^-6/$E$2</f>
        <v>0.42180308181818171</v>
      </c>
      <c r="D42" s="3">
        <f t="shared" si="5"/>
        <v>0.87199675568181811</v>
      </c>
      <c r="F42" t="s">
        <v>67</v>
      </c>
    </row>
    <row r="43" spans="1:10" x14ac:dyDescent="0.25">
      <c r="A43" t="s">
        <v>22</v>
      </c>
      <c r="B43" s="6">
        <f>B39*B$34*10^-3/$E$2</f>
        <v>1.0454948181818182E-3</v>
      </c>
      <c r="C43" s="6">
        <f>C39*C$34*10^-3/$E$2</f>
        <v>7.2103090909090911E-4</v>
      </c>
      <c r="D43" s="6">
        <f>D39*D$34*10^-3/$E$2</f>
        <v>0.22306893749999998</v>
      </c>
    </row>
    <row r="44" spans="1:10" x14ac:dyDescent="0.25">
      <c r="A44" t="s">
        <v>23</v>
      </c>
      <c r="B44" s="3">
        <f>B40*B$34*10^-3/$E$2</f>
        <v>0.17250664499999999</v>
      </c>
      <c r="C44" s="3">
        <f>C40*C$34*10^-3/$E$2</f>
        <v>2.6317628181818178E-2</v>
      </c>
      <c r="D44" s="3">
        <f>D40*D$34*10^-3/$E$2</f>
        <v>0.20278994318181817</v>
      </c>
    </row>
    <row r="45" spans="1:10" x14ac:dyDescent="0.25">
      <c r="A45" t="s">
        <v>24</v>
      </c>
      <c r="B45" s="2">
        <f>B41*B$34*10^-3/$E$2</f>
        <v>3.1364844545454539E-2</v>
      </c>
      <c r="C45" s="2">
        <f>C41*C$34*10^-3/$E$2</f>
        <v>2.0909896363636361E-2</v>
      </c>
      <c r="D45" s="2">
        <f>D41*D$34*10^-3/$E$2</f>
        <v>4.4613787499999995E-2</v>
      </c>
    </row>
    <row r="46" spans="1:10" x14ac:dyDescent="0.25">
      <c r="A46" t="s">
        <v>51</v>
      </c>
      <c r="B46" s="11">
        <v>0.01</v>
      </c>
      <c r="C46" s="11">
        <v>2.5000000000000001E-2</v>
      </c>
      <c r="D46" s="11">
        <v>0.1</v>
      </c>
      <c r="E46" t="s">
        <v>76</v>
      </c>
    </row>
    <row r="48" spans="1:10" x14ac:dyDescent="0.25">
      <c r="A48" t="s">
        <v>17</v>
      </c>
      <c r="B48" s="10">
        <v>7.0000000000000007E-2</v>
      </c>
      <c r="C48" s="8">
        <f>B48</f>
        <v>7.0000000000000007E-2</v>
      </c>
      <c r="D48" s="8">
        <f>B48</f>
        <v>7.0000000000000007E-2</v>
      </c>
      <c r="E48" t="s">
        <v>143</v>
      </c>
    </row>
    <row r="49" spans="1:10" x14ac:dyDescent="0.25">
      <c r="A49" t="s">
        <v>18</v>
      </c>
      <c r="B49">
        <v>25</v>
      </c>
      <c r="C49">
        <v>25</v>
      </c>
      <c r="D49">
        <v>25</v>
      </c>
      <c r="E49" t="s">
        <v>43</v>
      </c>
    </row>
    <row r="50" spans="1:10" ht="15.75" x14ac:dyDescent="0.25">
      <c r="A50" t="s">
        <v>19</v>
      </c>
      <c r="B50" s="9">
        <f>(B48*(1+B48)^B49)/(((1+B48)^B49)-1)</f>
        <v>8.5810517220665614E-2</v>
      </c>
      <c r="C50" s="9">
        <f t="shared" ref="C50:D50" si="6">(C48*(1+C48)^C49)/(((1+C48)^C49)-1)</f>
        <v>8.5810517220665614E-2</v>
      </c>
      <c r="D50" s="9">
        <f t="shared" si="6"/>
        <v>8.5810517220665614E-2</v>
      </c>
    </row>
    <row r="51" spans="1:10" x14ac:dyDescent="0.25">
      <c r="A51" t="s">
        <v>20</v>
      </c>
      <c r="B51" s="4">
        <f>B31*B50+B32</f>
        <v>65.002501490990369</v>
      </c>
      <c r="C51" s="4">
        <f t="shared" ref="C51:D51" si="7">C31*C50+C32</f>
        <v>77.517144561131843</v>
      </c>
      <c r="D51" s="4">
        <f t="shared" si="7"/>
        <v>125.88777825200532</v>
      </c>
    </row>
    <row r="52" spans="1:10" x14ac:dyDescent="0.25">
      <c r="A52" t="s">
        <v>40</v>
      </c>
      <c r="B52" s="5">
        <f>B51*$E$1</f>
        <v>4225.1625969143743</v>
      </c>
      <c r="C52" s="5">
        <f t="shared" ref="C52:D52" si="8">C51*$E$1</f>
        <v>5038.6143964735702</v>
      </c>
      <c r="D52" s="5">
        <f t="shared" si="8"/>
        <v>8182.7055863803453</v>
      </c>
      <c r="G52" t="s">
        <v>66</v>
      </c>
      <c r="H52" s="5">
        <f>B55*8760</f>
        <v>297.7029406373756</v>
      </c>
      <c r="I52" s="5">
        <f>(C55-B55)*8760</f>
        <v>624.16551025866136</v>
      </c>
      <c r="J52" s="5">
        <f>(1-C55-B55)*8760</f>
        <v>7540.4286084665873</v>
      </c>
    </row>
    <row r="53" spans="1:10" x14ac:dyDescent="0.25">
      <c r="A53" t="s">
        <v>32</v>
      </c>
      <c r="B53" s="4">
        <f>(B34*$B$18*10^-3 + B33)/(1-B46)</f>
        <v>126.97417171717171</v>
      </c>
      <c r="C53" s="4">
        <f>(C34*$B$18*10^-3 + C33)/(1-C46)</f>
        <v>84.936820512820518</v>
      </c>
      <c r="D53" s="4">
        <f>(D34*B7*$E$3*10^-3 + D33)/(1-D46)</f>
        <v>32.466607822649564</v>
      </c>
      <c r="H53" t="s">
        <v>1</v>
      </c>
      <c r="I53" t="s">
        <v>2</v>
      </c>
      <c r="J53" t="s">
        <v>3</v>
      </c>
    </row>
    <row r="54" spans="1:10" x14ac:dyDescent="0.25">
      <c r="A54" t="s">
        <v>37</v>
      </c>
      <c r="B54" s="5">
        <f t="shared" ref="B54:C54" si="9">B53*$E$1</f>
        <v>8253.3211616161607</v>
      </c>
      <c r="C54" s="5">
        <f t="shared" si="9"/>
        <v>5520.8933333333334</v>
      </c>
      <c r="D54" s="5">
        <f>D53*$E$1</f>
        <v>2110.3295084722217</v>
      </c>
      <c r="G54" t="s">
        <v>65</v>
      </c>
      <c r="H54" s="4">
        <f>B52/H52</f>
        <v>14.192545723157426</v>
      </c>
      <c r="I54" s="4">
        <f>C52/I52</f>
        <v>8.0725613858181795</v>
      </c>
      <c r="J54" s="4">
        <f>D52/J52</f>
        <v>1.0851777811665231</v>
      </c>
    </row>
    <row r="55" spans="1:10" x14ac:dyDescent="0.25">
      <c r="A55" t="s">
        <v>39</v>
      </c>
      <c r="B55" s="12">
        <f>(C51-B51)*1000/(B53-C53)/8760</f>
        <v>3.3984353954038309E-2</v>
      </c>
      <c r="C55" s="12">
        <f>(D51-C51)*1000/(C53-D53)/8760</f>
        <v>0.10523612453151106</v>
      </c>
      <c r="G55" t="s">
        <v>142</v>
      </c>
      <c r="H55" s="4">
        <f>H54+B54/1000</f>
        <v>22.445866884773586</v>
      </c>
      <c r="I55" s="4">
        <f>I54+C54/1000</f>
        <v>13.593454719151513</v>
      </c>
      <c r="J55" s="4">
        <f>J54+D54/1000</f>
        <v>3.1955072896387451</v>
      </c>
    </row>
    <row r="56" spans="1:10" x14ac:dyDescent="0.25">
      <c r="A56" t="s">
        <v>64</v>
      </c>
      <c r="B56" s="12">
        <f>(D51-B51)*1000/(B53-D53)/8760</f>
        <v>7.3543045371836632E-2</v>
      </c>
    </row>
    <row r="58" spans="1:10" x14ac:dyDescent="0.25">
      <c r="A58" s="7" t="s">
        <v>153</v>
      </c>
    </row>
    <row r="59" spans="1:10" x14ac:dyDescent="0.25">
      <c r="A59" t="s">
        <v>151</v>
      </c>
    </row>
    <row r="60" spans="1:10" x14ac:dyDescent="0.25">
      <c r="A60">
        <v>0</v>
      </c>
      <c r="B60" s="4">
        <f>B51</f>
        <v>65.002501490990369</v>
      </c>
      <c r="C60" s="4">
        <f t="shared" ref="C60:D60" si="10">C51</f>
        <v>77.517144561131843</v>
      </c>
      <c r="D60" s="4">
        <f t="shared" si="10"/>
        <v>125.88777825200532</v>
      </c>
    </row>
    <row r="61" spans="1:10" x14ac:dyDescent="0.25">
      <c r="A61">
        <v>8760</v>
      </c>
      <c r="B61" s="5">
        <f>B60+B53*$A$61/1000</f>
        <v>1177.2962457334145</v>
      </c>
      <c r="C61" s="5">
        <f t="shared" ref="C61:D61" si="11">C60+C53*$A$61/1000</f>
        <v>821.56369225343963</v>
      </c>
      <c r="D61" s="5">
        <f t="shared" si="11"/>
        <v>410.29526277841552</v>
      </c>
    </row>
    <row r="62" spans="1:10" x14ac:dyDescent="0.25">
      <c r="A62" t="s">
        <v>152</v>
      </c>
      <c r="B62" s="5">
        <f>B55*$A$61</f>
        <v>297.7029406373756</v>
      </c>
      <c r="C62" s="5">
        <f t="shared" ref="C62:D62" si="12">C55*$A$61</f>
        <v>921.86845089603685</v>
      </c>
      <c r="D62" s="5">
        <f t="shared" si="12"/>
        <v>0</v>
      </c>
    </row>
  </sheetData>
  <pageMargins left="0.7" right="0.7" top="0.75" bottom="0.75" header="0.3" footer="0.3"/>
  <pageSetup orientation="portrait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8"/>
  <sheetViews>
    <sheetView tabSelected="1" topLeftCell="A37" workbookViewId="0">
      <selection activeCell="M41" sqref="M41"/>
    </sheetView>
  </sheetViews>
  <sheetFormatPr defaultRowHeight="15" x14ac:dyDescent="0.25"/>
  <cols>
    <col min="1" max="1" width="25.5703125" customWidth="1"/>
  </cols>
  <sheetData>
    <row r="1" spans="1:8" x14ac:dyDescent="0.25">
      <c r="A1" s="7" t="s">
        <v>102</v>
      </c>
    </row>
    <row r="3" spans="1:8" x14ac:dyDescent="0.25">
      <c r="B3" s="7" t="s">
        <v>1</v>
      </c>
      <c r="C3" s="7" t="s">
        <v>2</v>
      </c>
      <c r="D3" s="7" t="s">
        <v>69</v>
      </c>
      <c r="E3" s="7" t="s">
        <v>70</v>
      </c>
      <c r="F3" s="7" t="s">
        <v>83</v>
      </c>
      <c r="G3" s="7" t="s">
        <v>84</v>
      </c>
      <c r="H3" s="7" t="s">
        <v>71</v>
      </c>
    </row>
    <row r="4" spans="1:8" x14ac:dyDescent="0.25">
      <c r="A4" s="7" t="s">
        <v>81</v>
      </c>
    </row>
    <row r="5" spans="1:8" x14ac:dyDescent="0.25">
      <c r="A5" t="s">
        <v>118</v>
      </c>
      <c r="B5">
        <v>678</v>
      </c>
      <c r="C5">
        <v>978</v>
      </c>
      <c r="D5">
        <v>3636</v>
      </c>
      <c r="F5">
        <v>5945</v>
      </c>
      <c r="H5" t="s">
        <v>82</v>
      </c>
    </row>
    <row r="6" spans="1:8" x14ac:dyDescent="0.25">
      <c r="A6" t="s">
        <v>128</v>
      </c>
      <c r="B6" s="5">
        <f>B5*'inflation rate'!$J$31</f>
        <v>686.54279999999994</v>
      </c>
      <c r="C6" s="5">
        <f>C5*'inflation rate'!$J$31</f>
        <v>990.32279999999992</v>
      </c>
      <c r="D6" s="5">
        <f>D5*'inflation rate'!$J$31</f>
        <v>3681.8136</v>
      </c>
      <c r="E6" s="5"/>
      <c r="F6" s="5">
        <f>F5*'inflation rate'!$J$31</f>
        <v>6019.9069999999992</v>
      </c>
      <c r="H6" t="s">
        <v>130</v>
      </c>
    </row>
    <row r="7" spans="1:8" x14ac:dyDescent="0.25">
      <c r="A7" t="s">
        <v>88</v>
      </c>
      <c r="B7">
        <v>651</v>
      </c>
      <c r="C7">
        <v>1230</v>
      </c>
      <c r="D7">
        <v>2890</v>
      </c>
      <c r="F7">
        <v>6100</v>
      </c>
      <c r="G7">
        <v>3500</v>
      </c>
      <c r="H7" t="s">
        <v>92</v>
      </c>
    </row>
    <row r="8" spans="1:8" x14ac:dyDescent="0.25">
      <c r="A8" t="s">
        <v>128</v>
      </c>
      <c r="B8" s="5">
        <f>B7*'inflation rate'!$D$31</f>
        <v>728.33420796953112</v>
      </c>
      <c r="C8" s="5">
        <f>C7*'inflation rate'!$D$31</f>
        <v>1376.1153238133998</v>
      </c>
      <c r="D8" s="5">
        <f>D7*'inflation rate'!$D$31</f>
        <v>3233.3116144883943</v>
      </c>
      <c r="E8" s="5"/>
      <c r="F8" s="5">
        <f>F7*'inflation rate'!$D$31</f>
        <v>6824.6369717575108</v>
      </c>
      <c r="G8" s="5">
        <f>G7*'inflation rate'!$D$31</f>
        <v>3915.7753116641456</v>
      </c>
      <c r="H8" t="s">
        <v>129</v>
      </c>
    </row>
    <row r="9" spans="1:8" x14ac:dyDescent="0.25">
      <c r="A9" t="s">
        <v>100</v>
      </c>
      <c r="B9">
        <v>358.7</v>
      </c>
      <c r="C9">
        <v>358.7</v>
      </c>
      <c r="D9">
        <v>525</v>
      </c>
      <c r="E9">
        <v>475</v>
      </c>
      <c r="H9" t="s">
        <v>103</v>
      </c>
    </row>
    <row r="10" spans="1:8" x14ac:dyDescent="0.25">
      <c r="A10" t="s">
        <v>111</v>
      </c>
      <c r="B10" s="5">
        <f>B9*'inflation rate'!$G$16</f>
        <v>470.36990449757138</v>
      </c>
      <c r="C10" s="5">
        <f>C9*'inflation rate'!$G$16</f>
        <v>470.36990449757138</v>
      </c>
      <c r="D10" s="5">
        <f>D9*'inflation rate'!$G$16</f>
        <v>688.44215182945356</v>
      </c>
      <c r="E10" s="5">
        <f>E9*'inflation rate'!$G$16</f>
        <v>622.87623260760085</v>
      </c>
      <c r="H10" t="s">
        <v>113</v>
      </c>
    </row>
    <row r="11" spans="1:8" x14ac:dyDescent="0.25">
      <c r="A11" t="s">
        <v>114</v>
      </c>
      <c r="B11" s="5">
        <f>'Data and sources'!B10/'Screening curves'!$E$1*100</f>
        <v>723.64600691934061</v>
      </c>
      <c r="C11" s="5">
        <f>'Data and sources'!C10/'Screening curves'!$E$1*100</f>
        <v>723.64600691934061</v>
      </c>
      <c r="D11" s="5">
        <f>'Data and sources'!D10/'Screening curves'!$E$1*100</f>
        <v>1059.1417720453132</v>
      </c>
      <c r="E11" s="5">
        <f>'Data and sources'!E10/'Screening curves'!$E$1*100</f>
        <v>958.27112708861671</v>
      </c>
      <c r="H11" t="s">
        <v>101</v>
      </c>
    </row>
    <row r="12" spans="1:8" x14ac:dyDescent="0.25">
      <c r="A12" t="s">
        <v>105</v>
      </c>
      <c r="B12">
        <v>420</v>
      </c>
      <c r="C12">
        <v>480</v>
      </c>
      <c r="D12">
        <v>537</v>
      </c>
      <c r="E12">
        <v>508</v>
      </c>
      <c r="H12" t="s">
        <v>104</v>
      </c>
    </row>
    <row r="13" spans="1:8" x14ac:dyDescent="0.25">
      <c r="A13" t="s">
        <v>111</v>
      </c>
      <c r="B13" s="5">
        <f>B12*'inflation rate'!$J$16</f>
        <v>440.87400000000002</v>
      </c>
      <c r="C13" s="5">
        <f>C12*'inflation rate'!$J$16</f>
        <v>503.85600000000005</v>
      </c>
      <c r="D13" s="5">
        <f>D12*'inflation rate'!$J$16</f>
        <v>563.68889999999999</v>
      </c>
      <c r="E13" s="5">
        <f>E12*'inflation rate'!$J$16</f>
        <v>533.24760000000003</v>
      </c>
      <c r="H13" t="s">
        <v>116</v>
      </c>
    </row>
    <row r="14" spans="1:8" x14ac:dyDescent="0.25">
      <c r="A14" t="s">
        <v>117</v>
      </c>
      <c r="B14" s="14">
        <f>'Data and sources'!B13/'Screening curves'!$E$1*100</f>
        <v>678.26769230769241</v>
      </c>
      <c r="C14" s="14">
        <f>'Data and sources'!C13/'Screening curves'!$E$1*100</f>
        <v>775.16307692307703</v>
      </c>
      <c r="D14" s="5">
        <f>'Data and sources'!D13/'Screening curves'!$E$1*100</f>
        <v>867.21369230769233</v>
      </c>
      <c r="E14" s="5">
        <f>'Data and sources'!E13/'Screening curves'!$E$1*100</f>
        <v>820.38092307692307</v>
      </c>
      <c r="H14" t="s">
        <v>104</v>
      </c>
    </row>
    <row r="15" spans="1:8" x14ac:dyDescent="0.25">
      <c r="A15" t="s">
        <v>100</v>
      </c>
      <c r="B15" s="5"/>
      <c r="C15" s="5"/>
      <c r="D15" s="5">
        <v>484</v>
      </c>
      <c r="E15" s="5">
        <v>468</v>
      </c>
      <c r="H15" t="s">
        <v>106</v>
      </c>
    </row>
    <row r="16" spans="1:8" x14ac:dyDescent="0.25">
      <c r="A16" t="s">
        <v>111</v>
      </c>
      <c r="B16" s="5"/>
      <c r="C16" s="5"/>
      <c r="D16" s="5">
        <f>D15*'inflation rate'!$G$16</f>
        <v>634.67809806753428</v>
      </c>
      <c r="E16" s="5">
        <f>E15*'inflation rate'!$G$16</f>
        <v>613.69700391654146</v>
      </c>
      <c r="H16" t="s">
        <v>115</v>
      </c>
    </row>
    <row r="17" spans="1:8" x14ac:dyDescent="0.25">
      <c r="A17" t="s">
        <v>117</v>
      </c>
      <c r="B17" s="5"/>
      <c r="C17" s="5"/>
      <c r="D17" s="14">
        <f>'Data and sources'!D16/'Screening curves'!$E$1*100</f>
        <v>976.42784318082204</v>
      </c>
      <c r="E17" s="5">
        <f>'Data and sources'!E16/'Screening curves'!$E$1*100</f>
        <v>944.14923679467915</v>
      </c>
      <c r="H17" t="s">
        <v>115</v>
      </c>
    </row>
    <row r="19" spans="1:8" x14ac:dyDescent="0.25">
      <c r="A19" s="7" t="s">
        <v>68</v>
      </c>
    </row>
    <row r="20" spans="1:8" x14ac:dyDescent="0.25">
      <c r="A20" t="s">
        <v>132</v>
      </c>
      <c r="B20">
        <v>3813</v>
      </c>
      <c r="C20">
        <v>1657</v>
      </c>
      <c r="D20">
        <v>1627</v>
      </c>
      <c r="E20">
        <v>1808</v>
      </c>
      <c r="H20" t="s">
        <v>120</v>
      </c>
    </row>
    <row r="21" spans="1:8" x14ac:dyDescent="0.25">
      <c r="A21" t="s">
        <v>119</v>
      </c>
      <c r="B21" s="15">
        <f>B20/'Screening curves'!$E$1</f>
        <v>58.661538461538463</v>
      </c>
      <c r="C21" s="15">
        <f>C20/'Screening curves'!$E$1</f>
        <v>25.492307692307691</v>
      </c>
      <c r="D21" s="15">
        <f>D20/'Screening curves'!$E$1</f>
        <v>25.030769230769231</v>
      </c>
      <c r="E21" s="5">
        <f>E20/'Screening curves'!$E$1</f>
        <v>27.815384615384616</v>
      </c>
      <c r="F21" s="5"/>
      <c r="G21" s="5"/>
      <c r="H21" t="s">
        <v>127</v>
      </c>
    </row>
    <row r="22" spans="1:8" x14ac:dyDescent="0.25">
      <c r="A22" t="s">
        <v>133</v>
      </c>
      <c r="B22" s="15">
        <v>0</v>
      </c>
      <c r="C22" s="15">
        <v>0</v>
      </c>
      <c r="D22" s="15">
        <v>0</v>
      </c>
      <c r="E22" s="5">
        <v>0</v>
      </c>
      <c r="F22" s="5"/>
      <c r="G22" s="5"/>
      <c r="H22" t="s">
        <v>131</v>
      </c>
    </row>
    <row r="23" spans="1:8" x14ac:dyDescent="0.25">
      <c r="A23" t="s">
        <v>134</v>
      </c>
      <c r="B23" s="15">
        <v>0</v>
      </c>
      <c r="C23" s="15">
        <v>0</v>
      </c>
      <c r="D23" s="15">
        <v>0</v>
      </c>
      <c r="E23" s="5">
        <v>0</v>
      </c>
      <c r="F23" s="5"/>
      <c r="G23" s="5"/>
      <c r="H23" t="s">
        <v>131</v>
      </c>
    </row>
    <row r="24" spans="1:8" x14ac:dyDescent="0.25">
      <c r="A24" t="s">
        <v>85</v>
      </c>
      <c r="B24" s="7">
        <v>6.8</v>
      </c>
      <c r="C24" s="7">
        <v>11</v>
      </c>
      <c r="D24" s="7">
        <v>42.1</v>
      </c>
      <c r="F24">
        <v>5945</v>
      </c>
      <c r="H24" t="s">
        <v>94</v>
      </c>
    </row>
    <row r="25" spans="1:8" x14ac:dyDescent="0.25">
      <c r="A25" t="s">
        <v>91</v>
      </c>
      <c r="B25">
        <v>10.7</v>
      </c>
      <c r="C25">
        <v>3.5</v>
      </c>
      <c r="D25">
        <v>4.5999999999999996</v>
      </c>
      <c r="H25" t="s">
        <v>95</v>
      </c>
    </row>
    <row r="26" spans="1:8" x14ac:dyDescent="0.25">
      <c r="A26" t="s">
        <v>121</v>
      </c>
      <c r="B26">
        <v>5.26</v>
      </c>
      <c r="C26">
        <v>6.31</v>
      </c>
      <c r="D26">
        <v>23</v>
      </c>
      <c r="F26">
        <v>127</v>
      </c>
      <c r="G26">
        <v>15</v>
      </c>
      <c r="H26" t="s">
        <v>89</v>
      </c>
    </row>
    <row r="27" spans="1:8" x14ac:dyDescent="0.25">
      <c r="A27" t="s">
        <v>122</v>
      </c>
      <c r="B27">
        <v>29.9</v>
      </c>
      <c r="C27">
        <v>3.67</v>
      </c>
      <c r="D27">
        <v>3.71</v>
      </c>
      <c r="F27">
        <v>0</v>
      </c>
      <c r="G27">
        <v>6</v>
      </c>
      <c r="H27" t="s">
        <v>90</v>
      </c>
    </row>
    <row r="28" spans="1:8" x14ac:dyDescent="0.25">
      <c r="A28" t="s">
        <v>125</v>
      </c>
      <c r="B28" s="3">
        <f>B26*'inflation rate'!$D$31</f>
        <v>5.8848508969581159</v>
      </c>
      <c r="C28" s="3">
        <f>C26*'inflation rate'!$D$31</f>
        <v>7.0595834904573591</v>
      </c>
      <c r="D28" s="3">
        <f>D26*'inflation rate'!$D$31</f>
        <v>25.732237762364385</v>
      </c>
      <c r="E28" s="3"/>
      <c r="F28" s="3">
        <f>F26*'inflation rate'!$D$31</f>
        <v>142.086704166099</v>
      </c>
      <c r="G28" s="3">
        <f>G26*'inflation rate'!$D$31</f>
        <v>16.781894192846337</v>
      </c>
      <c r="H28" t="s">
        <v>89</v>
      </c>
    </row>
    <row r="29" spans="1:8" x14ac:dyDescent="0.25">
      <c r="A29" t="s">
        <v>126</v>
      </c>
      <c r="B29" s="3">
        <f>B27*'inflation rate'!$D$31</f>
        <v>33.451909091073702</v>
      </c>
      <c r="C29" s="3">
        <f>C27*'inflation rate'!$D$31</f>
        <v>4.1059701125164043</v>
      </c>
      <c r="D29" s="3">
        <f>D27*'inflation rate'!$D$31</f>
        <v>4.1507218303639943</v>
      </c>
      <c r="E29" s="3"/>
      <c r="F29" s="3">
        <f>F27*'inflation rate'!$D$31</f>
        <v>0</v>
      </c>
      <c r="G29" s="3">
        <f>G27*'inflation rate'!$D$31</f>
        <v>6.7127576771385353</v>
      </c>
      <c r="H29" t="s">
        <v>90</v>
      </c>
    </row>
    <row r="31" spans="1:8" x14ac:dyDescent="0.25">
      <c r="A31" s="7" t="s">
        <v>73</v>
      </c>
    </row>
    <row r="32" spans="1:8" x14ac:dyDescent="0.25">
      <c r="A32" t="s">
        <v>74</v>
      </c>
      <c r="E32">
        <v>2375</v>
      </c>
      <c r="H32" t="s">
        <v>72</v>
      </c>
    </row>
    <row r="33" spans="1:8" x14ac:dyDescent="0.25">
      <c r="A33" t="s">
        <v>74</v>
      </c>
      <c r="B33">
        <v>3065</v>
      </c>
      <c r="C33">
        <v>2071</v>
      </c>
      <c r="H33" t="s">
        <v>97</v>
      </c>
    </row>
    <row r="34" spans="1:8" x14ac:dyDescent="0.25">
      <c r="A34" t="s">
        <v>74</v>
      </c>
      <c r="B34">
        <v>2900</v>
      </c>
      <c r="C34">
        <v>2000</v>
      </c>
      <c r="D34">
        <v>2250</v>
      </c>
      <c r="E34">
        <v>2365</v>
      </c>
      <c r="H34" t="s">
        <v>96</v>
      </c>
    </row>
    <row r="35" spans="1:8" x14ac:dyDescent="0.25">
      <c r="A35" t="s">
        <v>86</v>
      </c>
      <c r="B35">
        <v>9800</v>
      </c>
      <c r="C35">
        <v>6600</v>
      </c>
      <c r="D35">
        <v>8800</v>
      </c>
      <c r="H35" t="s">
        <v>93</v>
      </c>
    </row>
    <row r="36" spans="1:8" x14ac:dyDescent="0.25">
      <c r="A36" t="s">
        <v>98</v>
      </c>
      <c r="B36" s="5">
        <f>B35/'Screening curves'!$E$4</f>
        <v>2471.2091525517758</v>
      </c>
      <c r="C36" s="5">
        <f>C35/'Screening curves'!$E$4</f>
        <v>1664.283714983849</v>
      </c>
      <c r="D36" s="5">
        <f>D35/'Screening curves'!$E$4</f>
        <v>2219.0449533117985</v>
      </c>
      <c r="E36" s="5"/>
      <c r="H36" t="s">
        <v>93</v>
      </c>
    </row>
    <row r="37" spans="1:8" x14ac:dyDescent="0.25">
      <c r="A37" t="s">
        <v>86</v>
      </c>
      <c r="B37">
        <v>10390</v>
      </c>
      <c r="C37">
        <v>6705</v>
      </c>
      <c r="D37">
        <v>9370</v>
      </c>
      <c r="F37">
        <v>9720</v>
      </c>
      <c r="H37" t="s">
        <v>87</v>
      </c>
    </row>
    <row r="38" spans="1:8" x14ac:dyDescent="0.25">
      <c r="A38" t="s">
        <v>98</v>
      </c>
      <c r="B38" s="5">
        <f>B37/'Screening curves'!$E$4</f>
        <v>2619.9860301033623</v>
      </c>
      <c r="C38" s="5">
        <f>C37/'Screening curves'!$E$4</f>
        <v>1690.7609559040466</v>
      </c>
      <c r="D38" s="5">
        <f>D37/'Screening curves'!$E$4</f>
        <v>2362.7785468785855</v>
      </c>
      <c r="E38" s="5"/>
      <c r="H38" t="s">
        <v>87</v>
      </c>
    </row>
    <row r="40" spans="1:8" x14ac:dyDescent="0.25">
      <c r="A40" s="7" t="s">
        <v>137</v>
      </c>
    </row>
    <row r="43" spans="1:8" x14ac:dyDescent="0.25">
      <c r="A43" s="7" t="s">
        <v>138</v>
      </c>
    </row>
    <row r="44" spans="1:8" x14ac:dyDescent="0.25">
      <c r="A44" t="s">
        <v>139</v>
      </c>
      <c r="B44" s="8">
        <v>6.25E-2</v>
      </c>
      <c r="C44" t="s">
        <v>140</v>
      </c>
    </row>
    <row r="45" spans="1:8" x14ac:dyDescent="0.25">
      <c r="B45" s="8">
        <v>0.108</v>
      </c>
      <c r="C45" t="s">
        <v>141</v>
      </c>
    </row>
    <row r="47" spans="1:8" x14ac:dyDescent="0.25">
      <c r="A47" s="7" t="s">
        <v>144</v>
      </c>
    </row>
    <row r="48" spans="1:8" x14ac:dyDescent="0.25">
      <c r="A48" t="s">
        <v>145</v>
      </c>
      <c r="B48">
        <v>10.7</v>
      </c>
      <c r="C48" t="s">
        <v>147</v>
      </c>
    </row>
    <row r="49" spans="1:4" x14ac:dyDescent="0.25">
      <c r="B49">
        <v>8.5</v>
      </c>
      <c r="C49" t="s">
        <v>148</v>
      </c>
    </row>
    <row r="50" spans="1:4" x14ac:dyDescent="0.25">
      <c r="B50" s="7">
        <v>10</v>
      </c>
      <c r="C50" t="s">
        <v>146</v>
      </c>
    </row>
    <row r="51" spans="1:4" x14ac:dyDescent="0.25">
      <c r="B51">
        <v>5.5</v>
      </c>
      <c r="C51" t="s">
        <v>149</v>
      </c>
    </row>
    <row r="52" spans="1:4" x14ac:dyDescent="0.25">
      <c r="C52" t="s">
        <v>168</v>
      </c>
    </row>
    <row r="54" spans="1:4" x14ac:dyDescent="0.25">
      <c r="A54" s="7" t="s">
        <v>150</v>
      </c>
    </row>
    <row r="57" spans="1:4" x14ac:dyDescent="0.25">
      <c r="A57" s="7" t="s">
        <v>154</v>
      </c>
      <c r="B57" t="s">
        <v>163</v>
      </c>
      <c r="C57" t="s">
        <v>164</v>
      </c>
    </row>
    <row r="58" spans="1:4" x14ac:dyDescent="0.25">
      <c r="A58" t="s">
        <v>155</v>
      </c>
      <c r="B58">
        <f>'Screening curves'!E1</f>
        <v>65</v>
      </c>
      <c r="C58">
        <f>B58</f>
        <v>65</v>
      </c>
    </row>
    <row r="59" spans="1:4" x14ac:dyDescent="0.25">
      <c r="A59" t="s">
        <v>156</v>
      </c>
      <c r="B59" s="17">
        <v>1100</v>
      </c>
      <c r="C59" s="17">
        <v>900</v>
      </c>
      <c r="D59" s="17"/>
    </row>
    <row r="60" spans="1:4" x14ac:dyDescent="0.25">
      <c r="A60" t="s">
        <v>166</v>
      </c>
      <c r="B60" s="17">
        <f>B59*B58</f>
        <v>71500</v>
      </c>
      <c r="C60" s="17">
        <f>C59*C58</f>
        <v>58500</v>
      </c>
      <c r="D60" s="17"/>
    </row>
    <row r="61" spans="1:4" ht="15.75" x14ac:dyDescent="0.25">
      <c r="A61" t="s">
        <v>17</v>
      </c>
      <c r="B61" s="18">
        <v>7.0000000000000007E-2</v>
      </c>
      <c r="C61" s="18">
        <v>7.0000000000000007E-2</v>
      </c>
      <c r="D61" s="18"/>
    </row>
    <row r="62" spans="1:4" ht="15.75" x14ac:dyDescent="0.25">
      <c r="A62" t="s">
        <v>160</v>
      </c>
      <c r="B62" s="19">
        <v>25</v>
      </c>
      <c r="C62" s="19">
        <v>25</v>
      </c>
      <c r="D62" s="19"/>
    </row>
    <row r="63" spans="1:4" ht="15.75" x14ac:dyDescent="0.25">
      <c r="A63" t="s">
        <v>19</v>
      </c>
      <c r="B63" s="9">
        <f>(B61*(1+B61)^B62)/(((1+B61)^B62)-1)</f>
        <v>8.5810517220665614E-2</v>
      </c>
      <c r="C63" s="9">
        <f t="shared" ref="C63" si="0">(C61*(1+C61)^C62)/(((1+C61)^C62)-1)</f>
        <v>8.5810517220665614E-2</v>
      </c>
      <c r="D63" s="9"/>
    </row>
    <row r="64" spans="1:4" ht="15.75" x14ac:dyDescent="0.25">
      <c r="A64" t="s">
        <v>161</v>
      </c>
      <c r="B64" s="16">
        <v>15</v>
      </c>
      <c r="C64" s="16">
        <v>10</v>
      </c>
      <c r="D64" s="16"/>
    </row>
    <row r="65" spans="1:4" ht="15.75" x14ac:dyDescent="0.25">
      <c r="A65" t="s">
        <v>162</v>
      </c>
      <c r="B65" s="16">
        <v>0</v>
      </c>
      <c r="C65" s="16">
        <v>0</v>
      </c>
      <c r="D65" s="16"/>
    </row>
    <row r="66" spans="1:4" x14ac:dyDescent="0.25">
      <c r="A66" t="s">
        <v>158</v>
      </c>
      <c r="B66" s="1">
        <v>0.25</v>
      </c>
      <c r="C66" s="1">
        <v>0.19700000000000001</v>
      </c>
      <c r="D66" s="1" t="s">
        <v>165</v>
      </c>
    </row>
    <row r="67" spans="1:4" x14ac:dyDescent="0.25">
      <c r="A67" t="s">
        <v>157</v>
      </c>
      <c r="B67" s="4">
        <f>((B59*B63+B64)/(8760*B66)+B65)*10^3</f>
        <v>49.950488101704188</v>
      </c>
      <c r="C67" s="4">
        <f>((C59*C63+C64)/(8760*C66)+C65)*10^3</f>
        <v>50.546708329624188</v>
      </c>
      <c r="D67" s="4"/>
    </row>
    <row r="68" spans="1:4" x14ac:dyDescent="0.25">
      <c r="A68" t="s">
        <v>159</v>
      </c>
      <c r="B68" s="4">
        <f>B67*B58/10^3</f>
        <v>3.2467817266107724</v>
      </c>
      <c r="C68" s="4">
        <f>C67*C58/10^3</f>
        <v>3.2855360414255723</v>
      </c>
      <c r="D68" s="4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A7" workbookViewId="0">
      <selection activeCell="B14" sqref="B14:B17"/>
    </sheetView>
  </sheetViews>
  <sheetFormatPr defaultRowHeight="15" x14ac:dyDescent="0.25"/>
  <cols>
    <col min="2" max="2" width="15.85546875" customWidth="1"/>
    <col min="3" max="3" width="12.42578125" customWidth="1"/>
    <col min="4" max="4" width="9" customWidth="1"/>
    <col min="5" max="5" width="8.7109375" customWidth="1"/>
  </cols>
  <sheetData>
    <row r="1" spans="1:12" x14ac:dyDescent="0.25">
      <c r="A1" t="s">
        <v>107</v>
      </c>
    </row>
    <row r="2" spans="1:12" x14ac:dyDescent="0.25">
      <c r="A2" t="s">
        <v>109</v>
      </c>
    </row>
    <row r="3" spans="1:12" x14ac:dyDescent="0.25">
      <c r="A3" t="s">
        <v>108</v>
      </c>
    </row>
    <row r="5" spans="1:12" x14ac:dyDescent="0.25">
      <c r="A5" t="s">
        <v>123</v>
      </c>
    </row>
    <row r="6" spans="1:12" x14ac:dyDescent="0.25">
      <c r="A6" t="s">
        <v>112</v>
      </c>
    </row>
    <row r="7" spans="1:12" ht="30" customHeight="1" x14ac:dyDescent="0.25">
      <c r="B7" s="13" t="s">
        <v>110</v>
      </c>
      <c r="C7">
        <v>2008</v>
      </c>
      <c r="D7">
        <v>2009</v>
      </c>
      <c r="E7">
        <v>2010</v>
      </c>
      <c r="F7">
        <v>2011</v>
      </c>
      <c r="G7">
        <v>2012</v>
      </c>
      <c r="H7">
        <v>2013</v>
      </c>
      <c r="I7">
        <v>2014</v>
      </c>
      <c r="J7">
        <v>2015</v>
      </c>
      <c r="K7">
        <v>2016</v>
      </c>
      <c r="L7">
        <v>2017</v>
      </c>
    </row>
    <row r="8" spans="1:12" x14ac:dyDescent="0.25">
      <c r="A8">
        <v>2008</v>
      </c>
      <c r="B8" s="8">
        <v>8.3199999999999996E-2</v>
      </c>
      <c r="C8">
        <v>1</v>
      </c>
      <c r="D8" s="2"/>
    </row>
    <row r="9" spans="1:12" x14ac:dyDescent="0.25">
      <c r="A9">
        <v>2009</v>
      </c>
      <c r="B9" s="8">
        <v>0.10829999999999999</v>
      </c>
      <c r="C9" s="2">
        <f>C8*(1+$B9)</f>
        <v>1.1083000000000001</v>
      </c>
      <c r="D9">
        <v>1</v>
      </c>
    </row>
    <row r="10" spans="1:12" x14ac:dyDescent="0.25">
      <c r="A10">
        <v>2010</v>
      </c>
      <c r="B10" s="8">
        <v>0.1211</v>
      </c>
      <c r="C10" s="2">
        <f t="shared" ref="C10:C17" si="0">C9*(1+B10)</f>
        <v>1.2425151300000001</v>
      </c>
      <c r="D10" s="2">
        <f>D9*(1+$B10)</f>
        <v>1.1211</v>
      </c>
      <c r="E10">
        <v>1</v>
      </c>
    </row>
    <row r="11" spans="1:12" x14ac:dyDescent="0.25">
      <c r="A11">
        <v>2011</v>
      </c>
      <c r="B11" s="8">
        <v>8.8700000000000001E-2</v>
      </c>
      <c r="C11" s="2">
        <f t="shared" si="0"/>
        <v>1.3527262220310001</v>
      </c>
      <c r="D11" s="2">
        <f t="shared" ref="D11:D17" si="1">D10*(1+$B11)</f>
        <v>1.22054157</v>
      </c>
      <c r="E11" s="2">
        <f>E10*(1+$B11)</f>
        <v>1.0887</v>
      </c>
      <c r="F11">
        <v>1</v>
      </c>
    </row>
    <row r="12" spans="1:12" x14ac:dyDescent="0.25">
      <c r="A12">
        <v>2012</v>
      </c>
      <c r="B12" s="8">
        <v>9.2999999999999999E-2</v>
      </c>
      <c r="C12" s="2">
        <f t="shared" si="0"/>
        <v>1.4785297606798831</v>
      </c>
      <c r="D12" s="2">
        <f t="shared" si="1"/>
        <v>1.3340519360099998</v>
      </c>
      <c r="E12" s="2">
        <f t="shared" ref="E12:E17" si="2">E11*(1+$B12)</f>
        <v>1.1899491</v>
      </c>
      <c r="F12" s="2">
        <f>F11*(1+$B12)</f>
        <v>1.093</v>
      </c>
      <c r="G12">
        <v>1</v>
      </c>
    </row>
    <row r="13" spans="1:12" x14ac:dyDescent="0.25">
      <c r="A13">
        <v>2013</v>
      </c>
      <c r="B13" s="8">
        <v>0.10920000000000001</v>
      </c>
      <c r="C13" s="2">
        <f t="shared" si="0"/>
        <v>1.6399852105461263</v>
      </c>
      <c r="D13" s="2">
        <f t="shared" si="1"/>
        <v>1.4797304074222917</v>
      </c>
      <c r="E13" s="2">
        <f t="shared" si="2"/>
        <v>1.3198915417199999</v>
      </c>
      <c r="F13" s="2">
        <f t="shared" ref="F13:F17" si="3">F12*(1+$B13)</f>
        <v>1.2123556</v>
      </c>
      <c r="G13" s="2">
        <f>G12*(1+$B13)</f>
        <v>1.1092</v>
      </c>
      <c r="H13">
        <v>1</v>
      </c>
    </row>
    <row r="14" spans="1:12" x14ac:dyDescent="0.25">
      <c r="A14">
        <v>2014</v>
      </c>
      <c r="B14" s="8">
        <v>6.3700000000000007E-2</v>
      </c>
      <c r="C14" s="2">
        <f t="shared" si="0"/>
        <v>1.7444522684579147</v>
      </c>
      <c r="D14" s="2">
        <f t="shared" si="1"/>
        <v>1.5739892343750919</v>
      </c>
      <c r="E14" s="2">
        <f t="shared" si="2"/>
        <v>1.403968632927564</v>
      </c>
      <c r="F14" s="2">
        <f t="shared" si="3"/>
        <v>1.2895826517200002</v>
      </c>
      <c r="G14" s="2">
        <f t="shared" ref="G14:G17" si="4">G13*(1+$B14)</f>
        <v>1.17985604</v>
      </c>
      <c r="H14" s="2">
        <f>H13*(1+$B14)</f>
        <v>1.0637000000000001</v>
      </c>
      <c r="I14">
        <v>1</v>
      </c>
    </row>
    <row r="15" spans="1:12" x14ac:dyDescent="0.25">
      <c r="A15">
        <v>2015</v>
      </c>
      <c r="B15" s="8">
        <v>5.8799999999999998E-2</v>
      </c>
      <c r="C15" s="2">
        <f t="shared" si="0"/>
        <v>1.8470260618432399</v>
      </c>
      <c r="D15" s="2">
        <f t="shared" si="1"/>
        <v>1.6665398013563473</v>
      </c>
      <c r="E15" s="2">
        <f t="shared" si="2"/>
        <v>1.4865219885437047</v>
      </c>
      <c r="F15" s="2">
        <f t="shared" si="3"/>
        <v>1.3654101116411361</v>
      </c>
      <c r="G15" s="2">
        <f t="shared" si="4"/>
        <v>1.249231575152</v>
      </c>
      <c r="H15" s="2">
        <f t="shared" ref="H15:H17" si="5">H14*(1+$B15)</f>
        <v>1.1262455600000001</v>
      </c>
      <c r="I15" s="2">
        <f>I14*(1+$B15)</f>
        <v>1.0588</v>
      </c>
      <c r="J15">
        <v>1</v>
      </c>
    </row>
    <row r="16" spans="1:12" x14ac:dyDescent="0.25">
      <c r="A16">
        <v>2016</v>
      </c>
      <c r="B16" s="8">
        <v>4.9700000000000001E-2</v>
      </c>
      <c r="C16" s="2">
        <f t="shared" si="0"/>
        <v>1.9388232571168491</v>
      </c>
      <c r="D16" s="2">
        <f t="shared" si="1"/>
        <v>1.7493668294837579</v>
      </c>
      <c r="E16" s="2">
        <f t="shared" si="2"/>
        <v>1.5604021313743268</v>
      </c>
      <c r="F16" s="2">
        <f t="shared" si="3"/>
        <v>1.4332709941897006</v>
      </c>
      <c r="G16" s="2">
        <f t="shared" si="4"/>
        <v>1.3113183844370544</v>
      </c>
      <c r="H16" s="2">
        <f t="shared" si="5"/>
        <v>1.1822199643320002</v>
      </c>
      <c r="I16" s="2">
        <f t="shared" ref="I16:I17" si="6">I15*(1+$B16)</f>
        <v>1.1114223599999999</v>
      </c>
      <c r="J16" s="2">
        <f>J15*(1+$B16)</f>
        <v>1.0497000000000001</v>
      </c>
      <c r="K16">
        <v>1</v>
      </c>
    </row>
    <row r="17" spans="1:12" x14ac:dyDescent="0.25">
      <c r="A17">
        <v>2017</v>
      </c>
      <c r="B17" s="8">
        <v>2.0799999999999999E-2</v>
      </c>
      <c r="C17" s="2">
        <f t="shared" si="0"/>
        <v>1.9791507808648794</v>
      </c>
      <c r="D17" s="2">
        <f t="shared" si="1"/>
        <v>1.7857536595370198</v>
      </c>
      <c r="E17" s="2">
        <f t="shared" si="2"/>
        <v>1.5928584957069127</v>
      </c>
      <c r="F17" s="2">
        <f t="shared" si="3"/>
        <v>1.4630830308688463</v>
      </c>
      <c r="G17" s="2">
        <f t="shared" si="4"/>
        <v>1.3385938068333449</v>
      </c>
      <c r="H17" s="2">
        <f t="shared" si="5"/>
        <v>1.2068101395901056</v>
      </c>
      <c r="I17" s="2">
        <f t="shared" si="6"/>
        <v>1.1345399450879998</v>
      </c>
      <c r="J17" s="2">
        <f>J16*(1+$B17)</f>
        <v>1.0715337600000001</v>
      </c>
      <c r="K17" s="2">
        <f>K16*(1+$B17)</f>
        <v>1.0207999999999999</v>
      </c>
      <c r="L17">
        <v>1</v>
      </c>
    </row>
    <row r="20" spans="1:12" x14ac:dyDescent="0.25">
      <c r="A20" t="s">
        <v>124</v>
      </c>
    </row>
    <row r="21" spans="1:12" x14ac:dyDescent="0.25">
      <c r="A21" t="s">
        <v>112</v>
      </c>
    </row>
    <row r="22" spans="1:12" ht="30" x14ac:dyDescent="0.25">
      <c r="B22" s="13" t="s">
        <v>110</v>
      </c>
      <c r="C22">
        <v>2008</v>
      </c>
      <c r="D22">
        <v>2009</v>
      </c>
      <c r="E22">
        <v>2010</v>
      </c>
      <c r="F22">
        <v>2011</v>
      </c>
      <c r="G22">
        <v>2012</v>
      </c>
      <c r="H22">
        <v>2013</v>
      </c>
      <c r="I22">
        <v>2014</v>
      </c>
      <c r="J22">
        <v>2015</v>
      </c>
      <c r="K22">
        <v>2016</v>
      </c>
      <c r="L22">
        <v>2017</v>
      </c>
    </row>
    <row r="23" spans="1:12" x14ac:dyDescent="0.25">
      <c r="A23">
        <v>2008</v>
      </c>
      <c r="B23" s="8">
        <v>3.85E-2</v>
      </c>
      <c r="C23">
        <v>1</v>
      </c>
      <c r="D23" s="2"/>
    </row>
    <row r="24" spans="1:12" x14ac:dyDescent="0.25">
      <c r="A24">
        <v>2009</v>
      </c>
      <c r="B24" s="8">
        <v>-3.3999999999999998E-3</v>
      </c>
      <c r="C24" s="2">
        <f>C23*(1+$B24)</f>
        <v>0.99660000000000004</v>
      </c>
      <c r="D24">
        <v>1</v>
      </c>
    </row>
    <row r="25" spans="1:12" x14ac:dyDescent="0.25">
      <c r="A25">
        <v>2010</v>
      </c>
      <c r="B25" s="8">
        <v>1.6400000000000001E-2</v>
      </c>
      <c r="C25" s="2">
        <f t="shared" ref="C25:C32" si="7">C24*(1+B25)</f>
        <v>1.0129442399999999</v>
      </c>
      <c r="D25" s="2">
        <f>D24*(1+$B25)</f>
        <v>1.0164</v>
      </c>
      <c r="E25">
        <v>1</v>
      </c>
    </row>
    <row r="26" spans="1:12" x14ac:dyDescent="0.25">
      <c r="A26">
        <v>2011</v>
      </c>
      <c r="B26" s="8">
        <v>3.1600000000000003E-2</v>
      </c>
      <c r="C26" s="2">
        <f t="shared" si="7"/>
        <v>1.0449532779840001</v>
      </c>
      <c r="D26" s="2">
        <f t="shared" ref="D26:D32" si="8">D25*(1+$B26)</f>
        <v>1.0485182399999999</v>
      </c>
      <c r="E26" s="2">
        <f>E25*(1+$B26)</f>
        <v>1.0316000000000001</v>
      </c>
      <c r="F26">
        <v>1</v>
      </c>
    </row>
    <row r="27" spans="1:12" x14ac:dyDescent="0.25">
      <c r="A27">
        <v>2012</v>
      </c>
      <c r="B27" s="8">
        <v>2.07E-2</v>
      </c>
      <c r="C27" s="2">
        <f t="shared" si="7"/>
        <v>1.0665838108382688</v>
      </c>
      <c r="D27" s="2">
        <f t="shared" si="8"/>
        <v>1.0702225675679999</v>
      </c>
      <c r="E27" s="2">
        <f t="shared" ref="E27:E32" si="9">E26*(1+$B27)</f>
        <v>1.0529541200000001</v>
      </c>
      <c r="F27" s="2">
        <f>F26*(1+$B27)</f>
        <v>1.0206999999999999</v>
      </c>
      <c r="G27">
        <v>1</v>
      </c>
    </row>
    <row r="28" spans="1:12" x14ac:dyDescent="0.25">
      <c r="A28">
        <v>2013</v>
      </c>
      <c r="B28" s="8">
        <v>1.47E-2</v>
      </c>
      <c r="C28" s="2">
        <f t="shared" si="7"/>
        <v>1.0822625928575913</v>
      </c>
      <c r="D28" s="2">
        <f t="shared" si="8"/>
        <v>1.0859548393112495</v>
      </c>
      <c r="E28" s="2">
        <f t="shared" si="9"/>
        <v>1.068432545564</v>
      </c>
      <c r="F28" s="2">
        <f t="shared" ref="F28:F32" si="10">F27*(1+$B28)</f>
        <v>1.03570429</v>
      </c>
      <c r="G28" s="2">
        <f>G27*(1+$B28)</f>
        <v>1.0146999999999999</v>
      </c>
      <c r="H28">
        <v>1</v>
      </c>
    </row>
    <row r="29" spans="1:12" x14ac:dyDescent="0.25">
      <c r="A29">
        <v>2014</v>
      </c>
      <c r="B29" s="8">
        <v>1.6199999999999999E-2</v>
      </c>
      <c r="C29" s="2">
        <f t="shared" si="7"/>
        <v>1.0997952468618843</v>
      </c>
      <c r="D29" s="2">
        <f t="shared" si="8"/>
        <v>1.1035473077080917</v>
      </c>
      <c r="E29" s="2">
        <f t="shared" si="9"/>
        <v>1.0857411528021368</v>
      </c>
      <c r="F29" s="2">
        <f t="shared" si="10"/>
        <v>1.0524826994979999</v>
      </c>
      <c r="G29" s="2">
        <f t="shared" ref="G29:G32" si="11">G28*(1+$B29)</f>
        <v>1.0311381399999999</v>
      </c>
      <c r="H29" s="2">
        <f>H28*(1+$B29)</f>
        <v>1.0162</v>
      </c>
      <c r="I29">
        <v>1</v>
      </c>
    </row>
    <row r="30" spans="1:12" x14ac:dyDescent="0.25">
      <c r="A30">
        <v>2015</v>
      </c>
      <c r="B30" s="8">
        <v>1.1999999999999999E-3</v>
      </c>
      <c r="C30" s="2">
        <f t="shared" si="7"/>
        <v>1.1011150011581188</v>
      </c>
      <c r="D30" s="2">
        <f t="shared" si="8"/>
        <v>1.1048715644773415</v>
      </c>
      <c r="E30" s="2">
        <f t="shared" si="9"/>
        <v>1.0870440421854994</v>
      </c>
      <c r="F30" s="2">
        <f t="shared" si="10"/>
        <v>1.0537456787373976</v>
      </c>
      <c r="G30" s="2">
        <f t="shared" si="11"/>
        <v>1.032375505768</v>
      </c>
      <c r="H30" s="2">
        <f t="shared" ref="H30:H32" si="12">H29*(1+$B30)</f>
        <v>1.0174194400000001</v>
      </c>
      <c r="I30" s="2">
        <f>I29*(1+$B30)</f>
        <v>1.0012000000000001</v>
      </c>
      <c r="J30">
        <v>1</v>
      </c>
    </row>
    <row r="31" spans="1:12" x14ac:dyDescent="0.25">
      <c r="A31">
        <v>2016</v>
      </c>
      <c r="B31" s="8">
        <v>1.26E-2</v>
      </c>
      <c r="C31" s="2">
        <f t="shared" si="7"/>
        <v>1.1149890501727111</v>
      </c>
      <c r="D31" s="2">
        <f t="shared" si="8"/>
        <v>1.1187929461897559</v>
      </c>
      <c r="E31" s="2">
        <f t="shared" si="9"/>
        <v>1.1007407971170367</v>
      </c>
      <c r="F31" s="2">
        <f t="shared" si="10"/>
        <v>1.0670228742894887</v>
      </c>
      <c r="G31" s="2">
        <f t="shared" si="11"/>
        <v>1.0453834371406767</v>
      </c>
      <c r="H31" s="2">
        <f t="shared" si="12"/>
        <v>1.030238924944</v>
      </c>
      <c r="I31" s="2">
        <f t="shared" ref="I31:I32" si="13">I30*(1+$B31)</f>
        <v>1.0138151200000001</v>
      </c>
      <c r="J31" s="2">
        <f>J30*(1+$B31)</f>
        <v>1.0125999999999999</v>
      </c>
      <c r="K31">
        <v>1</v>
      </c>
    </row>
    <row r="32" spans="1:12" x14ac:dyDescent="0.25">
      <c r="A32">
        <v>2017</v>
      </c>
      <c r="B32" s="8">
        <v>2.2200000000000001E-2</v>
      </c>
      <c r="C32" s="2">
        <f t="shared" si="7"/>
        <v>1.1397418070865453</v>
      </c>
      <c r="D32" s="2">
        <f t="shared" si="8"/>
        <v>1.1436301495951684</v>
      </c>
      <c r="E32" s="2">
        <f t="shared" si="9"/>
        <v>1.1251772428130349</v>
      </c>
      <c r="F32" s="2">
        <f t="shared" si="10"/>
        <v>1.0907107820987154</v>
      </c>
      <c r="G32" s="2">
        <f t="shared" si="11"/>
        <v>1.0685909494451997</v>
      </c>
      <c r="H32" s="2">
        <f t="shared" si="12"/>
        <v>1.0531102290777568</v>
      </c>
      <c r="I32" s="2">
        <f t="shared" si="13"/>
        <v>1.0363218156640002</v>
      </c>
      <c r="J32" s="2">
        <f>J31*(1+$B32)</f>
        <v>1.0350797199999999</v>
      </c>
      <c r="K32" s="2">
        <f>K31*(1+$B32)</f>
        <v>1.0222</v>
      </c>
      <c r="L3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G2"/>
    </sheetView>
  </sheetViews>
  <sheetFormatPr defaultRowHeight="15" x14ac:dyDescent="0.25"/>
  <sheetData>
    <row r="1" spans="1:7" x14ac:dyDescent="0.25">
      <c r="A1" t="s">
        <v>56</v>
      </c>
      <c r="B1" t="s">
        <v>57</v>
      </c>
      <c r="C1" t="s">
        <v>58</v>
      </c>
      <c r="D1" t="s">
        <v>59</v>
      </c>
      <c r="E1" t="s">
        <v>61</v>
      </c>
      <c r="F1" t="s">
        <v>62</v>
      </c>
      <c r="G1" t="s">
        <v>63</v>
      </c>
    </row>
    <row r="2" spans="1:7" x14ac:dyDescent="0.25">
      <c r="A2" s="12">
        <v>0.11552962946954758</v>
      </c>
      <c r="B2" s="12">
        <v>0.41757834881118489</v>
      </c>
      <c r="C2" s="1">
        <v>1</v>
      </c>
      <c r="D2">
        <v>10.7</v>
      </c>
      <c r="E2">
        <v>651</v>
      </c>
      <c r="F2">
        <v>1230</v>
      </c>
      <c r="G2">
        <v>2890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O11" sqref="O11"/>
    </sheetView>
  </sheetViews>
  <sheetFormatPr defaultRowHeight="15" x14ac:dyDescent="0.25"/>
  <sheetData>
    <row r="1" spans="1:7" x14ac:dyDescent="0.25">
      <c r="A1" t="s">
        <v>56</v>
      </c>
      <c r="B1" t="s">
        <v>57</v>
      </c>
      <c r="C1" t="s">
        <v>58</v>
      </c>
      <c r="D1" t="s">
        <v>59</v>
      </c>
      <c r="E1" t="s">
        <v>61</v>
      </c>
      <c r="F1" t="s">
        <v>62</v>
      </c>
      <c r="G1" t="s">
        <v>63</v>
      </c>
    </row>
    <row r="2" spans="1:7" x14ac:dyDescent="0.25">
      <c r="A2" s="12">
        <v>5.2999999999999999E-2</v>
      </c>
      <c r="B2" s="12">
        <v>0</v>
      </c>
      <c r="C2" s="1">
        <v>1</v>
      </c>
      <c r="D2">
        <v>10.7</v>
      </c>
      <c r="E2">
        <v>650</v>
      </c>
      <c r="F2">
        <v>1230</v>
      </c>
      <c r="G2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Screening curves</vt:lpstr>
      <vt:lpstr>Data and sources</vt:lpstr>
      <vt:lpstr>inflation rate</vt:lpstr>
      <vt:lpstr>price_sc1</vt:lpstr>
      <vt:lpstr>price_sc1_old_thesis</vt:lpstr>
      <vt:lpstr>price_sc2_old_thesis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Ranjit</dc:creator>
  <cp:lastModifiedBy>Ranjit</cp:lastModifiedBy>
  <dcterms:created xsi:type="dcterms:W3CDTF">2016-11-08T05:09:06Z</dcterms:created>
  <dcterms:modified xsi:type="dcterms:W3CDTF">2017-08-04T01:13:07Z</dcterms:modified>
</cp:coreProperties>
</file>