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xr:revisionPtr revIDLastSave="0" documentId="13_ncr:1_{E1155E8C-1399-144C-A9D0-615F5DF16F7E}" xr6:coauthVersionLast="43" xr6:coauthVersionMax="43" xr10:uidLastSave="{00000000-0000-0000-0000-000000000000}"/>
  <bookViews>
    <workbookView xWindow="0" yWindow="460" windowWidth="28800" windowHeight="17540" firstSheet="1" activeTab="2" xr2:uid="{00000000-000D-0000-FFFF-FFFF00000000}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RE_trajectories" sheetId="16" r:id="rId7"/>
    <sheet name="LC_solar_wt_cost" sheetId="17" r:id="rId8"/>
    <sheet name="LC_wind_wt_cost" sheetId="18" r:id="rId9"/>
    <sheet name="Data and sources" sheetId="4" r:id="rId10"/>
    <sheet name="inflation rate" sheetId="5" r:id="rId11"/>
    <sheet name="FGD costs" sheetId="15" r:id="rId12"/>
    <sheet name="scenarios" sheetId="13" r:id="rId13"/>
    <sheet name="run_times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38" i="1"/>
  <c r="D38" i="1"/>
  <c r="B38" i="1"/>
  <c r="D34" i="1"/>
  <c r="E54" i="1"/>
  <c r="D43" i="1"/>
  <c r="D35" i="1"/>
  <c r="K47" i="11" l="1"/>
  <c r="K44" i="11"/>
  <c r="K42" i="11"/>
  <c r="K40" i="11"/>
  <c r="K39" i="11"/>
  <c r="K37" i="11"/>
  <c r="K7" i="11" s="1"/>
  <c r="K36" i="11"/>
  <c r="K34" i="11"/>
  <c r="K33" i="11"/>
  <c r="K30" i="11"/>
  <c r="K29" i="11"/>
  <c r="K26" i="11"/>
  <c r="K25" i="11"/>
  <c r="K22" i="11"/>
  <c r="K21" i="11"/>
  <c r="K19" i="11"/>
  <c r="K17" i="11"/>
  <c r="K15" i="11"/>
  <c r="K13" i="11"/>
  <c r="K11" i="11"/>
  <c r="K8" i="11" s="1"/>
  <c r="K10" i="11"/>
  <c r="I47" i="11"/>
  <c r="I44" i="11"/>
  <c r="I42" i="11"/>
  <c r="I40" i="11"/>
  <c r="I7" i="11" s="1"/>
  <c r="I39" i="11"/>
  <c r="I37" i="11"/>
  <c r="I36" i="11"/>
  <c r="I34" i="11"/>
  <c r="I33" i="11"/>
  <c r="I30" i="11"/>
  <c r="I29" i="11"/>
  <c r="I26" i="11"/>
  <c r="I25" i="11"/>
  <c r="I22" i="11"/>
  <c r="I21" i="11"/>
  <c r="I19" i="11"/>
  <c r="I17" i="11"/>
  <c r="I15" i="11"/>
  <c r="I13" i="11"/>
  <c r="I11" i="11"/>
  <c r="I10" i="11"/>
  <c r="BB47" i="11"/>
  <c r="BB44" i="11"/>
  <c r="BB42" i="11"/>
  <c r="BB40" i="11"/>
  <c r="BB39" i="11"/>
  <c r="BB37" i="11"/>
  <c r="BB36" i="11"/>
  <c r="BB34" i="11"/>
  <c r="BB33" i="11"/>
  <c r="BB30" i="11"/>
  <c r="BB29" i="11"/>
  <c r="BB26" i="11"/>
  <c r="BB25" i="11"/>
  <c r="BB22" i="11"/>
  <c r="BB21" i="11"/>
  <c r="BB19" i="11"/>
  <c r="BB17" i="11"/>
  <c r="BB6" i="11" s="1"/>
  <c r="BB15" i="11"/>
  <c r="BB13" i="11"/>
  <c r="BB11" i="11"/>
  <c r="BB10" i="11"/>
  <c r="BB7" i="11"/>
  <c r="R23" i="5"/>
  <c r="S23" i="5" s="1"/>
  <c r="R22" i="5"/>
  <c r="S22" i="5"/>
  <c r="R21" i="5"/>
  <c r="R19" i="5"/>
  <c r="AU47" i="11"/>
  <c r="AU44" i="11"/>
  <c r="AU42" i="11"/>
  <c r="AU40" i="11"/>
  <c r="AU39" i="11"/>
  <c r="AU37" i="11"/>
  <c r="AU7" i="11" s="1"/>
  <c r="AU36" i="11"/>
  <c r="AU34" i="11"/>
  <c r="AU33" i="11"/>
  <c r="AU30" i="11"/>
  <c r="AU29" i="11"/>
  <c r="AU26" i="11"/>
  <c r="AU25" i="11"/>
  <c r="AU22" i="11"/>
  <c r="AU21" i="11"/>
  <c r="AU19" i="11"/>
  <c r="AU17" i="11"/>
  <c r="AU15" i="11"/>
  <c r="AU13" i="11"/>
  <c r="AU11" i="11"/>
  <c r="AU6" i="11" s="1"/>
  <c r="AU10" i="11"/>
  <c r="AU4" i="11" s="1"/>
  <c r="AU8" i="11"/>
  <c r="AR47" i="11"/>
  <c r="AR44" i="11"/>
  <c r="AR42" i="11"/>
  <c r="AR40" i="11"/>
  <c r="AR39" i="11"/>
  <c r="AR37" i="11"/>
  <c r="AR36" i="11"/>
  <c r="AR34" i="11"/>
  <c r="AR33" i="11"/>
  <c r="AR30" i="11"/>
  <c r="AR29" i="11"/>
  <c r="AR8" i="11" s="1"/>
  <c r="AR26" i="11"/>
  <c r="AR25" i="11"/>
  <c r="AR22" i="11"/>
  <c r="AR21" i="11"/>
  <c r="AR5" i="11" s="1"/>
  <c r="AR19" i="11"/>
  <c r="AR17" i="11"/>
  <c r="AR15" i="11"/>
  <c r="AR13" i="11"/>
  <c r="AR3" i="11" s="1"/>
  <c r="AR2" i="11" s="1"/>
  <c r="AR11" i="11"/>
  <c r="AR10" i="11"/>
  <c r="AR7" i="11"/>
  <c r="AR4" i="11"/>
  <c r="AX47" i="11"/>
  <c r="AX44" i="11"/>
  <c r="AX42" i="11"/>
  <c r="AX40" i="11"/>
  <c r="AX39" i="11"/>
  <c r="AX37" i="11"/>
  <c r="AX36" i="11"/>
  <c r="AX34" i="11"/>
  <c r="AX33" i="11"/>
  <c r="AX30" i="11"/>
  <c r="AX29" i="11"/>
  <c r="AX26" i="11"/>
  <c r="AX25" i="11"/>
  <c r="AX22" i="11"/>
  <c r="AX21" i="11"/>
  <c r="AX19" i="11"/>
  <c r="AX17" i="11"/>
  <c r="AX15" i="11"/>
  <c r="AX13" i="11"/>
  <c r="AX11" i="11"/>
  <c r="AX10" i="11"/>
  <c r="AX8" i="11"/>
  <c r="AX7" i="11"/>
  <c r="AT47" i="11"/>
  <c r="AT44" i="11"/>
  <c r="AT42" i="11"/>
  <c r="AT40" i="11"/>
  <c r="AT39" i="11"/>
  <c r="AT37" i="11"/>
  <c r="AT36" i="11"/>
  <c r="AT34" i="11"/>
  <c r="AT33" i="11"/>
  <c r="AT30" i="11"/>
  <c r="AT29" i="11"/>
  <c r="AT8" i="11" s="1"/>
  <c r="AT26" i="11"/>
  <c r="AT25" i="11"/>
  <c r="AT22" i="11"/>
  <c r="AT21" i="11"/>
  <c r="AT5" i="11" s="1"/>
  <c r="AT19" i="11"/>
  <c r="AT17" i="11"/>
  <c r="AT6" i="11" s="1"/>
  <c r="AT15" i="11"/>
  <c r="AT13" i="11"/>
  <c r="AT11" i="11"/>
  <c r="AT10" i="11"/>
  <c r="AT7" i="11"/>
  <c r="AT4" i="11"/>
  <c r="AT3" i="11"/>
  <c r="AT2" i="11" s="1"/>
  <c r="AS47" i="11"/>
  <c r="AS44" i="11"/>
  <c r="AS42" i="11"/>
  <c r="AS40" i="11"/>
  <c r="AS39" i="11"/>
  <c r="AS37" i="11"/>
  <c r="AS36" i="11"/>
  <c r="AS34" i="11"/>
  <c r="AS33" i="11"/>
  <c r="AS30" i="11"/>
  <c r="AS29" i="11"/>
  <c r="AS26" i="11"/>
  <c r="AS25" i="11"/>
  <c r="AS22" i="11"/>
  <c r="AS21" i="11"/>
  <c r="AS19" i="11"/>
  <c r="AS17" i="11"/>
  <c r="AS15" i="11"/>
  <c r="AS13" i="11"/>
  <c r="AS11" i="11"/>
  <c r="AS10" i="11"/>
  <c r="AS8" i="11"/>
  <c r="AS7" i="11"/>
  <c r="AW47" i="11"/>
  <c r="AW44" i="11"/>
  <c r="AW42" i="11"/>
  <c r="AW40" i="11"/>
  <c r="AW39" i="11"/>
  <c r="AW37" i="11"/>
  <c r="AW36" i="11"/>
  <c r="AW34" i="11"/>
  <c r="AW33" i="11"/>
  <c r="AW30" i="11"/>
  <c r="AW29" i="11"/>
  <c r="AW8" i="11" s="1"/>
  <c r="AW26" i="11"/>
  <c r="AW25" i="11"/>
  <c r="AW22" i="11"/>
  <c r="AW21" i="11"/>
  <c r="AW5" i="11" s="1"/>
  <c r="AW19" i="11"/>
  <c r="AW17" i="11"/>
  <c r="AW6" i="11" s="1"/>
  <c r="AW15" i="11"/>
  <c r="AW13" i="11"/>
  <c r="AW11" i="11"/>
  <c r="AW10" i="11"/>
  <c r="AW7" i="11"/>
  <c r="AW4" i="11"/>
  <c r="AW3" i="11"/>
  <c r="AW2" i="11" s="1"/>
  <c r="AV47" i="11"/>
  <c r="AV44" i="11"/>
  <c r="AV42" i="11"/>
  <c r="AV40" i="11"/>
  <c r="AV39" i="11"/>
  <c r="AV37" i="11"/>
  <c r="AV36" i="11"/>
  <c r="AV34" i="11"/>
  <c r="AV33" i="11"/>
  <c r="AV30" i="11"/>
  <c r="AV29" i="11"/>
  <c r="AV26" i="11"/>
  <c r="AV25" i="11"/>
  <c r="AV22" i="11"/>
  <c r="AV21" i="11"/>
  <c r="AV6" i="11" s="1"/>
  <c r="AV19" i="11"/>
  <c r="AV17" i="11"/>
  <c r="AV15" i="11"/>
  <c r="AV13" i="11"/>
  <c r="AV11" i="11"/>
  <c r="AV10" i="11"/>
  <c r="AV8" i="11"/>
  <c r="AV7" i="11"/>
  <c r="AQ47" i="11"/>
  <c r="AQ44" i="11"/>
  <c r="AQ42" i="11"/>
  <c r="AQ40" i="11"/>
  <c r="AQ7" i="11" s="1"/>
  <c r="AQ39" i="11"/>
  <c r="AQ37" i="11"/>
  <c r="AQ36" i="11"/>
  <c r="AQ34" i="11"/>
  <c r="AQ33" i="11"/>
  <c r="AQ30" i="11"/>
  <c r="AQ29" i="11"/>
  <c r="AQ26" i="11"/>
  <c r="AQ25" i="11"/>
  <c r="AQ22" i="11"/>
  <c r="AQ21" i="11"/>
  <c r="AQ19" i="11"/>
  <c r="AQ17" i="11"/>
  <c r="AQ15" i="11"/>
  <c r="AQ13" i="11"/>
  <c r="AQ11" i="11"/>
  <c r="AQ10" i="11"/>
  <c r="AQ4" i="11"/>
  <c r="AQ3" i="11"/>
  <c r="AQ2" i="11" s="1"/>
  <c r="AK6" i="1"/>
  <c r="AJ63" i="1" s="1"/>
  <c r="T12" i="8" s="1"/>
  <c r="AK5" i="1"/>
  <c r="G13" i="5"/>
  <c r="G14" i="5" s="1"/>
  <c r="G15" i="5" s="1"/>
  <c r="G16" i="5"/>
  <c r="D16" i="4"/>
  <c r="D17" i="4" s="1"/>
  <c r="B39" i="16"/>
  <c r="C39" i="16"/>
  <c r="S42" i="16" s="1"/>
  <c r="B38" i="16"/>
  <c r="C38" i="16"/>
  <c r="B44" i="16"/>
  <c r="D44" i="16"/>
  <c r="E44" i="16"/>
  <c r="B43" i="16"/>
  <c r="D43" i="16"/>
  <c r="E43" i="16" s="1"/>
  <c r="S41" i="16"/>
  <c r="R41" i="16"/>
  <c r="R42" i="16"/>
  <c r="Q42" i="16"/>
  <c r="D40" i="16"/>
  <c r="E40" i="16"/>
  <c r="F40" i="16" s="1"/>
  <c r="G40" i="16" s="1"/>
  <c r="H40" i="16" s="1"/>
  <c r="I40" i="16" s="1"/>
  <c r="J40" i="16" s="1"/>
  <c r="K40" i="16" s="1"/>
  <c r="L40" i="16" s="1"/>
  <c r="M40" i="16" s="1"/>
  <c r="N40" i="16" s="1"/>
  <c r="O40" i="16" s="1"/>
  <c r="P40" i="16" s="1"/>
  <c r="C34" i="1"/>
  <c r="B18" i="1"/>
  <c r="C33" i="1"/>
  <c r="B7" i="1"/>
  <c r="W4" i="1" s="1"/>
  <c r="AK9" i="1"/>
  <c r="AK52" i="1" s="1"/>
  <c r="J16" i="5"/>
  <c r="B13" i="4"/>
  <c r="B14" i="4" s="1"/>
  <c r="Y4" i="1" s="1"/>
  <c r="T17" i="1" s="1"/>
  <c r="B32" i="1"/>
  <c r="C13" i="4"/>
  <c r="C14" i="4" s="1"/>
  <c r="AA4" i="1" s="1"/>
  <c r="AI23" i="1" s="1"/>
  <c r="C32" i="1"/>
  <c r="Y56" i="1" s="1"/>
  <c r="I5" i="8" s="1"/>
  <c r="AK56" i="1"/>
  <c r="U5" i="8" s="1"/>
  <c r="D19" i="4"/>
  <c r="U4" i="1" s="1"/>
  <c r="D32" i="1"/>
  <c r="AK58" i="1" s="1"/>
  <c r="U7" i="8" s="1"/>
  <c r="AE4" i="1"/>
  <c r="S59" i="1" s="1"/>
  <c r="C8" i="8" s="1"/>
  <c r="AF4" i="1"/>
  <c r="AH4" i="1"/>
  <c r="AH7" i="1"/>
  <c r="AA61" i="1" s="1"/>
  <c r="K10" i="8" s="1"/>
  <c r="AK61" i="1"/>
  <c r="U10" i="8" s="1"/>
  <c r="AI4" i="1"/>
  <c r="AH62" i="1" s="1"/>
  <c r="R11" i="8" s="1"/>
  <c r="AK63" i="1"/>
  <c r="U12" i="8" s="1"/>
  <c r="AK64" i="1"/>
  <c r="U13" i="8" s="1"/>
  <c r="AJ9" i="1"/>
  <c r="T1" i="8" s="1"/>
  <c r="AJ58" i="1"/>
  <c r="T7" i="8" s="1"/>
  <c r="AJ64" i="1"/>
  <c r="T13" i="8" s="1"/>
  <c r="AI9" i="1"/>
  <c r="S1" i="8"/>
  <c r="AI58" i="1"/>
  <c r="S7" i="8" s="1"/>
  <c r="AI64" i="1"/>
  <c r="S13" i="8" s="1"/>
  <c r="AH9" i="1"/>
  <c r="R1" i="8"/>
  <c r="AH58" i="1"/>
  <c r="R7" i="8"/>
  <c r="AH61" i="1"/>
  <c r="R10" i="8" s="1"/>
  <c r="AH64" i="1"/>
  <c r="R13" i="8"/>
  <c r="AG9" i="1"/>
  <c r="P1" i="6" s="1"/>
  <c r="AG54" i="1"/>
  <c r="Q3" i="8" s="1"/>
  <c r="AG23" i="1"/>
  <c r="AG56" i="1"/>
  <c r="Q5" i="8" s="1"/>
  <c r="AG58" i="1"/>
  <c r="Q7" i="8" s="1"/>
  <c r="AG61" i="1"/>
  <c r="Q10" i="8" s="1"/>
  <c r="AG64" i="1"/>
  <c r="Q13" i="8"/>
  <c r="AF9" i="1"/>
  <c r="AF64" i="1"/>
  <c r="P13" i="8" s="1"/>
  <c r="AE9" i="1"/>
  <c r="AE52" i="1" s="1"/>
  <c r="O1" i="8"/>
  <c r="AE54" i="1"/>
  <c r="O3" i="8" s="1"/>
  <c r="AE63" i="1"/>
  <c r="O12" i="8" s="1"/>
  <c r="AE64" i="1"/>
  <c r="O13" i="8" s="1"/>
  <c r="AD9" i="1"/>
  <c r="N1" i="8" s="1"/>
  <c r="AD54" i="1"/>
  <c r="N3" i="8"/>
  <c r="AD58" i="1"/>
  <c r="N7" i="8" s="1"/>
  <c r="AD61" i="1"/>
  <c r="N10" i="8" s="1"/>
  <c r="AD64" i="1"/>
  <c r="N13" i="8"/>
  <c r="AC9" i="1"/>
  <c r="M1" i="8"/>
  <c r="AC61" i="1"/>
  <c r="M10" i="8"/>
  <c r="AC62" i="1"/>
  <c r="M11" i="8" s="1"/>
  <c r="AC64" i="1"/>
  <c r="M13" i="8" s="1"/>
  <c r="AB9" i="1"/>
  <c r="L1" i="8" s="1"/>
  <c r="AB54" i="1"/>
  <c r="L3" i="8" s="1"/>
  <c r="AB61" i="1"/>
  <c r="L10" i="8" s="1"/>
  <c r="AB63" i="1"/>
  <c r="L12" i="8" s="1"/>
  <c r="AL5" i="1"/>
  <c r="AB64" i="1" s="1"/>
  <c r="L13" i="8" s="1"/>
  <c r="AA9" i="1"/>
  <c r="K1" i="8" s="1"/>
  <c r="AA54" i="1"/>
  <c r="K3" i="8"/>
  <c r="AA58" i="1"/>
  <c r="K7" i="8" s="1"/>
  <c r="AA63" i="1"/>
  <c r="K12" i="8" s="1"/>
  <c r="AA64" i="1"/>
  <c r="K13" i="8"/>
  <c r="Z9" i="1"/>
  <c r="J1" i="8" s="1"/>
  <c r="Z56" i="1"/>
  <c r="J5" i="8" s="1"/>
  <c r="Z58" i="1"/>
  <c r="J7" i="8" s="1"/>
  <c r="Z63" i="1"/>
  <c r="J12" i="8"/>
  <c r="Z64" i="1"/>
  <c r="J13" i="8" s="1"/>
  <c r="Y9" i="1"/>
  <c r="I1" i="8"/>
  <c r="Y54" i="1"/>
  <c r="I3" i="8" s="1"/>
  <c r="AH6" i="1"/>
  <c r="Y61" i="1" s="1"/>
  <c r="I10" i="8" s="1"/>
  <c r="Y63" i="1"/>
  <c r="I12" i="8" s="1"/>
  <c r="Y64" i="1"/>
  <c r="I13" i="8" s="1"/>
  <c r="X9" i="1"/>
  <c r="H1" i="8" s="1"/>
  <c r="X54" i="1"/>
  <c r="H3" i="8" s="1"/>
  <c r="AH5" i="1"/>
  <c r="X61" i="1" s="1"/>
  <c r="H10" i="8" s="1"/>
  <c r="X63" i="1"/>
  <c r="H12" i="8" s="1"/>
  <c r="X64" i="1"/>
  <c r="H13" i="8" s="1"/>
  <c r="L1" i="6"/>
  <c r="N1" i="6"/>
  <c r="Q1" i="6"/>
  <c r="R1" i="6"/>
  <c r="S5" i="1"/>
  <c r="AI15" i="1" s="1"/>
  <c r="B22" i="1"/>
  <c r="B34" i="1" s="1"/>
  <c r="AC5" i="1"/>
  <c r="AC18" i="1" s="1"/>
  <c r="AC37" i="1" s="1"/>
  <c r="L5" i="6" s="1"/>
  <c r="B33" i="1"/>
  <c r="H33" i="1" s="1"/>
  <c r="AE18" i="1"/>
  <c r="AE37" i="1" s="1"/>
  <c r="N5" i="6" s="1"/>
  <c r="AF18" i="1"/>
  <c r="AF37" i="1" s="1"/>
  <c r="O5" i="6" s="1"/>
  <c r="AK15" i="1"/>
  <c r="AK18" i="1"/>
  <c r="AK37" i="1" s="1"/>
  <c r="T5" i="6" s="1"/>
  <c r="D33" i="1"/>
  <c r="W5" i="1"/>
  <c r="K4" i="6"/>
  <c r="L4" i="6"/>
  <c r="M4" i="6"/>
  <c r="N4" i="6"/>
  <c r="O4" i="6"/>
  <c r="P4" i="6"/>
  <c r="Q4" i="6"/>
  <c r="R4" i="6"/>
  <c r="S4" i="6"/>
  <c r="T4" i="6"/>
  <c r="AF52" i="1"/>
  <c r="AF14" i="1"/>
  <c r="AE14" i="1"/>
  <c r="AD14" i="1"/>
  <c r="AJ52" i="1"/>
  <c r="AJ14" i="1"/>
  <c r="AI52" i="1"/>
  <c r="AI14" i="1"/>
  <c r="AH52" i="1"/>
  <c r="AH14" i="1"/>
  <c r="AK47" i="11"/>
  <c r="AK44" i="11"/>
  <c r="AK5" i="11" s="1"/>
  <c r="AK42" i="11"/>
  <c r="AK40" i="11"/>
  <c r="AK39" i="11"/>
  <c r="AK37" i="11"/>
  <c r="AK36" i="11"/>
  <c r="AK34" i="11"/>
  <c r="AK33" i="11"/>
  <c r="AK30" i="11"/>
  <c r="AK29" i="11"/>
  <c r="AK26" i="11"/>
  <c r="AK25" i="11"/>
  <c r="AK22" i="11"/>
  <c r="AK21" i="11"/>
  <c r="AK19" i="11"/>
  <c r="AK17" i="11"/>
  <c r="AK3" i="11" s="1"/>
  <c r="AK2" i="11" s="1"/>
  <c r="AK15" i="11"/>
  <c r="AK4" i="11" s="1"/>
  <c r="AK13" i="11"/>
  <c r="AK11" i="11"/>
  <c r="AK8" i="11" s="1"/>
  <c r="AK10" i="11"/>
  <c r="AK7" i="11"/>
  <c r="AG47" i="11"/>
  <c r="AG44" i="11"/>
  <c r="AG42" i="11"/>
  <c r="AG40" i="11"/>
  <c r="AG39" i="11"/>
  <c r="AG37" i="11"/>
  <c r="AG7" i="11" s="1"/>
  <c r="AG36" i="11"/>
  <c r="AG34" i="11"/>
  <c r="AG33" i="11"/>
  <c r="AG30" i="11"/>
  <c r="AG29" i="11"/>
  <c r="AG26" i="11"/>
  <c r="AG25" i="11"/>
  <c r="AG22" i="11"/>
  <c r="AG21" i="11"/>
  <c r="AG19" i="11"/>
  <c r="AG17" i="11"/>
  <c r="AG15" i="11"/>
  <c r="AG13" i="11"/>
  <c r="AG11" i="11"/>
  <c r="AG6" i="11" s="1"/>
  <c r="AG10" i="11"/>
  <c r="AG4" i="11" s="1"/>
  <c r="AG8" i="11"/>
  <c r="AM47" i="11"/>
  <c r="AM44" i="11"/>
  <c r="AM42" i="11"/>
  <c r="AM40" i="11"/>
  <c r="AM39" i="11"/>
  <c r="AM37" i="11"/>
  <c r="AM36" i="11"/>
  <c r="AM34" i="11"/>
  <c r="AM33" i="11"/>
  <c r="AM30" i="11"/>
  <c r="AM29" i="11"/>
  <c r="AM26" i="11"/>
  <c r="AM25" i="11"/>
  <c r="AM22" i="11"/>
  <c r="AM21" i="11"/>
  <c r="AM19" i="11"/>
  <c r="AM17" i="11"/>
  <c r="AM15" i="11"/>
  <c r="AM4" i="11" s="1"/>
  <c r="AM13" i="11"/>
  <c r="AM11" i="11"/>
  <c r="AM8" i="11" s="1"/>
  <c r="AM10" i="11"/>
  <c r="AM7" i="11"/>
  <c r="AL47" i="11"/>
  <c r="AL44" i="11"/>
  <c r="AL42" i="11"/>
  <c r="AL40" i="11"/>
  <c r="AL39" i="11"/>
  <c r="AL37" i="11"/>
  <c r="AL7" i="11" s="1"/>
  <c r="AL36" i="11"/>
  <c r="AL34" i="11"/>
  <c r="AL33" i="11"/>
  <c r="AL30" i="11"/>
  <c r="AL29" i="11"/>
  <c r="AL26" i="11"/>
  <c r="AL25" i="11"/>
  <c r="AL22" i="11"/>
  <c r="AL21" i="11"/>
  <c r="AL19" i="11"/>
  <c r="AL17" i="11"/>
  <c r="AL15" i="11"/>
  <c r="AL13" i="11"/>
  <c r="AL11" i="11"/>
  <c r="AL10" i="11"/>
  <c r="AL8" i="11"/>
  <c r="AJ47" i="11"/>
  <c r="AJ44" i="11"/>
  <c r="AJ42" i="11"/>
  <c r="AJ40" i="11"/>
  <c r="AJ39" i="11"/>
  <c r="AJ37" i="11"/>
  <c r="AJ36" i="11"/>
  <c r="AJ34" i="11"/>
  <c r="AJ33" i="11"/>
  <c r="AJ30" i="11"/>
  <c r="AJ29" i="11"/>
  <c r="AJ26" i="11"/>
  <c r="AJ25" i="11"/>
  <c r="AJ22" i="11"/>
  <c r="AJ21" i="11"/>
  <c r="AJ19" i="11"/>
  <c r="AJ17" i="11"/>
  <c r="AJ15" i="11"/>
  <c r="AJ13" i="11"/>
  <c r="AJ11" i="11"/>
  <c r="AJ8" i="11" s="1"/>
  <c r="AJ10" i="11"/>
  <c r="AJ7" i="11"/>
  <c r="AH47" i="11"/>
  <c r="AH44" i="11"/>
  <c r="AH42" i="11"/>
  <c r="AH40" i="11"/>
  <c r="AH39" i="11"/>
  <c r="AH37" i="11"/>
  <c r="AH7" i="11" s="1"/>
  <c r="AH36" i="11"/>
  <c r="AH34" i="11"/>
  <c r="AH33" i="11"/>
  <c r="AH30" i="11"/>
  <c r="AH29" i="11"/>
  <c r="AH26" i="11"/>
  <c r="AH25" i="11"/>
  <c r="AH22" i="11"/>
  <c r="AH21" i="11"/>
  <c r="AH19" i="11"/>
  <c r="AH17" i="11"/>
  <c r="AH15" i="11"/>
  <c r="AH13" i="11"/>
  <c r="AH11" i="11"/>
  <c r="AH10" i="11"/>
  <c r="AH8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5" i="11"/>
  <c r="AF13" i="11"/>
  <c r="AF11" i="11"/>
  <c r="AF8" i="11" s="1"/>
  <c r="AF10" i="11"/>
  <c r="AF7" i="11"/>
  <c r="AF5" i="11"/>
  <c r="C33" i="11"/>
  <c r="D33" i="11"/>
  <c r="E33" i="11"/>
  <c r="F33" i="11"/>
  <c r="G33" i="11"/>
  <c r="H33" i="11"/>
  <c r="J33" i="11"/>
  <c r="L33" i="11"/>
  <c r="M33" i="11"/>
  <c r="N33" i="11"/>
  <c r="O33" i="11"/>
  <c r="P33" i="11"/>
  <c r="Q33" i="11"/>
  <c r="R33" i="11"/>
  <c r="AA33" i="11"/>
  <c r="AB33" i="11"/>
  <c r="AC33" i="11"/>
  <c r="AD33" i="11"/>
  <c r="AE33" i="11"/>
  <c r="AI33" i="11"/>
  <c r="AN33" i="11"/>
  <c r="AP33" i="11"/>
  <c r="AP8" i="11" s="1"/>
  <c r="AO33" i="11"/>
  <c r="AP47" i="11"/>
  <c r="AP44" i="11"/>
  <c r="AP42" i="11"/>
  <c r="AP40" i="11"/>
  <c r="AP39" i="11"/>
  <c r="AP37" i="11"/>
  <c r="AP36" i="11"/>
  <c r="AP34" i="11"/>
  <c r="AP30" i="11"/>
  <c r="AP29" i="11"/>
  <c r="AP26" i="11"/>
  <c r="AP25" i="11"/>
  <c r="AP22" i="11"/>
  <c r="AP21" i="11"/>
  <c r="AP19" i="11"/>
  <c r="AP17" i="11"/>
  <c r="AP15" i="11"/>
  <c r="AP13" i="11"/>
  <c r="AP11" i="11"/>
  <c r="AP10" i="11"/>
  <c r="AP7" i="11"/>
  <c r="AP6" i="11"/>
  <c r="AO47" i="11"/>
  <c r="AO44" i="11"/>
  <c r="AO42" i="11"/>
  <c r="AO40" i="11"/>
  <c r="AO7" i="11" s="1"/>
  <c r="AO39" i="11"/>
  <c r="AO37" i="11"/>
  <c r="AO36" i="11"/>
  <c r="AO34" i="11"/>
  <c r="AO30" i="11"/>
  <c r="AO29" i="11"/>
  <c r="AO26" i="11"/>
  <c r="AO25" i="11"/>
  <c r="AO22" i="11"/>
  <c r="AO21" i="11"/>
  <c r="AO19" i="11"/>
  <c r="AO17" i="11"/>
  <c r="AO15" i="11"/>
  <c r="AO13" i="11"/>
  <c r="AO11" i="11"/>
  <c r="AO10" i="11"/>
  <c r="AO3" i="11"/>
  <c r="AO2" i="11" s="1"/>
  <c r="AN47" i="11"/>
  <c r="AN44" i="11"/>
  <c r="AN42" i="11"/>
  <c r="AN40" i="11"/>
  <c r="AN7" i="11" s="1"/>
  <c r="AN39" i="11"/>
  <c r="AN37" i="11"/>
  <c r="AN36" i="11"/>
  <c r="AN34" i="11"/>
  <c r="AN30" i="11"/>
  <c r="AN29" i="11"/>
  <c r="AN26" i="11"/>
  <c r="AN25" i="11"/>
  <c r="AN22" i="11"/>
  <c r="AN21" i="11"/>
  <c r="AN19" i="11"/>
  <c r="AN17" i="11"/>
  <c r="AN15" i="11"/>
  <c r="AN4" i="11" s="1"/>
  <c r="AN13" i="11"/>
  <c r="AN11" i="11"/>
  <c r="AN8" i="11" s="1"/>
  <c r="AN10" i="11"/>
  <c r="AG14" i="1"/>
  <c r="AG52" i="1"/>
  <c r="C49" i="1"/>
  <c r="C51" i="1" s="1"/>
  <c r="C72" i="1" s="1"/>
  <c r="C73" i="1" s="1"/>
  <c r="E72" i="1"/>
  <c r="E73" i="1" s="1"/>
  <c r="D49" i="1"/>
  <c r="D51" i="1" s="1"/>
  <c r="D72" i="1" s="1"/>
  <c r="D73" i="1" s="1"/>
  <c r="S6" i="16"/>
  <c r="R6" i="16"/>
  <c r="Q6" i="16"/>
  <c r="S24" i="16"/>
  <c r="R24" i="16"/>
  <c r="Q24" i="16"/>
  <c r="D3" i="16"/>
  <c r="B15" i="16"/>
  <c r="D15" i="16" s="1"/>
  <c r="B14" i="16"/>
  <c r="D14" i="16"/>
  <c r="B13" i="16"/>
  <c r="B12" i="16"/>
  <c r="D12" i="16"/>
  <c r="E12" i="16"/>
  <c r="B11" i="16"/>
  <c r="D11" i="16"/>
  <c r="E11" i="16"/>
  <c r="B10" i="16"/>
  <c r="D10" i="16" s="1"/>
  <c r="B9" i="16"/>
  <c r="B8" i="16"/>
  <c r="D8" i="16"/>
  <c r="D21" i="16"/>
  <c r="B25" i="16"/>
  <c r="D25" i="16"/>
  <c r="E25" i="16"/>
  <c r="F25" i="16"/>
  <c r="B26" i="16"/>
  <c r="D26" i="16"/>
  <c r="E26" i="16"/>
  <c r="F26" i="16"/>
  <c r="B27" i="16"/>
  <c r="D27" i="16"/>
  <c r="E27" i="16"/>
  <c r="F27" i="16"/>
  <c r="B28" i="16"/>
  <c r="D28" i="16"/>
  <c r="E28" i="16"/>
  <c r="F28" i="16"/>
  <c r="B29" i="16"/>
  <c r="D29" i="16"/>
  <c r="E29" i="16"/>
  <c r="F29" i="16"/>
  <c r="B30" i="16"/>
  <c r="D30" i="16"/>
  <c r="E30" i="16"/>
  <c r="F30" i="16"/>
  <c r="B31" i="16"/>
  <c r="D31" i="16"/>
  <c r="E31" i="16"/>
  <c r="F31" i="16"/>
  <c r="B32" i="16"/>
  <c r="D32" i="16"/>
  <c r="E32" i="16"/>
  <c r="F32" i="16"/>
  <c r="B33" i="16"/>
  <c r="D33" i="16"/>
  <c r="E33" i="16"/>
  <c r="F33" i="16"/>
  <c r="B34" i="16"/>
  <c r="D34" i="16"/>
  <c r="E34" i="16"/>
  <c r="F34" i="16"/>
  <c r="D20" i="16"/>
  <c r="E20" i="16"/>
  <c r="F20" i="16"/>
  <c r="G20" i="16"/>
  <c r="H20" i="16" s="1"/>
  <c r="I20" i="16" s="1"/>
  <c r="S23" i="16"/>
  <c r="C1" i="18" s="1"/>
  <c r="R23" i="16"/>
  <c r="B1" i="18" s="1"/>
  <c r="A11" i="18"/>
  <c r="A10" i="18"/>
  <c r="A9" i="18"/>
  <c r="A8" i="18"/>
  <c r="A7" i="18"/>
  <c r="A6" i="18"/>
  <c r="A5" i="18"/>
  <c r="A4" i="18"/>
  <c r="A3" i="18"/>
  <c r="A2" i="18"/>
  <c r="D2" i="16"/>
  <c r="E2" i="16" s="1"/>
  <c r="B7" i="16"/>
  <c r="D7" i="16"/>
  <c r="B16" i="16"/>
  <c r="E16" i="16" s="1"/>
  <c r="D16" i="16"/>
  <c r="S5" i="16"/>
  <c r="C1" i="17"/>
  <c r="R5" i="16"/>
  <c r="B1" i="17"/>
  <c r="A3" i="17"/>
  <c r="A4" i="17"/>
  <c r="A5" i="17"/>
  <c r="A6" i="17"/>
  <c r="A7" i="17"/>
  <c r="A8" i="17"/>
  <c r="A9" i="17"/>
  <c r="A10" i="17"/>
  <c r="A11" i="17"/>
  <c r="A2" i="17"/>
  <c r="D22" i="16"/>
  <c r="E22" i="16"/>
  <c r="F22" i="16"/>
  <c r="G22" i="16"/>
  <c r="H22" i="16" s="1"/>
  <c r="I22" i="16" s="1"/>
  <c r="J22" i="16" s="1"/>
  <c r="K22" i="16" s="1"/>
  <c r="L22" i="16" s="1"/>
  <c r="M22" i="16" s="1"/>
  <c r="N22" i="16" s="1"/>
  <c r="O22" i="16" s="1"/>
  <c r="P22" i="16" s="1"/>
  <c r="D4" i="16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O47" i="11"/>
  <c r="O44" i="11"/>
  <c r="O5" i="11" s="1"/>
  <c r="O42" i="11"/>
  <c r="O40" i="11"/>
  <c r="O39" i="11"/>
  <c r="O37" i="11"/>
  <c r="O36" i="11"/>
  <c r="O34" i="11"/>
  <c r="O30" i="11"/>
  <c r="O29" i="11"/>
  <c r="O26" i="11"/>
  <c r="O25" i="11"/>
  <c r="O22" i="11"/>
  <c r="O21" i="11"/>
  <c r="O19" i="11"/>
  <c r="O17" i="11"/>
  <c r="O15" i="11"/>
  <c r="O13" i="11"/>
  <c r="O4" i="11" s="1"/>
  <c r="O11" i="11"/>
  <c r="O10" i="11"/>
  <c r="O7" i="11"/>
  <c r="O3" i="11"/>
  <c r="O2" i="11" s="1"/>
  <c r="AI47" i="11"/>
  <c r="AI44" i="11"/>
  <c r="AI42" i="11"/>
  <c r="AI40" i="11"/>
  <c r="AI7" i="11" s="1"/>
  <c r="AI39" i="11"/>
  <c r="AI37" i="11"/>
  <c r="AI36" i="11"/>
  <c r="AI34" i="11"/>
  <c r="AI30" i="11"/>
  <c r="AI29" i="11"/>
  <c r="AI26" i="11"/>
  <c r="AI25" i="11"/>
  <c r="AI22" i="11"/>
  <c r="AI21" i="11"/>
  <c r="AI19" i="11"/>
  <c r="AI17" i="11"/>
  <c r="AI15" i="11"/>
  <c r="AI13" i="11"/>
  <c r="AI11" i="11"/>
  <c r="AI6" i="11" s="1"/>
  <c r="AI10" i="11"/>
  <c r="AI4" i="11" s="1"/>
  <c r="AI8" i="11"/>
  <c r="C7" i="15"/>
  <c r="C8" i="15"/>
  <c r="C9" i="15"/>
  <c r="C10" i="15"/>
  <c r="C11" i="15"/>
  <c r="C12" i="15"/>
  <c r="C13" i="15"/>
  <c r="C14" i="15"/>
  <c r="C6" i="15"/>
  <c r="AE47" i="11"/>
  <c r="AE5" i="11" s="1"/>
  <c r="AE44" i="11"/>
  <c r="AE42" i="11"/>
  <c r="AE40" i="11"/>
  <c r="AE39" i="11"/>
  <c r="AE37" i="11"/>
  <c r="AE36" i="11"/>
  <c r="AE34" i="11"/>
  <c r="AE30" i="11"/>
  <c r="AE29" i="11"/>
  <c r="AE8" i="11" s="1"/>
  <c r="AE26" i="11"/>
  <c r="AE25" i="11"/>
  <c r="AE22" i="11"/>
  <c r="AE21" i="11"/>
  <c r="AE19" i="11"/>
  <c r="AE17" i="11"/>
  <c r="AE15" i="11"/>
  <c r="AE4" i="11" s="1"/>
  <c r="AE13" i="11"/>
  <c r="AE11" i="11"/>
  <c r="AE10" i="11"/>
  <c r="AE7" i="11"/>
  <c r="N47" i="11"/>
  <c r="N44" i="11"/>
  <c r="N42" i="11"/>
  <c r="N40" i="11"/>
  <c r="N39" i="11"/>
  <c r="N37" i="11"/>
  <c r="N7" i="11" s="1"/>
  <c r="N36" i="11"/>
  <c r="N34" i="11"/>
  <c r="N30" i="11"/>
  <c r="N29" i="11"/>
  <c r="N26" i="11"/>
  <c r="N25" i="11"/>
  <c r="N22" i="11"/>
  <c r="N21" i="11"/>
  <c r="N6" i="11" s="1"/>
  <c r="N19" i="11"/>
  <c r="N17" i="11"/>
  <c r="N15" i="11"/>
  <c r="N13" i="11"/>
  <c r="N11" i="11"/>
  <c r="N10" i="11"/>
  <c r="N8" i="11"/>
  <c r="F10" i="11"/>
  <c r="F3" i="11" s="1"/>
  <c r="F2" i="11" s="1"/>
  <c r="F13" i="11"/>
  <c r="F17" i="11"/>
  <c r="F19" i="11"/>
  <c r="F21" i="11"/>
  <c r="F36" i="11"/>
  <c r="F39" i="11"/>
  <c r="F42" i="11"/>
  <c r="F44" i="11"/>
  <c r="F47" i="11"/>
  <c r="F4" i="11"/>
  <c r="F25" i="11"/>
  <c r="F29" i="11"/>
  <c r="C10" i="11"/>
  <c r="C13" i="11"/>
  <c r="C17" i="11"/>
  <c r="C19" i="11"/>
  <c r="C21" i="11"/>
  <c r="C25" i="11"/>
  <c r="C29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6" i="11"/>
  <c r="D39" i="11"/>
  <c r="D42" i="11"/>
  <c r="D44" i="11"/>
  <c r="D47" i="11"/>
  <c r="E10" i="11"/>
  <c r="E3" i="11" s="1"/>
  <c r="E13" i="11"/>
  <c r="E17" i="11"/>
  <c r="E19" i="11"/>
  <c r="E21" i="11"/>
  <c r="E25" i="11"/>
  <c r="E29" i="11"/>
  <c r="E36" i="11"/>
  <c r="E39" i="11"/>
  <c r="E42" i="11"/>
  <c r="E44" i="11"/>
  <c r="E47" i="11"/>
  <c r="G10" i="11"/>
  <c r="G13" i="11"/>
  <c r="G17" i="11"/>
  <c r="G19" i="11"/>
  <c r="G21" i="11"/>
  <c r="G25" i="11"/>
  <c r="G3" i="11" s="1"/>
  <c r="G2" i="11" s="1"/>
  <c r="G29" i="11"/>
  <c r="G36" i="11"/>
  <c r="G39" i="11"/>
  <c r="G42" i="11"/>
  <c r="G44" i="11"/>
  <c r="G47" i="11"/>
  <c r="H10" i="11"/>
  <c r="H13" i="11"/>
  <c r="H17" i="11"/>
  <c r="H19" i="11"/>
  <c r="H21" i="11"/>
  <c r="H25" i="11"/>
  <c r="H29" i="11"/>
  <c r="H36" i="11"/>
  <c r="H39" i="11"/>
  <c r="H42" i="11"/>
  <c r="H44" i="11"/>
  <c r="H47" i="11"/>
  <c r="J10" i="11"/>
  <c r="J13" i="11"/>
  <c r="J17" i="11"/>
  <c r="J19" i="11"/>
  <c r="J21" i="11"/>
  <c r="J25" i="11"/>
  <c r="J29" i="11"/>
  <c r="J36" i="11"/>
  <c r="J39" i="11"/>
  <c r="J42" i="11"/>
  <c r="J44" i="11"/>
  <c r="J47" i="11"/>
  <c r="L10" i="11"/>
  <c r="L13" i="11"/>
  <c r="L17" i="11"/>
  <c r="L19" i="11"/>
  <c r="L21" i="11"/>
  <c r="L25" i="11"/>
  <c r="L29" i="11"/>
  <c r="L36" i="11"/>
  <c r="L39" i="11"/>
  <c r="L42" i="11"/>
  <c r="L44" i="11"/>
  <c r="L47" i="11"/>
  <c r="M10" i="11"/>
  <c r="M13" i="11"/>
  <c r="M17" i="11"/>
  <c r="M19" i="11"/>
  <c r="M21" i="11"/>
  <c r="M25" i="11"/>
  <c r="M29" i="11"/>
  <c r="M36" i="11"/>
  <c r="M39" i="11"/>
  <c r="M42" i="11"/>
  <c r="M44" i="11"/>
  <c r="M47" i="11"/>
  <c r="P10" i="11"/>
  <c r="P13" i="11"/>
  <c r="P17" i="11"/>
  <c r="P19" i="11"/>
  <c r="P21" i="11"/>
  <c r="P25" i="11"/>
  <c r="P29" i="11"/>
  <c r="P36" i="11"/>
  <c r="P39" i="11"/>
  <c r="P42" i="11"/>
  <c r="P44" i="11"/>
  <c r="P47" i="11"/>
  <c r="P3" i="11"/>
  <c r="Q10" i="11"/>
  <c r="Q3" i="11" s="1"/>
  <c r="Q13" i="11"/>
  <c r="Q17" i="11"/>
  <c r="Q19" i="11"/>
  <c r="Q21" i="11"/>
  <c r="Q25" i="11"/>
  <c r="Q29" i="11"/>
  <c r="Q36" i="11"/>
  <c r="Q39" i="11"/>
  <c r="Q42" i="11"/>
  <c r="Q44" i="11"/>
  <c r="Q47" i="11"/>
  <c r="R10" i="11"/>
  <c r="R3" i="11" s="1"/>
  <c r="R2" i="11" s="1"/>
  <c r="R13" i="11"/>
  <c r="R17" i="11"/>
  <c r="R19" i="11"/>
  <c r="R21" i="11"/>
  <c r="R25" i="11"/>
  <c r="R29" i="11"/>
  <c r="R36" i="11"/>
  <c r="R39" i="11"/>
  <c r="R42" i="11"/>
  <c r="R44" i="11"/>
  <c r="R47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3" i="11" s="1"/>
  <c r="T21" i="11"/>
  <c r="T25" i="11"/>
  <c r="T29" i="11"/>
  <c r="T33" i="11"/>
  <c r="T36" i="11"/>
  <c r="T39" i="11"/>
  <c r="T42" i="11"/>
  <c r="T44" i="11"/>
  <c r="T47" i="11"/>
  <c r="U10" i="11"/>
  <c r="U13" i="11"/>
  <c r="U17" i="11"/>
  <c r="U19" i="11"/>
  <c r="U21" i="11"/>
  <c r="U25" i="11"/>
  <c r="U29" i="11"/>
  <c r="U33" i="11"/>
  <c r="U36" i="11"/>
  <c r="U39" i="11"/>
  <c r="U6" i="11" s="1"/>
  <c r="U42" i="11"/>
  <c r="U44" i="11"/>
  <c r="U47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Y10" i="11"/>
  <c r="Y13" i="11"/>
  <c r="Y17" i="11"/>
  <c r="Y19" i="11"/>
  <c r="Y21" i="11"/>
  <c r="Y25" i="11"/>
  <c r="Y29" i="11"/>
  <c r="Y33" i="11"/>
  <c r="Y36" i="11"/>
  <c r="Y39" i="11"/>
  <c r="Y42" i="11"/>
  <c r="Y44" i="11"/>
  <c r="Y47" i="11"/>
  <c r="Z10" i="11"/>
  <c r="Z13" i="11"/>
  <c r="Z17" i="11"/>
  <c r="Z19" i="11"/>
  <c r="Z4" i="11" s="1"/>
  <c r="Z21" i="11"/>
  <c r="Z25" i="11"/>
  <c r="Z29" i="11"/>
  <c r="Z33" i="11"/>
  <c r="Z36" i="11"/>
  <c r="Z39" i="11"/>
  <c r="Z42" i="11"/>
  <c r="Z44" i="11"/>
  <c r="Z47" i="11"/>
  <c r="AA10" i="11"/>
  <c r="AA13" i="11"/>
  <c r="AA17" i="11"/>
  <c r="AA19" i="11"/>
  <c r="AA21" i="11"/>
  <c r="AA25" i="11"/>
  <c r="AA29" i="11"/>
  <c r="AA36" i="11"/>
  <c r="AA39" i="11"/>
  <c r="AA42" i="11"/>
  <c r="AA44" i="11"/>
  <c r="AA47" i="11"/>
  <c r="AB10" i="11"/>
  <c r="AB13" i="11"/>
  <c r="AB17" i="11"/>
  <c r="AB19" i="11"/>
  <c r="AB21" i="11"/>
  <c r="AB25" i="11"/>
  <c r="AB29" i="11"/>
  <c r="AB36" i="11"/>
  <c r="AB39" i="11"/>
  <c r="AB42" i="11"/>
  <c r="AB44" i="11"/>
  <c r="AB47" i="11"/>
  <c r="AB3" i="11"/>
  <c r="AC10" i="11"/>
  <c r="AC13" i="11"/>
  <c r="AC3" i="11" s="1"/>
  <c r="AC2" i="11" s="1"/>
  <c r="AC17" i="11"/>
  <c r="AC19" i="11"/>
  <c r="AC21" i="11"/>
  <c r="AC25" i="11"/>
  <c r="AC29" i="11"/>
  <c r="AC36" i="11"/>
  <c r="AC39" i="11"/>
  <c r="AC42" i="11"/>
  <c r="AC44" i="11"/>
  <c r="AC47" i="11"/>
  <c r="AD10" i="11"/>
  <c r="AD13" i="11"/>
  <c r="AD17" i="11"/>
  <c r="AD19" i="11"/>
  <c r="AD21" i="11"/>
  <c r="AD25" i="11"/>
  <c r="AD29" i="11"/>
  <c r="AD36" i="11"/>
  <c r="AD39" i="11"/>
  <c r="AD42" i="11"/>
  <c r="AD44" i="11"/>
  <c r="AD47" i="11"/>
  <c r="AY10" i="11"/>
  <c r="AY13" i="11"/>
  <c r="AY17" i="11"/>
  <c r="AY19" i="11"/>
  <c r="AY21" i="11"/>
  <c r="AY25" i="11"/>
  <c r="AY29" i="11"/>
  <c r="AY33" i="11"/>
  <c r="AY36" i="11"/>
  <c r="AY39" i="11"/>
  <c r="AY6" i="11" s="1"/>
  <c r="AY42" i="11"/>
  <c r="AY44" i="11"/>
  <c r="AY47" i="11"/>
  <c r="AZ10" i="11"/>
  <c r="AZ13" i="11"/>
  <c r="AZ17" i="11"/>
  <c r="AZ4" i="11" s="1"/>
  <c r="AZ19" i="11"/>
  <c r="AZ21" i="11"/>
  <c r="AZ25" i="11"/>
  <c r="AZ29" i="11"/>
  <c r="AZ33" i="11"/>
  <c r="AZ36" i="11"/>
  <c r="AZ39" i="11"/>
  <c r="AZ42" i="11"/>
  <c r="AZ44" i="11"/>
  <c r="AZ47" i="11"/>
  <c r="BA10" i="11"/>
  <c r="BA13" i="11"/>
  <c r="BA17" i="11"/>
  <c r="BA19" i="11"/>
  <c r="BA21" i="11"/>
  <c r="BA3" i="11" s="1"/>
  <c r="BA2" i="11" s="1"/>
  <c r="BA25" i="11"/>
  <c r="BA29" i="11"/>
  <c r="BA33" i="11"/>
  <c r="BA36" i="11"/>
  <c r="BA39" i="11"/>
  <c r="BA42" i="11"/>
  <c r="BA44" i="11"/>
  <c r="BA47" i="11"/>
  <c r="BA15" i="11"/>
  <c r="AZ15" i="11"/>
  <c r="AY15" i="11"/>
  <c r="AD15" i="11"/>
  <c r="AD4" i="11"/>
  <c r="AC15" i="11"/>
  <c r="AB15" i="11"/>
  <c r="AB4" i="11"/>
  <c r="AA15" i="11"/>
  <c r="Z15" i="11"/>
  <c r="Y15" i="11"/>
  <c r="X15" i="11"/>
  <c r="X4" i="11"/>
  <c r="W15" i="11"/>
  <c r="W4" i="11"/>
  <c r="V15" i="11"/>
  <c r="V4" i="11" s="1"/>
  <c r="U15" i="11"/>
  <c r="T15" i="11"/>
  <c r="T4" i="11"/>
  <c r="S15" i="11"/>
  <c r="S4" i="11"/>
  <c r="R15" i="11"/>
  <c r="R4" i="11" s="1"/>
  <c r="Q15" i="11"/>
  <c r="Q4" i="11" s="1"/>
  <c r="P15" i="11"/>
  <c r="P4" i="11"/>
  <c r="M15" i="11"/>
  <c r="M4" i="11"/>
  <c r="L15" i="11"/>
  <c r="L4" i="11"/>
  <c r="J15" i="11"/>
  <c r="H15" i="11"/>
  <c r="G15" i="11"/>
  <c r="G4" i="11"/>
  <c r="E15" i="11"/>
  <c r="E4" i="11" s="1"/>
  <c r="D15" i="11"/>
  <c r="D4" i="11" s="1"/>
  <c r="C15" i="11"/>
  <c r="C4" i="11"/>
  <c r="F15" i="11"/>
  <c r="F40" i="11"/>
  <c r="F37" i="11"/>
  <c r="F7" i="11" s="1"/>
  <c r="F34" i="11"/>
  <c r="F30" i="11"/>
  <c r="F26" i="11"/>
  <c r="F22" i="11"/>
  <c r="F11" i="11"/>
  <c r="F8" i="11" s="1"/>
  <c r="F6" i="11"/>
  <c r="F5" i="11"/>
  <c r="C11" i="11"/>
  <c r="C6" i="11" s="1"/>
  <c r="D6" i="11" s="1"/>
  <c r="BA40" i="11"/>
  <c r="BA37" i="11"/>
  <c r="BA34" i="11"/>
  <c r="BA30" i="11"/>
  <c r="BA26" i="11"/>
  <c r="BA22" i="11"/>
  <c r="BA11" i="11"/>
  <c r="BA7" i="11"/>
  <c r="BA5" i="11"/>
  <c r="AZ40" i="11"/>
  <c r="AZ37" i="11"/>
  <c r="AZ34" i="11"/>
  <c r="AZ30" i="11"/>
  <c r="AZ26" i="11"/>
  <c r="AZ22" i="11"/>
  <c r="AZ11" i="11"/>
  <c r="AZ8" i="11"/>
  <c r="AZ7" i="11"/>
  <c r="T9" i="1"/>
  <c r="C1" i="6" s="1"/>
  <c r="U9" i="1"/>
  <c r="D1" i="6"/>
  <c r="V9" i="1"/>
  <c r="F1" i="8" s="1"/>
  <c r="W9" i="1"/>
  <c r="F1" i="6" s="1"/>
  <c r="H1" i="6"/>
  <c r="I1" i="6"/>
  <c r="J1" i="6"/>
  <c r="T23" i="1"/>
  <c r="T18" i="1"/>
  <c r="T20" i="1" s="1"/>
  <c r="U23" i="1"/>
  <c r="V17" i="1"/>
  <c r="V38" i="1" s="1"/>
  <c r="E6" i="6" s="1"/>
  <c r="W17" i="1"/>
  <c r="W53" i="1" s="1"/>
  <c r="G2" i="8" s="1"/>
  <c r="W18" i="1"/>
  <c r="W37" i="1" s="1"/>
  <c r="F5" i="6" s="1"/>
  <c r="W20" i="1"/>
  <c r="Y18" i="1"/>
  <c r="Y37" i="1" s="1"/>
  <c r="H5" i="6" s="1"/>
  <c r="Y20" i="1"/>
  <c r="AA18" i="1"/>
  <c r="AA20" i="1"/>
  <c r="T28" i="1"/>
  <c r="T40" i="1" s="1"/>
  <c r="C8" i="6" s="1"/>
  <c r="T29" i="1"/>
  <c r="C4" i="6"/>
  <c r="D4" i="6"/>
  <c r="E4" i="6"/>
  <c r="F4" i="6"/>
  <c r="G4" i="6"/>
  <c r="H4" i="6"/>
  <c r="I4" i="6"/>
  <c r="J4" i="6"/>
  <c r="T37" i="1"/>
  <c r="C5" i="6" s="1"/>
  <c r="AA37" i="1"/>
  <c r="J5" i="6" s="1"/>
  <c r="R37" i="1"/>
  <c r="A5" i="6" s="1"/>
  <c r="R38" i="1"/>
  <c r="A6" i="6" s="1"/>
  <c r="R39" i="1"/>
  <c r="A7" i="6" s="1"/>
  <c r="R40" i="1"/>
  <c r="A8" i="6"/>
  <c r="AK14" i="1"/>
  <c r="T52" i="1"/>
  <c r="U52" i="1"/>
  <c r="W52" i="1"/>
  <c r="X52" i="1"/>
  <c r="Y52" i="1"/>
  <c r="Z52" i="1"/>
  <c r="AA52" i="1"/>
  <c r="AC52" i="1"/>
  <c r="S9" i="1"/>
  <c r="S52" i="1"/>
  <c r="B51" i="1"/>
  <c r="B72" i="1" s="1"/>
  <c r="B73" i="1" s="1"/>
  <c r="D1" i="8"/>
  <c r="E1" i="8"/>
  <c r="T54" i="1"/>
  <c r="D3" i="8" s="1"/>
  <c r="U54" i="1"/>
  <c r="E3" i="8" s="1"/>
  <c r="V54" i="1"/>
  <c r="F3" i="8"/>
  <c r="W54" i="1"/>
  <c r="G3" i="8" s="1"/>
  <c r="U55" i="1"/>
  <c r="E4" i="8" s="1"/>
  <c r="T56" i="1"/>
  <c r="D5" i="8" s="1"/>
  <c r="V56" i="1"/>
  <c r="F5" i="8" s="1"/>
  <c r="D25" i="5"/>
  <c r="D26" i="5" s="1"/>
  <c r="D27" i="5" s="1"/>
  <c r="D28" i="5" s="1"/>
  <c r="D29" i="5" s="1"/>
  <c r="D30" i="5" s="1"/>
  <c r="D31" i="5" s="1"/>
  <c r="T58" i="1"/>
  <c r="D7" i="8" s="1"/>
  <c r="U58" i="1"/>
  <c r="E7" i="8" s="1"/>
  <c r="V58" i="1"/>
  <c r="F7" i="8" s="1"/>
  <c r="T61" i="1"/>
  <c r="D10" i="8" s="1"/>
  <c r="U61" i="1"/>
  <c r="E10" i="8" s="1"/>
  <c r="V61" i="1"/>
  <c r="F10" i="8" s="1"/>
  <c r="W61" i="1"/>
  <c r="G10" i="8" s="1"/>
  <c r="U62" i="1"/>
  <c r="E11" i="8" s="1"/>
  <c r="W62" i="1"/>
  <c r="G11" i="8" s="1"/>
  <c r="T63" i="1"/>
  <c r="D12" i="8" s="1"/>
  <c r="U63" i="1"/>
  <c r="E12" i="8" s="1"/>
  <c r="V63" i="1"/>
  <c r="F12" i="8" s="1"/>
  <c r="W63" i="1"/>
  <c r="G12" i="8"/>
  <c r="T64" i="1"/>
  <c r="D13" i="8" s="1"/>
  <c r="U64" i="1"/>
  <c r="E13" i="8" s="1"/>
  <c r="V64" i="1"/>
  <c r="F13" i="8" s="1"/>
  <c r="W64" i="1"/>
  <c r="G13" i="8"/>
  <c r="AC14" i="1"/>
  <c r="AB14" i="1"/>
  <c r="Y14" i="1"/>
  <c r="X14" i="1"/>
  <c r="V14" i="1"/>
  <c r="U14" i="1"/>
  <c r="AD11" i="11"/>
  <c r="AD8" i="11"/>
  <c r="AC11" i="11"/>
  <c r="AC8" i="11" s="1"/>
  <c r="AB11" i="11"/>
  <c r="AB6" i="11" s="1"/>
  <c r="AA11" i="11"/>
  <c r="AA5" i="11" s="1"/>
  <c r="AY11" i="11"/>
  <c r="AY8" i="11"/>
  <c r="Z11" i="11"/>
  <c r="Z8" i="11" s="1"/>
  <c r="Y11" i="11"/>
  <c r="Y8" i="11"/>
  <c r="X11" i="11"/>
  <c r="X8" i="11"/>
  <c r="W11" i="11"/>
  <c r="W8" i="11" s="1"/>
  <c r="V11" i="11"/>
  <c r="V8" i="11" s="1"/>
  <c r="U11" i="11"/>
  <c r="U8" i="11"/>
  <c r="T11" i="11"/>
  <c r="T8" i="11" s="1"/>
  <c r="S11" i="11"/>
  <c r="S8" i="11" s="1"/>
  <c r="R11" i="11"/>
  <c r="R8" i="11" s="1"/>
  <c r="Q11" i="11"/>
  <c r="Q8" i="11"/>
  <c r="P11" i="11"/>
  <c r="P8" i="11"/>
  <c r="M11" i="11"/>
  <c r="M5" i="11" s="1"/>
  <c r="M8" i="11"/>
  <c r="L11" i="11"/>
  <c r="L8" i="11" s="1"/>
  <c r="J11" i="11"/>
  <c r="J8" i="11"/>
  <c r="H11" i="11"/>
  <c r="H8" i="11"/>
  <c r="G11" i="11"/>
  <c r="G8" i="11" s="1"/>
  <c r="E11" i="11"/>
  <c r="E8" i="11" s="1"/>
  <c r="D11" i="11"/>
  <c r="D8" i="11" s="1"/>
  <c r="C8" i="11"/>
  <c r="AD40" i="11"/>
  <c r="AD37" i="11"/>
  <c r="AD7" i="11" s="1"/>
  <c r="AD34" i="11"/>
  <c r="AD30" i="11"/>
  <c r="AD26" i="11"/>
  <c r="AD22" i="11"/>
  <c r="AD6" i="11"/>
  <c r="AD5" i="11"/>
  <c r="AC40" i="11"/>
  <c r="AB40" i="11"/>
  <c r="AA40" i="11"/>
  <c r="AC37" i="11"/>
  <c r="AB37" i="11"/>
  <c r="AA37" i="11"/>
  <c r="AC34" i="11"/>
  <c r="AB34" i="11"/>
  <c r="AA34" i="11"/>
  <c r="AC30" i="11"/>
  <c r="AB30" i="11"/>
  <c r="AA30" i="11"/>
  <c r="AC26" i="11"/>
  <c r="AB26" i="11"/>
  <c r="AA26" i="11"/>
  <c r="AC22" i="11"/>
  <c r="AB22" i="11"/>
  <c r="AA22" i="11"/>
  <c r="AB7" i="11"/>
  <c r="AA7" i="11"/>
  <c r="AC5" i="11"/>
  <c r="AB5" i="11"/>
  <c r="AB2" i="11"/>
  <c r="D26" i="11"/>
  <c r="E26" i="11"/>
  <c r="G26" i="11"/>
  <c r="H26" i="11"/>
  <c r="J26" i="11"/>
  <c r="L26" i="11"/>
  <c r="M26" i="11"/>
  <c r="P26" i="11"/>
  <c r="Q26" i="11"/>
  <c r="R26" i="11"/>
  <c r="S26" i="11"/>
  <c r="T26" i="11"/>
  <c r="U26" i="11"/>
  <c r="V26" i="11"/>
  <c r="W26" i="11"/>
  <c r="X26" i="11"/>
  <c r="Y26" i="11"/>
  <c r="Z26" i="11"/>
  <c r="AY26" i="11"/>
  <c r="C26" i="11"/>
  <c r="Z40" i="11"/>
  <c r="Z37" i="11"/>
  <c r="Z7" i="11" s="1"/>
  <c r="Z34" i="11"/>
  <c r="Z30" i="11"/>
  <c r="Z22" i="11"/>
  <c r="Z6" i="11"/>
  <c r="Z5" i="11"/>
  <c r="E2" i="11"/>
  <c r="C2" i="11"/>
  <c r="A1" i="6"/>
  <c r="B1" i="6"/>
  <c r="A7" i="7"/>
  <c r="B7" i="7"/>
  <c r="E3" i="12"/>
  <c r="F3" i="12"/>
  <c r="E4" i="12"/>
  <c r="F4" i="12"/>
  <c r="E5" i="12"/>
  <c r="F5" i="12" s="1"/>
  <c r="E6" i="12"/>
  <c r="F6" i="12"/>
  <c r="AY40" i="11"/>
  <c r="Y40" i="11"/>
  <c r="X40" i="11"/>
  <c r="X7" i="11" s="1"/>
  <c r="W40" i="11"/>
  <c r="V40" i="11"/>
  <c r="V7" i="11" s="1"/>
  <c r="U40" i="11"/>
  <c r="T40" i="11"/>
  <c r="S40" i="11"/>
  <c r="R40" i="11"/>
  <c r="Q40" i="11"/>
  <c r="P40" i="11"/>
  <c r="P7" i="11" s="1"/>
  <c r="M40" i="11"/>
  <c r="L40" i="11"/>
  <c r="L7" i="11" s="1"/>
  <c r="J40" i="11"/>
  <c r="H40" i="11"/>
  <c r="G40" i="11"/>
  <c r="E40" i="11"/>
  <c r="D40" i="11"/>
  <c r="C40" i="11"/>
  <c r="C7" i="11" s="1"/>
  <c r="AY37" i="11"/>
  <c r="AY7" i="11" s="1"/>
  <c r="Y37" i="11"/>
  <c r="Y7" i="11" s="1"/>
  <c r="X37" i="11"/>
  <c r="W37" i="11"/>
  <c r="V37" i="11"/>
  <c r="U37" i="11"/>
  <c r="T37" i="11"/>
  <c r="S37" i="11"/>
  <c r="S7" i="11" s="1"/>
  <c r="R37" i="11"/>
  <c r="R7" i="11" s="1"/>
  <c r="Q37" i="11"/>
  <c r="Q7" i="11" s="1"/>
  <c r="P37" i="11"/>
  <c r="M37" i="11"/>
  <c r="L37" i="11"/>
  <c r="J37" i="11"/>
  <c r="H37" i="11"/>
  <c r="G37" i="11"/>
  <c r="G7" i="11" s="1"/>
  <c r="E37" i="11"/>
  <c r="E7" i="11" s="1"/>
  <c r="D37" i="11"/>
  <c r="D7" i="11" s="1"/>
  <c r="C37" i="11"/>
  <c r="AY34" i="11"/>
  <c r="Y34" i="11"/>
  <c r="X34" i="11"/>
  <c r="W34" i="11"/>
  <c r="V34" i="11"/>
  <c r="U34" i="11"/>
  <c r="T34" i="11"/>
  <c r="S34" i="11"/>
  <c r="R34" i="11"/>
  <c r="Q34" i="11"/>
  <c r="P34" i="11"/>
  <c r="M34" i="11"/>
  <c r="L34" i="11"/>
  <c r="J34" i="11"/>
  <c r="H34" i="11"/>
  <c r="G34" i="11"/>
  <c r="E34" i="11"/>
  <c r="D34" i="11"/>
  <c r="C34" i="11"/>
  <c r="AY30" i="11"/>
  <c r="Y30" i="11"/>
  <c r="X30" i="11"/>
  <c r="W30" i="11"/>
  <c r="V30" i="11"/>
  <c r="U30" i="11"/>
  <c r="T30" i="11"/>
  <c r="S30" i="11"/>
  <c r="R30" i="11"/>
  <c r="Q30" i="11"/>
  <c r="P30" i="11"/>
  <c r="M30" i="11"/>
  <c r="L30" i="11"/>
  <c r="J30" i="11"/>
  <c r="H30" i="11"/>
  <c r="G30" i="11"/>
  <c r="E30" i="11"/>
  <c r="D30" i="11"/>
  <c r="C30" i="11"/>
  <c r="AY22" i="11"/>
  <c r="Y22" i="11"/>
  <c r="X22" i="11"/>
  <c r="W22" i="11"/>
  <c r="V22" i="11"/>
  <c r="U22" i="11"/>
  <c r="T22" i="11"/>
  <c r="S22" i="11"/>
  <c r="R22" i="11"/>
  <c r="Q22" i="11"/>
  <c r="P22" i="11"/>
  <c r="M22" i="11"/>
  <c r="L22" i="11"/>
  <c r="J22" i="11"/>
  <c r="H22" i="11"/>
  <c r="G22" i="11"/>
  <c r="E22" i="11"/>
  <c r="D22" i="11"/>
  <c r="C22" i="11"/>
  <c r="W7" i="11"/>
  <c r="U7" i="11"/>
  <c r="T7" i="11"/>
  <c r="M7" i="11"/>
  <c r="J7" i="11"/>
  <c r="H7" i="11"/>
  <c r="Y6" i="11"/>
  <c r="X6" i="11"/>
  <c r="W6" i="11"/>
  <c r="V6" i="11"/>
  <c r="T6" i="11"/>
  <c r="R6" i="11"/>
  <c r="Q6" i="11"/>
  <c r="P6" i="11"/>
  <c r="M6" i="11"/>
  <c r="L6" i="11"/>
  <c r="J6" i="11"/>
  <c r="H6" i="11"/>
  <c r="G6" i="11"/>
  <c r="Y5" i="11"/>
  <c r="X5" i="11"/>
  <c r="W5" i="11"/>
  <c r="V5" i="11"/>
  <c r="T5" i="11"/>
  <c r="R5" i="11"/>
  <c r="Q5" i="11"/>
  <c r="P5" i="11"/>
  <c r="L5" i="11"/>
  <c r="J5" i="11"/>
  <c r="H5" i="11"/>
  <c r="G5" i="11"/>
  <c r="D5" i="11"/>
  <c r="C5" i="11"/>
  <c r="W2" i="11"/>
  <c r="T2" i="11"/>
  <c r="S2" i="11"/>
  <c r="Q2" i="11"/>
  <c r="P2" i="11"/>
  <c r="C1" i="8"/>
  <c r="B1" i="8"/>
  <c r="B2" i="8"/>
  <c r="B3" i="8"/>
  <c r="S54" i="1"/>
  <c r="C3" i="8" s="1"/>
  <c r="B4" i="8"/>
  <c r="B5" i="8"/>
  <c r="S56" i="1"/>
  <c r="C5" i="8" s="1"/>
  <c r="B6" i="8"/>
  <c r="B7" i="8"/>
  <c r="S58" i="1"/>
  <c r="C7" i="8" s="1"/>
  <c r="B8" i="8"/>
  <c r="B9" i="8"/>
  <c r="B10" i="8"/>
  <c r="S61" i="1"/>
  <c r="C10" i="8" s="1"/>
  <c r="B11" i="8"/>
  <c r="S62" i="1"/>
  <c r="C11" i="8" s="1"/>
  <c r="B12" i="8"/>
  <c r="S63" i="1"/>
  <c r="C12" i="8"/>
  <c r="B13" i="8"/>
  <c r="S64" i="1"/>
  <c r="C13" i="8" s="1"/>
  <c r="A2" i="8"/>
  <c r="A3" i="8"/>
  <c r="A4" i="8"/>
  <c r="A5" i="8"/>
  <c r="A6" i="8"/>
  <c r="A7" i="8"/>
  <c r="A8" i="8"/>
  <c r="A9" i="8"/>
  <c r="A10" i="8"/>
  <c r="A11" i="8"/>
  <c r="A12" i="8"/>
  <c r="A13" i="8"/>
  <c r="A1" i="8"/>
  <c r="AA14" i="1"/>
  <c r="Z14" i="1"/>
  <c r="W14" i="1"/>
  <c r="B17" i="1"/>
  <c r="AC4" i="1"/>
  <c r="D1" i="7"/>
  <c r="C1" i="7"/>
  <c r="A2" i="7"/>
  <c r="B2" i="7"/>
  <c r="A3" i="7"/>
  <c r="B3" i="7"/>
  <c r="A4" i="7"/>
  <c r="B4" i="7"/>
  <c r="A5" i="7"/>
  <c r="B5" i="7"/>
  <c r="A6" i="7"/>
  <c r="B6" i="7"/>
  <c r="B1" i="7"/>
  <c r="A1" i="7"/>
  <c r="B4" i="6"/>
  <c r="A3" i="6"/>
  <c r="A4" i="6"/>
  <c r="A2" i="6"/>
  <c r="S6" i="1"/>
  <c r="S4" i="1"/>
  <c r="T14" i="1"/>
  <c r="S14" i="1"/>
  <c r="D36" i="1"/>
  <c r="B36" i="1"/>
  <c r="B19" i="1"/>
  <c r="C65" i="4"/>
  <c r="C69" i="4"/>
  <c r="B60" i="4"/>
  <c r="C60" i="4" s="1"/>
  <c r="C62" i="4" s="1"/>
  <c r="B65" i="4"/>
  <c r="B69" i="4"/>
  <c r="D64" i="1"/>
  <c r="B12" i="1"/>
  <c r="B21" i="1"/>
  <c r="B20" i="1"/>
  <c r="J31" i="5"/>
  <c r="C6" i="4" s="1"/>
  <c r="F6" i="4"/>
  <c r="B6" i="4"/>
  <c r="K32" i="5"/>
  <c r="J32" i="5"/>
  <c r="I30" i="5"/>
  <c r="I31" i="5"/>
  <c r="I32" i="5"/>
  <c r="H29" i="5"/>
  <c r="H30" i="5"/>
  <c r="H31" i="5"/>
  <c r="H32" i="5"/>
  <c r="G28" i="5"/>
  <c r="G29" i="5" s="1"/>
  <c r="G30" i="5" s="1"/>
  <c r="G31" i="5" s="1"/>
  <c r="G32" i="5" s="1"/>
  <c r="F27" i="5"/>
  <c r="F28" i="5"/>
  <c r="F29" i="5"/>
  <c r="F30" i="5" s="1"/>
  <c r="F31" i="5" s="1"/>
  <c r="F32" i="5" s="1"/>
  <c r="E26" i="5"/>
  <c r="E27" i="5"/>
  <c r="E28" i="5"/>
  <c r="E29" i="5"/>
  <c r="E30" i="5"/>
  <c r="E31" i="5" s="1"/>
  <c r="E32" i="5" s="1"/>
  <c r="C24" i="5"/>
  <c r="C25" i="5"/>
  <c r="C26" i="5"/>
  <c r="C27" i="5"/>
  <c r="C28" i="5"/>
  <c r="C29" i="5" s="1"/>
  <c r="C30" i="5" s="1"/>
  <c r="C31" i="5" s="1"/>
  <c r="C32" i="5" s="1"/>
  <c r="D13" i="4"/>
  <c r="D14" i="4" s="1"/>
  <c r="E13" i="4"/>
  <c r="E14" i="4" s="1"/>
  <c r="E16" i="4"/>
  <c r="E17" i="4" s="1"/>
  <c r="C10" i="4"/>
  <c r="C11" i="4"/>
  <c r="D10" i="4"/>
  <c r="D11" i="4"/>
  <c r="E10" i="4"/>
  <c r="E11" i="4"/>
  <c r="B10" i="4"/>
  <c r="B11" i="4" s="1"/>
  <c r="E11" i="5"/>
  <c r="E12" i="5"/>
  <c r="E13" i="5"/>
  <c r="E14" i="5"/>
  <c r="E15" i="5"/>
  <c r="E16" i="5"/>
  <c r="E17" i="5" s="1"/>
  <c r="D10" i="5"/>
  <c r="D11" i="5"/>
  <c r="D12" i="5"/>
  <c r="D13" i="5"/>
  <c r="D14" i="5"/>
  <c r="D15" i="5"/>
  <c r="D16" i="5"/>
  <c r="D17" i="5" s="1"/>
  <c r="K17" i="5"/>
  <c r="J17" i="5"/>
  <c r="I15" i="5"/>
  <c r="I16" i="5"/>
  <c r="I17" i="5"/>
  <c r="H14" i="5"/>
  <c r="H15" i="5"/>
  <c r="H16" i="5" s="1"/>
  <c r="H17" i="5" s="1"/>
  <c r="G17" i="5"/>
  <c r="F12" i="5"/>
  <c r="F13" i="5"/>
  <c r="F14" i="5"/>
  <c r="F15" i="5"/>
  <c r="F16" i="5"/>
  <c r="F17" i="5" s="1"/>
  <c r="C9" i="5"/>
  <c r="C10" i="5"/>
  <c r="C11" i="5"/>
  <c r="C12" i="5"/>
  <c r="C13" i="5"/>
  <c r="C14" i="5"/>
  <c r="C15" i="5"/>
  <c r="C16" i="5" s="1"/>
  <c r="C17" i="5" s="1"/>
  <c r="B40" i="4"/>
  <c r="C40" i="4"/>
  <c r="D40" i="4"/>
  <c r="C38" i="4"/>
  <c r="B38" i="4"/>
  <c r="D38" i="4"/>
  <c r="B23" i="4"/>
  <c r="E23" i="4"/>
  <c r="C23" i="4"/>
  <c r="D23" i="4"/>
  <c r="G42" i="1"/>
  <c r="G41" i="1"/>
  <c r="B9" i="1"/>
  <c r="B10" i="1" s="1"/>
  <c r="B11" i="1" s="1"/>
  <c r="B43" i="1"/>
  <c r="B35" i="1"/>
  <c r="B54" i="1"/>
  <c r="B55" i="1" s="1"/>
  <c r="H32" i="1"/>
  <c r="I32" i="1"/>
  <c r="J32" i="1"/>
  <c r="I33" i="1"/>
  <c r="D44" i="1"/>
  <c r="D45" i="1"/>
  <c r="D46" i="1"/>
  <c r="B44" i="1"/>
  <c r="B45" i="1"/>
  <c r="B46" i="1"/>
  <c r="X59" i="1" l="1"/>
  <c r="H8" i="8" s="1"/>
  <c r="AI59" i="1"/>
  <c r="S8" i="8" s="1"/>
  <c r="AG15" i="1"/>
  <c r="AB62" i="1"/>
  <c r="L11" i="8" s="1"/>
  <c r="AD62" i="1"/>
  <c r="N11" i="8" s="1"/>
  <c r="AE59" i="1"/>
  <c r="O8" i="8" s="1"/>
  <c r="AG62" i="1"/>
  <c r="Q11" i="8" s="1"/>
  <c r="AI5" i="1"/>
  <c r="AI6" i="1" s="1"/>
  <c r="V62" i="1"/>
  <c r="F11" i="8" s="1"/>
  <c r="AE6" i="1"/>
  <c r="V59" i="1" s="1"/>
  <c r="F8" i="8" s="1"/>
  <c r="Z15" i="1"/>
  <c r="V15" i="1"/>
  <c r="AC59" i="1"/>
  <c r="M8" i="8" s="1"/>
  <c r="AE5" i="1"/>
  <c r="U59" i="1" s="1"/>
  <c r="E8" i="8" s="1"/>
  <c r="AC15" i="1"/>
  <c r="Z59" i="1"/>
  <c r="J8" i="8" s="1"/>
  <c r="S15" i="1"/>
  <c r="T62" i="1"/>
  <c r="D11" i="8" s="1"/>
  <c r="T59" i="1"/>
  <c r="D8" i="8" s="1"/>
  <c r="X15" i="1"/>
  <c r="T15" i="1"/>
  <c r="T30" i="1" s="1"/>
  <c r="T48" i="1" s="1"/>
  <c r="U29" i="1"/>
  <c r="AA29" i="1"/>
  <c r="AA31" i="1" s="1"/>
  <c r="V29" i="1"/>
  <c r="W29" i="1"/>
  <c r="W31" i="1" s="1"/>
  <c r="X29" i="1"/>
  <c r="X31" i="1" s="1"/>
  <c r="Y29" i="1"/>
  <c r="Y31" i="1" s="1"/>
  <c r="S29" i="1"/>
  <c r="S31" i="1" s="1"/>
  <c r="Z29" i="1"/>
  <c r="Z31" i="1" s="1"/>
  <c r="D54" i="1"/>
  <c r="D55" i="1" s="1"/>
  <c r="T19" i="1"/>
  <c r="T44" i="1" s="1"/>
  <c r="D2" i="7" s="1"/>
  <c r="T38" i="1"/>
  <c r="C6" i="6" s="1"/>
  <c r="U17" i="1"/>
  <c r="U38" i="1" s="1"/>
  <c r="D6" i="6" s="1"/>
  <c r="S17" i="1"/>
  <c r="S38" i="1" s="1"/>
  <c r="B6" i="6" s="1"/>
  <c r="B31" i="1"/>
  <c r="H31" i="1" s="1"/>
  <c r="W25" i="1"/>
  <c r="Y25" i="1"/>
  <c r="AA25" i="1"/>
  <c r="C36" i="1"/>
  <c r="C44" i="1"/>
  <c r="C35" i="1"/>
  <c r="T25" i="1"/>
  <c r="C45" i="1"/>
  <c r="C46" i="1"/>
  <c r="C43" i="1"/>
  <c r="C54" i="1"/>
  <c r="C55" i="1" s="1"/>
  <c r="J33" i="1"/>
  <c r="T57" i="1"/>
  <c r="D6" i="8" s="1"/>
  <c r="U53" i="1"/>
  <c r="E2" i="8" s="1"/>
  <c r="V31" i="1"/>
  <c r="AA15" i="1"/>
  <c r="Y15" i="1"/>
  <c r="U15" i="1"/>
  <c r="U19" i="1" s="1"/>
  <c r="U44" i="1" s="1"/>
  <c r="T24" i="1"/>
  <c r="T46" i="1" s="1"/>
  <c r="D4" i="7" s="1"/>
  <c r="AJ18" i="1"/>
  <c r="AJ37" i="1" s="1"/>
  <c r="S5" i="6" s="1"/>
  <c r="AF15" i="1"/>
  <c r="AB18" i="1"/>
  <c r="AB37" i="1" s="1"/>
  <c r="K5" i="6" s="1"/>
  <c r="M1" i="6"/>
  <c r="AA56" i="1"/>
  <c r="K5" i="8" s="1"/>
  <c r="AD63" i="1"/>
  <c r="N12" i="8" s="1"/>
  <c r="AD56" i="1"/>
  <c r="N5" i="8" s="1"/>
  <c r="AE61" i="1"/>
  <c r="O10" i="8" s="1"/>
  <c r="AG63" i="1"/>
  <c r="Q12" i="8" s="1"/>
  <c r="AH56" i="1"/>
  <c r="R5" i="8" s="1"/>
  <c r="AI56" i="1"/>
  <c r="S5" i="8" s="1"/>
  <c r="AJ56" i="1"/>
  <c r="T5" i="8" s="1"/>
  <c r="U31" i="1"/>
  <c r="W15" i="1"/>
  <c r="W19" i="1" s="1"/>
  <c r="W44" i="1" s="1"/>
  <c r="W45" i="1" s="1"/>
  <c r="U24" i="1"/>
  <c r="U46" i="1" s="1"/>
  <c r="AJ15" i="1"/>
  <c r="X58" i="1"/>
  <c r="H7" i="8" s="1"/>
  <c r="AB58" i="1"/>
  <c r="L7" i="8" s="1"/>
  <c r="AC63" i="1"/>
  <c r="M12" i="8" s="1"/>
  <c r="AC58" i="1"/>
  <c r="M7" i="8" s="1"/>
  <c r="AF63" i="1"/>
  <c r="P12" i="8" s="1"/>
  <c r="T53" i="1"/>
  <c r="D2" i="8" s="1"/>
  <c r="W56" i="1"/>
  <c r="G5" i="8" s="1"/>
  <c r="AB52" i="1"/>
  <c r="S18" i="1"/>
  <c r="S20" i="1" s="1"/>
  <c r="V18" i="1"/>
  <c r="AI18" i="1"/>
  <c r="AI37" i="1" s="1"/>
  <c r="R5" i="6" s="1"/>
  <c r="AE15" i="1"/>
  <c r="K1" i="6"/>
  <c r="AF58" i="1"/>
  <c r="P7" i="8" s="1"/>
  <c r="B52" i="1"/>
  <c r="B53" i="1" s="1"/>
  <c r="W58" i="1"/>
  <c r="G7" i="8" s="1"/>
  <c r="T31" i="1"/>
  <c r="Z18" i="1"/>
  <c r="Z25" i="1" s="1"/>
  <c r="X18" i="1"/>
  <c r="V19" i="1"/>
  <c r="V44" i="1" s="1"/>
  <c r="AD52" i="1"/>
  <c r="AH18" i="1"/>
  <c r="AH37" i="1" s="1"/>
  <c r="Q5" i="6" s="1"/>
  <c r="AD18" i="1"/>
  <c r="AD37" i="1" s="1"/>
  <c r="M5" i="6" s="1"/>
  <c r="AB15" i="1"/>
  <c r="X56" i="1"/>
  <c r="H5" i="8" s="1"/>
  <c r="Y58" i="1"/>
  <c r="I7" i="8" s="1"/>
  <c r="AB56" i="1"/>
  <c r="L5" i="8" s="1"/>
  <c r="AC56" i="1"/>
  <c r="M5" i="8" s="1"/>
  <c r="AE58" i="1"/>
  <c r="O7" i="8" s="1"/>
  <c r="G1" i="6"/>
  <c r="AD15" i="1"/>
  <c r="AE56" i="1"/>
  <c r="O5" i="8" s="1"/>
  <c r="AF56" i="1"/>
  <c r="P5" i="8" s="1"/>
  <c r="AH63" i="1"/>
  <c r="R12" i="8" s="1"/>
  <c r="AI63" i="1"/>
  <c r="S12" i="8" s="1"/>
  <c r="U56" i="1"/>
  <c r="E5" i="8" s="1"/>
  <c r="U18" i="1"/>
  <c r="U25" i="1" s="1"/>
  <c r="AG18" i="1"/>
  <c r="D31" i="1"/>
  <c r="U5" i="1"/>
  <c r="Y28" i="1" s="1"/>
  <c r="T55" i="1"/>
  <c r="D4" i="8" s="1"/>
  <c r="V23" i="1"/>
  <c r="V53" i="1"/>
  <c r="F2" i="8" s="1"/>
  <c r="U39" i="1"/>
  <c r="D7" i="6" s="1"/>
  <c r="S19" i="1"/>
  <c r="S44" i="1" s="1"/>
  <c r="C2" i="7" s="1"/>
  <c r="T39" i="1"/>
  <c r="C7" i="6" s="1"/>
  <c r="W23" i="1"/>
  <c r="W39" i="1" s="1"/>
  <c r="F7" i="6" s="1"/>
  <c r="W38" i="1"/>
  <c r="F6" i="6" s="1"/>
  <c r="C70" i="4"/>
  <c r="C31" i="1"/>
  <c r="S23" i="1"/>
  <c r="X23" i="1"/>
  <c r="X24" i="1" s="1"/>
  <c r="X46" i="1" s="1"/>
  <c r="J20" i="16"/>
  <c r="K20" i="16" s="1"/>
  <c r="L20" i="16" s="1"/>
  <c r="M20" i="16" s="1"/>
  <c r="N20" i="16" s="1"/>
  <c r="O20" i="16" s="1"/>
  <c r="P20" i="16" s="1"/>
  <c r="D8" i="4"/>
  <c r="G31" i="4"/>
  <c r="B31" i="4"/>
  <c r="D30" i="4"/>
  <c r="G8" i="4"/>
  <c r="F31" i="4"/>
  <c r="C30" i="4"/>
  <c r="D32" i="5"/>
  <c r="C31" i="4"/>
  <c r="D31" i="4"/>
  <c r="F8" i="4"/>
  <c r="C8" i="4"/>
  <c r="F30" i="4"/>
  <c r="G30" i="4"/>
  <c r="B8" i="4"/>
  <c r="B30" i="4"/>
  <c r="E5" i="11"/>
  <c r="AY5" i="11"/>
  <c r="AB8" i="11"/>
  <c r="U37" i="1"/>
  <c r="D5" i="6" s="1"/>
  <c r="AZ6" i="11"/>
  <c r="AZ5" i="11"/>
  <c r="AY4" i="11"/>
  <c r="AA4" i="11"/>
  <c r="U4" i="11"/>
  <c r="H3" i="11"/>
  <c r="H2" i="11" s="1"/>
  <c r="E7" i="16"/>
  <c r="E8" i="16"/>
  <c r="AG60" i="1"/>
  <c r="Q9" i="8" s="1"/>
  <c r="X60" i="1"/>
  <c r="H9" i="8" s="1"/>
  <c r="AF5" i="1"/>
  <c r="AE60" i="1"/>
  <c r="O9" i="8" s="1"/>
  <c r="AC60" i="1"/>
  <c r="M9" i="8" s="1"/>
  <c r="AB60" i="1"/>
  <c r="L9" i="8" s="1"/>
  <c r="Y60" i="1"/>
  <c r="I9" i="8" s="1"/>
  <c r="Z60" i="1"/>
  <c r="J9" i="8" s="1"/>
  <c r="AI60" i="1"/>
  <c r="S9" i="8" s="1"/>
  <c r="S5" i="11"/>
  <c r="AZ3" i="11"/>
  <c r="AZ2" i="11" s="1"/>
  <c r="N4" i="11"/>
  <c r="B62" i="4"/>
  <c r="S6" i="11"/>
  <c r="E1" i="6"/>
  <c r="V52" i="1"/>
  <c r="BA8" i="11"/>
  <c r="AD3" i="11"/>
  <c r="AD2" i="11" s="1"/>
  <c r="Y3" i="11"/>
  <c r="Y2" i="11" s="1"/>
  <c r="V3" i="11"/>
  <c r="V2" i="11" s="1"/>
  <c r="N5" i="11"/>
  <c r="F2" i="16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D9" i="16"/>
  <c r="E9" i="16"/>
  <c r="U5" i="11"/>
  <c r="AA6" i="11"/>
  <c r="AY3" i="11"/>
  <c r="AY2" i="11" s="1"/>
  <c r="Y4" i="11"/>
  <c r="L3" i="11"/>
  <c r="L2" i="11" s="1"/>
  <c r="J3" i="11"/>
  <c r="J2" i="11" s="1"/>
  <c r="AE3" i="11"/>
  <c r="AE2" i="11" s="1"/>
  <c r="K6" i="11"/>
  <c r="K5" i="11"/>
  <c r="B70" i="4"/>
  <c r="D6" i="4"/>
  <c r="H4" i="11"/>
  <c r="BA4" i="11"/>
  <c r="M3" i="11"/>
  <c r="M2" i="11" s="1"/>
  <c r="D3" i="11"/>
  <c r="D2" i="11" s="1"/>
  <c r="E10" i="16"/>
  <c r="F10" i="16"/>
  <c r="AJ4" i="11"/>
  <c r="AJ6" i="11"/>
  <c r="B13" i="1"/>
  <c r="S60" i="1"/>
  <c r="C9" i="8" s="1"/>
  <c r="AC6" i="11"/>
  <c r="T60" i="1"/>
  <c r="D9" i="8" s="1"/>
  <c r="Z3" i="11"/>
  <c r="Z2" i="11" s="1"/>
  <c r="X3" i="11"/>
  <c r="X2" i="11" s="1"/>
  <c r="O8" i="11"/>
  <c r="AJ5" i="11"/>
  <c r="E6" i="11"/>
  <c r="AC7" i="11"/>
  <c r="AA8" i="11"/>
  <c r="U20" i="1"/>
  <c r="J4" i="11"/>
  <c r="D13" i="16"/>
  <c r="E13" i="16"/>
  <c r="F13" i="16"/>
  <c r="AF4" i="11"/>
  <c r="AF6" i="11"/>
  <c r="AI39" i="1"/>
  <c r="R7" i="6" s="1"/>
  <c r="AI55" i="1"/>
  <c r="S4" i="8" s="1"/>
  <c r="AI24" i="1"/>
  <c r="AA3" i="11"/>
  <c r="AA2" i="11" s="1"/>
  <c r="G34" i="16"/>
  <c r="G33" i="16"/>
  <c r="G32" i="16"/>
  <c r="G31" i="16"/>
  <c r="G30" i="16"/>
  <c r="G29" i="16"/>
  <c r="G28" i="16"/>
  <c r="G27" i="16"/>
  <c r="G26" i="16"/>
  <c r="G25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AP5" i="11"/>
  <c r="AP3" i="11"/>
  <c r="AP2" i="11" s="1"/>
  <c r="AG29" i="1"/>
  <c r="AG31" i="1" s="1"/>
  <c r="AI29" i="1"/>
  <c r="AI31" i="1" s="1"/>
  <c r="AK29" i="1"/>
  <c r="AK31" i="1" s="1"/>
  <c r="AH29" i="1"/>
  <c r="AH31" i="1" s="1"/>
  <c r="AJ29" i="1"/>
  <c r="AJ31" i="1" s="1"/>
  <c r="AG55" i="1"/>
  <c r="Q4" i="8" s="1"/>
  <c r="AG39" i="1"/>
  <c r="P7" i="6" s="1"/>
  <c r="AG24" i="1"/>
  <c r="AE6" i="11"/>
  <c r="E15" i="16"/>
  <c r="F15" i="16" s="1"/>
  <c r="G15" i="16"/>
  <c r="H15" i="16"/>
  <c r="E3" i="16"/>
  <c r="AH4" i="11"/>
  <c r="AH3" i="11"/>
  <c r="AH2" i="11" s="1"/>
  <c r="AL4" i="11"/>
  <c r="AL3" i="11"/>
  <c r="AL2" i="11" s="1"/>
  <c r="AK17" i="1"/>
  <c r="AG17" i="1"/>
  <c r="AD17" i="1"/>
  <c r="AA17" i="1"/>
  <c r="X17" i="1"/>
  <c r="AJ17" i="1"/>
  <c r="AF17" i="1"/>
  <c r="AC17" i="1"/>
  <c r="AI17" i="1"/>
  <c r="AB17" i="1"/>
  <c r="Y17" i="1"/>
  <c r="AE17" i="1"/>
  <c r="Z17" i="1"/>
  <c r="BA6" i="11"/>
  <c r="AI3" i="11"/>
  <c r="AI2" i="11" s="1"/>
  <c r="O6" i="11"/>
  <c r="F12" i="16"/>
  <c r="AN3" i="11"/>
  <c r="AN2" i="11" s="1"/>
  <c r="AF3" i="11"/>
  <c r="AF2" i="11" s="1"/>
  <c r="AH6" i="11"/>
  <c r="AH5" i="11"/>
  <c r="AJ3" i="11"/>
  <c r="AJ2" i="11" s="1"/>
  <c r="AL6" i="11"/>
  <c r="AL5" i="11"/>
  <c r="F43" i="16"/>
  <c r="U3" i="11"/>
  <c r="U2" i="11" s="1"/>
  <c r="N3" i="11"/>
  <c r="N2" i="11" s="1"/>
  <c r="H7" i="16"/>
  <c r="AP4" i="11"/>
  <c r="AM6" i="11"/>
  <c r="AM5" i="11"/>
  <c r="AH17" i="1"/>
  <c r="AI28" i="1"/>
  <c r="AK28" i="1"/>
  <c r="AG28" i="1"/>
  <c r="AJ28" i="1"/>
  <c r="AH28" i="1"/>
  <c r="U1" i="8"/>
  <c r="T1" i="6"/>
  <c r="G43" i="16"/>
  <c r="G1" i="8"/>
  <c r="V25" i="1"/>
  <c r="AI5" i="11"/>
  <c r="G16" i="16"/>
  <c r="G7" i="16"/>
  <c r="G8" i="16"/>
  <c r="H11" i="16"/>
  <c r="AN5" i="11"/>
  <c r="AO4" i="11"/>
  <c r="AM3" i="11"/>
  <c r="AM2" i="11" s="1"/>
  <c r="AD29" i="1"/>
  <c r="AD31" i="1" s="1"/>
  <c r="AB29" i="1"/>
  <c r="AB31" i="1" s="1"/>
  <c r="AF29" i="1"/>
  <c r="AF31" i="1" s="1"/>
  <c r="AC29" i="1"/>
  <c r="AC31" i="1" s="1"/>
  <c r="AE29" i="1"/>
  <c r="AE31" i="1" s="1"/>
  <c r="AC4" i="11"/>
  <c r="F16" i="16"/>
  <c r="F7" i="16"/>
  <c r="F8" i="16"/>
  <c r="G11" i="16"/>
  <c r="AN6" i="11"/>
  <c r="AO8" i="11"/>
  <c r="AO6" i="11"/>
  <c r="AO5" i="11"/>
  <c r="AF20" i="1"/>
  <c r="AE20" i="1"/>
  <c r="AC20" i="1"/>
  <c r="AK20" i="1"/>
  <c r="AB20" i="1"/>
  <c r="AI20" i="1"/>
  <c r="AH20" i="1"/>
  <c r="F11" i="16"/>
  <c r="E14" i="16"/>
  <c r="F14" i="16" s="1"/>
  <c r="AH23" i="1"/>
  <c r="AE23" i="1"/>
  <c r="AK23" i="1"/>
  <c r="AA23" i="1"/>
  <c r="Z23" i="1"/>
  <c r="AJ23" i="1"/>
  <c r="AB23" i="1"/>
  <c r="Y23" i="1"/>
  <c r="AF23" i="1"/>
  <c r="AD23" i="1"/>
  <c r="AC23" i="1"/>
  <c r="AX5" i="11"/>
  <c r="AX3" i="11"/>
  <c r="AX2" i="11" s="1"/>
  <c r="AF54" i="1"/>
  <c r="P3" i="8" s="1"/>
  <c r="AC54" i="1"/>
  <c r="M3" i="8" s="1"/>
  <c r="Z54" i="1"/>
  <c r="J3" i="8" s="1"/>
  <c r="AI54" i="1"/>
  <c r="S3" i="8" s="1"/>
  <c r="AK54" i="1"/>
  <c r="U3" i="8" s="1"/>
  <c r="AJ54" i="1"/>
  <c r="T3" i="8" s="1"/>
  <c r="AV5" i="11"/>
  <c r="AS5" i="11"/>
  <c r="AS3" i="11"/>
  <c r="AS2" i="11" s="1"/>
  <c r="AK6" i="11"/>
  <c r="AE7" i="1"/>
  <c r="AB59" i="1"/>
  <c r="L8" i="8" s="1"/>
  <c r="Y59" i="1"/>
  <c r="I8" i="8" s="1"/>
  <c r="D59" i="1"/>
  <c r="AX4" i="11"/>
  <c r="AG3" i="11"/>
  <c r="AG2" i="11" s="1"/>
  <c r="Q1" i="8"/>
  <c r="Z61" i="1"/>
  <c r="J10" i="8" s="1"/>
  <c r="AI61" i="1"/>
  <c r="S10" i="8" s="1"/>
  <c r="AF61" i="1"/>
  <c r="P10" i="8" s="1"/>
  <c r="AJ61" i="1"/>
  <c r="T10" i="8" s="1"/>
  <c r="AS4" i="11"/>
  <c r="AX6" i="11"/>
  <c r="BB5" i="11"/>
  <c r="K4" i="11"/>
  <c r="AV4" i="11"/>
  <c r="AS6" i="11"/>
  <c r="I4" i="11"/>
  <c r="I3" i="11"/>
  <c r="I2" i="11" s="1"/>
  <c r="AG5" i="11"/>
  <c r="AH15" i="1"/>
  <c r="S1" i="6"/>
  <c r="AQ8" i="11"/>
  <c r="AQ6" i="11"/>
  <c r="AQ5" i="11"/>
  <c r="I8" i="11"/>
  <c r="I6" i="11"/>
  <c r="I5" i="11"/>
  <c r="AH54" i="1"/>
  <c r="R3" i="8" s="1"/>
  <c r="F44" i="16"/>
  <c r="G44" i="16"/>
  <c r="AR6" i="11"/>
  <c r="BB4" i="11"/>
  <c r="O1" i="6"/>
  <c r="P1" i="8"/>
  <c r="AG59" i="1"/>
  <c r="Q8" i="8" s="1"/>
  <c r="AB25" i="1"/>
  <c r="AC25" i="1"/>
  <c r="AE25" i="1"/>
  <c r="AF25" i="1"/>
  <c r="AG25" i="1"/>
  <c r="AH25" i="1"/>
  <c r="AI25" i="1"/>
  <c r="AK25" i="1"/>
  <c r="AU5" i="11"/>
  <c r="AU3" i="11"/>
  <c r="AU2" i="11" s="1"/>
  <c r="BB8" i="11"/>
  <c r="AV3" i="11"/>
  <c r="AV2" i="11" s="1"/>
  <c r="H43" i="16"/>
  <c r="I43" i="16" s="1"/>
  <c r="BB3" i="11"/>
  <c r="BB2" i="11" s="1"/>
  <c r="K3" i="11"/>
  <c r="K2" i="11" s="1"/>
  <c r="AD28" i="1" l="1"/>
  <c r="AD30" i="1" s="1"/>
  <c r="AE28" i="1"/>
  <c r="X62" i="1"/>
  <c r="H11" i="8" s="1"/>
  <c r="T45" i="1"/>
  <c r="D3" i="7" s="1"/>
  <c r="AB28" i="1"/>
  <c r="AB57" i="1" s="1"/>
  <c r="L6" i="8" s="1"/>
  <c r="T47" i="1"/>
  <c r="D5" i="7" s="1"/>
  <c r="S53" i="1"/>
  <c r="C2" i="8" s="1"/>
  <c r="T35" i="1"/>
  <c r="C3" i="6" s="1"/>
  <c r="U47" i="1"/>
  <c r="AG37" i="1"/>
  <c r="P5" i="6" s="1"/>
  <c r="AG20" i="1"/>
  <c r="U45" i="1"/>
  <c r="S37" i="1"/>
  <c r="B5" i="6" s="1"/>
  <c r="B62" i="1"/>
  <c r="B63" i="1" s="1"/>
  <c r="AD25" i="1"/>
  <c r="AJ25" i="1"/>
  <c r="S25" i="1"/>
  <c r="T34" i="1"/>
  <c r="C2" i="6" s="1"/>
  <c r="X37" i="1"/>
  <c r="G5" i="6" s="1"/>
  <c r="X20" i="1"/>
  <c r="X25" i="1"/>
  <c r="X47" i="1" s="1"/>
  <c r="AJ20" i="1"/>
  <c r="AD20" i="1"/>
  <c r="Z20" i="1"/>
  <c r="Z37" i="1"/>
  <c r="I5" i="6" s="1"/>
  <c r="V20" i="1"/>
  <c r="V45" i="1" s="1"/>
  <c r="V37" i="1"/>
  <c r="E5" i="6" s="1"/>
  <c r="W24" i="1"/>
  <c r="W55" i="1"/>
  <c r="G4" i="8" s="1"/>
  <c r="S39" i="1"/>
  <c r="B7" i="6" s="1"/>
  <c r="S24" i="1"/>
  <c r="S46" i="1" s="1"/>
  <c r="C4" i="7" s="1"/>
  <c r="S55" i="1"/>
  <c r="C4" i="8" s="1"/>
  <c r="V55" i="1"/>
  <c r="F4" i="8" s="1"/>
  <c r="V39" i="1"/>
  <c r="E7" i="6" s="1"/>
  <c r="V24" i="1"/>
  <c r="V46" i="1" s="1"/>
  <c r="I31" i="1"/>
  <c r="C52" i="1"/>
  <c r="AF28" i="1"/>
  <c r="W28" i="1"/>
  <c r="V28" i="1"/>
  <c r="AA28" i="1"/>
  <c r="S28" i="1"/>
  <c r="X28" i="1"/>
  <c r="U28" i="1"/>
  <c r="Z28" i="1"/>
  <c r="AC28" i="1"/>
  <c r="D52" i="1"/>
  <c r="J31" i="1"/>
  <c r="T49" i="1"/>
  <c r="D7" i="7" s="1"/>
  <c r="D6" i="7"/>
  <c r="X55" i="1"/>
  <c r="H4" i="8" s="1"/>
  <c r="X39" i="1"/>
  <c r="G7" i="6" s="1"/>
  <c r="I25" i="16"/>
  <c r="I34" i="16"/>
  <c r="I30" i="16"/>
  <c r="G14" i="16"/>
  <c r="AD39" i="1"/>
  <c r="M7" i="6" s="1"/>
  <c r="AD24" i="1"/>
  <c r="AD55" i="1"/>
  <c r="N4" i="8" s="1"/>
  <c r="AE39" i="1"/>
  <c r="N7" i="6" s="1"/>
  <c r="AE55" i="1"/>
  <c r="O4" i="8" s="1"/>
  <c r="AE24" i="1"/>
  <c r="AF38" i="1"/>
  <c r="O6" i="6" s="1"/>
  <c r="AF53" i="1"/>
  <c r="P2" i="8" s="1"/>
  <c r="AF19" i="1"/>
  <c r="AF44" i="1" s="1"/>
  <c r="AF45" i="1" s="1"/>
  <c r="AG46" i="1"/>
  <c r="AG47" i="1" s="1"/>
  <c r="S45" i="1"/>
  <c r="C3" i="7" s="1"/>
  <c r="H25" i="16"/>
  <c r="H29" i="16"/>
  <c r="H33" i="16"/>
  <c r="G10" i="16"/>
  <c r="AJ19" i="1"/>
  <c r="AJ44" i="1" s="1"/>
  <c r="AJ53" i="1"/>
  <c r="T2" i="8" s="1"/>
  <c r="AJ38" i="1"/>
  <c r="S6" i="6" s="1"/>
  <c r="AB30" i="1"/>
  <c r="AJ59" i="1"/>
  <c r="T8" i="8" s="1"/>
  <c r="AK59" i="1"/>
  <c r="U8" i="8" s="1"/>
  <c r="AD59" i="1"/>
  <c r="N8" i="8" s="1"/>
  <c r="AH59" i="1"/>
  <c r="R8" i="8" s="1"/>
  <c r="AA59" i="1"/>
  <c r="K8" i="8" s="1"/>
  <c r="AF59" i="1"/>
  <c r="P8" i="8" s="1"/>
  <c r="W59" i="1"/>
  <c r="G8" i="8" s="1"/>
  <c r="Y55" i="1"/>
  <c r="I4" i="8" s="1"/>
  <c r="Y24" i="1"/>
  <c r="Y39" i="1"/>
  <c r="H7" i="6" s="1"/>
  <c r="I15" i="16"/>
  <c r="J15" i="16" s="1"/>
  <c r="AH30" i="1"/>
  <c r="AH57" i="1"/>
  <c r="R6" i="8" s="1"/>
  <c r="AH40" i="1"/>
  <c r="Q8" i="6" s="1"/>
  <c r="Z53" i="1"/>
  <c r="J2" i="8" s="1"/>
  <c r="Z19" i="1"/>
  <c r="Z44" i="1" s="1"/>
  <c r="Z45" i="1" s="1"/>
  <c r="Z38" i="1"/>
  <c r="I6" i="6" s="1"/>
  <c r="X53" i="1"/>
  <c r="H2" i="8" s="1"/>
  <c r="X19" i="1"/>
  <c r="X38" i="1"/>
  <c r="G6" i="6" s="1"/>
  <c r="I29" i="16"/>
  <c r="H26" i="16"/>
  <c r="I26" i="16" s="1"/>
  <c r="U34" i="1"/>
  <c r="D2" i="6" s="1"/>
  <c r="AF39" i="1"/>
  <c r="O7" i="6" s="1"/>
  <c r="AF55" i="1"/>
  <c r="P4" i="8" s="1"/>
  <c r="AF24" i="1"/>
  <c r="AJ39" i="1"/>
  <c r="S7" i="6" s="1"/>
  <c r="AJ24" i="1"/>
  <c r="AJ55" i="1"/>
  <c r="T4" i="8" s="1"/>
  <c r="K15" i="16"/>
  <c r="AG40" i="1"/>
  <c r="P8" i="6" s="1"/>
  <c r="AG57" i="1"/>
  <c r="Q6" i="8" s="1"/>
  <c r="AG30" i="1"/>
  <c r="G12" i="16"/>
  <c r="Y53" i="1"/>
  <c r="I2" i="8" s="1"/>
  <c r="Y19" i="1"/>
  <c r="Y44" i="1" s="1"/>
  <c r="Y45" i="1" s="1"/>
  <c r="Y38" i="1"/>
  <c r="H6" i="6" s="1"/>
  <c r="AD53" i="1"/>
  <c r="N2" i="8" s="1"/>
  <c r="AD19" i="1"/>
  <c r="AD44" i="1" s="1"/>
  <c r="AD38" i="1"/>
  <c r="M6" i="6" s="1"/>
  <c r="AF6" i="1"/>
  <c r="U60" i="1"/>
  <c r="E9" i="8" s="1"/>
  <c r="AH55" i="1"/>
  <c r="R4" i="8" s="1"/>
  <c r="AH24" i="1"/>
  <c r="AH39" i="1"/>
  <c r="Q7" i="6" s="1"/>
  <c r="AI7" i="1"/>
  <c r="Y62" i="1"/>
  <c r="I11" i="8" s="1"/>
  <c r="AB55" i="1"/>
  <c r="L4" i="8" s="1"/>
  <c r="AB24" i="1"/>
  <c r="AB39" i="1"/>
  <c r="K7" i="6" s="1"/>
  <c r="AE53" i="1"/>
  <c r="O2" i="8" s="1"/>
  <c r="AE38" i="1"/>
  <c r="N6" i="6" s="1"/>
  <c r="AE19" i="1"/>
  <c r="AE44" i="1" s="1"/>
  <c r="AE45" i="1" s="1"/>
  <c r="AE40" i="1"/>
  <c r="N8" i="6" s="1"/>
  <c r="AE57" i="1"/>
  <c r="O6" i="8" s="1"/>
  <c r="AE30" i="1"/>
  <c r="Z55" i="1"/>
  <c r="J4" i="8" s="1"/>
  <c r="Z24" i="1"/>
  <c r="Z39" i="1"/>
  <c r="I7" i="6" s="1"/>
  <c r="AK57" i="1"/>
  <c r="U6" i="8" s="1"/>
  <c r="AK30" i="1"/>
  <c r="AK40" i="1"/>
  <c r="T8" i="6" s="1"/>
  <c r="J11" i="16"/>
  <c r="J43" i="16"/>
  <c r="K43" i="16" s="1"/>
  <c r="I7" i="16"/>
  <c r="AB38" i="1"/>
  <c r="K6" i="6" s="1"/>
  <c r="AB53" i="1"/>
  <c r="L2" i="8" s="1"/>
  <c r="AB19" i="1"/>
  <c r="AB44" i="1" s="1"/>
  <c r="AB45" i="1" s="1"/>
  <c r="AG38" i="1"/>
  <c r="P6" i="6" s="1"/>
  <c r="AG53" i="1"/>
  <c r="Q2" i="8" s="1"/>
  <c r="AG19" i="1"/>
  <c r="AG44" i="1" s="1"/>
  <c r="AG45" i="1" s="1"/>
  <c r="H27" i="16"/>
  <c r="H31" i="16"/>
  <c r="K7" i="16"/>
  <c r="Y57" i="1"/>
  <c r="I6" i="8" s="1"/>
  <c r="Y30" i="1"/>
  <c r="Y40" i="1"/>
  <c r="H8" i="6" s="1"/>
  <c r="AJ57" i="1"/>
  <c r="T6" i="8" s="1"/>
  <c r="AJ40" i="1"/>
  <c r="S8" i="6" s="1"/>
  <c r="AJ30" i="1"/>
  <c r="AA53" i="1"/>
  <c r="K2" i="8" s="1"/>
  <c r="AA19" i="1"/>
  <c r="AA44" i="1" s="1"/>
  <c r="AA45" i="1" s="1"/>
  <c r="AA38" i="1"/>
  <c r="J6" i="6" s="1"/>
  <c r="H30" i="16"/>
  <c r="H34" i="16"/>
  <c r="H44" i="16"/>
  <c r="AA55" i="1"/>
  <c r="K4" i="8" s="1"/>
  <c r="AA39" i="1"/>
  <c r="J7" i="6" s="1"/>
  <c r="AA24" i="1"/>
  <c r="AI57" i="1"/>
  <c r="S6" i="8" s="1"/>
  <c r="AI40" i="1"/>
  <c r="R8" i="6" s="1"/>
  <c r="AI30" i="1"/>
  <c r="H8" i="16"/>
  <c r="I8" i="16" s="1"/>
  <c r="H16" i="16"/>
  <c r="AI19" i="1"/>
  <c r="AI44" i="1" s="1"/>
  <c r="AI45" i="1" s="1"/>
  <c r="AI53" i="1"/>
  <c r="S2" i="8" s="1"/>
  <c r="AI38" i="1"/>
  <c r="R6" i="6" s="1"/>
  <c r="AK38" i="1"/>
  <c r="T6" i="6" s="1"/>
  <c r="AK53" i="1"/>
  <c r="U2" i="8" s="1"/>
  <c r="AK19" i="1"/>
  <c r="AK44" i="1" s="1"/>
  <c r="AK45" i="1" s="1"/>
  <c r="F3" i="16"/>
  <c r="I11" i="16"/>
  <c r="K11" i="16" s="1"/>
  <c r="AI46" i="1"/>
  <c r="AI47" i="1" s="1"/>
  <c r="H13" i="16"/>
  <c r="G13" i="16"/>
  <c r="H10" i="16"/>
  <c r="J7" i="16"/>
  <c r="AC24" i="1"/>
  <c r="AC39" i="1"/>
  <c r="L7" i="6" s="1"/>
  <c r="AC55" i="1"/>
  <c r="M4" i="8" s="1"/>
  <c r="AK24" i="1"/>
  <c r="AK55" i="1"/>
  <c r="U4" i="8" s="1"/>
  <c r="AK39" i="1"/>
  <c r="T7" i="6" s="1"/>
  <c r="AH53" i="1"/>
  <c r="R2" i="8" s="1"/>
  <c r="AH38" i="1"/>
  <c r="Q6" i="6" s="1"/>
  <c r="AH19" i="1"/>
  <c r="AH44" i="1" s="1"/>
  <c r="AH45" i="1" s="1"/>
  <c r="AC38" i="1"/>
  <c r="L6" i="6" s="1"/>
  <c r="AC19" i="1"/>
  <c r="AC44" i="1" s="1"/>
  <c r="AC45" i="1" s="1"/>
  <c r="AC53" i="1"/>
  <c r="M2" i="8" s="1"/>
  <c r="H28" i="16"/>
  <c r="H32" i="16"/>
  <c r="F9" i="16"/>
  <c r="G9" i="16" s="1"/>
  <c r="V47" i="1"/>
  <c r="AD40" i="1" l="1"/>
  <c r="M8" i="6" s="1"/>
  <c r="AD57" i="1"/>
  <c r="N6" i="8" s="1"/>
  <c r="AB40" i="1"/>
  <c r="K8" i="6" s="1"/>
  <c r="AJ45" i="1"/>
  <c r="S47" i="1"/>
  <c r="C5" i="7" s="1"/>
  <c r="AD45" i="1"/>
  <c r="S34" i="1"/>
  <c r="B2" i="6" s="1"/>
  <c r="X30" i="1"/>
  <c r="X40" i="1"/>
  <c r="G8" i="6" s="1"/>
  <c r="X57" i="1"/>
  <c r="H6" i="8" s="1"/>
  <c r="S57" i="1"/>
  <c r="C6" i="8" s="1"/>
  <c r="S40" i="1"/>
  <c r="B8" i="6" s="1"/>
  <c r="S30" i="1"/>
  <c r="AA57" i="1"/>
  <c r="K6" i="8" s="1"/>
  <c r="AA40" i="1"/>
  <c r="J8" i="6" s="1"/>
  <c r="AA30" i="1"/>
  <c r="AA48" i="1" s="1"/>
  <c r="AA49" i="1" s="1"/>
  <c r="D53" i="1"/>
  <c r="D62" i="1"/>
  <c r="D63" i="1" s="1"/>
  <c r="B57" i="1"/>
  <c r="C56" i="1"/>
  <c r="W30" i="1"/>
  <c r="W40" i="1"/>
  <c r="F8" i="6" s="1"/>
  <c r="W57" i="1"/>
  <c r="G6" i="8" s="1"/>
  <c r="V30" i="1"/>
  <c r="V40" i="1"/>
  <c r="E8" i="6" s="1"/>
  <c r="V57" i="1"/>
  <c r="F6" i="8" s="1"/>
  <c r="AC40" i="1"/>
  <c r="L8" i="6" s="1"/>
  <c r="AC57" i="1"/>
  <c r="M6" i="8" s="1"/>
  <c r="AC30" i="1"/>
  <c r="AC48" i="1" s="1"/>
  <c r="AC49" i="1" s="1"/>
  <c r="AF57" i="1"/>
  <c r="P6" i="8" s="1"/>
  <c r="AF40" i="1"/>
  <c r="O8" i="6" s="1"/>
  <c r="AF30" i="1"/>
  <c r="AF48" i="1" s="1"/>
  <c r="AF49" i="1" s="1"/>
  <c r="Z57" i="1"/>
  <c r="J6" i="8" s="1"/>
  <c r="Z40" i="1"/>
  <c r="I8" i="6" s="1"/>
  <c r="Z30" i="1"/>
  <c r="Z48" i="1" s="1"/>
  <c r="Z49" i="1" s="1"/>
  <c r="C53" i="1"/>
  <c r="B56" i="1"/>
  <c r="C62" i="1"/>
  <c r="C63" i="1" s="1"/>
  <c r="AI34" i="1"/>
  <c r="R2" i="6" s="1"/>
  <c r="V34" i="1"/>
  <c r="E2" i="6" s="1"/>
  <c r="U30" i="1"/>
  <c r="U57" i="1"/>
  <c r="E6" i="8" s="1"/>
  <c r="U40" i="1"/>
  <c r="D8" i="6" s="1"/>
  <c r="W46" i="1"/>
  <c r="W47" i="1" s="1"/>
  <c r="W34" i="1"/>
  <c r="F2" i="6" s="1"/>
  <c r="I13" i="16"/>
  <c r="I44" i="16"/>
  <c r="J8" i="16"/>
  <c r="AF34" i="1"/>
  <c r="O2" i="6" s="1"/>
  <c r="AF46" i="1"/>
  <c r="AF47" i="1" s="1"/>
  <c r="Y46" i="1"/>
  <c r="Y47" i="1" s="1"/>
  <c r="Y34" i="1"/>
  <c r="H2" i="6" s="1"/>
  <c r="AE46" i="1"/>
  <c r="AE47" i="1" s="1"/>
  <c r="AE34" i="1"/>
  <c r="N2" i="6" s="1"/>
  <c r="AB35" i="1"/>
  <c r="K3" i="6" s="1"/>
  <c r="AB48" i="1"/>
  <c r="AB49" i="1" s="1"/>
  <c r="J25" i="16"/>
  <c r="K25" i="16"/>
  <c r="L25" i="16"/>
  <c r="J9" i="16"/>
  <c r="AG34" i="1"/>
  <c r="P2" i="6" s="1"/>
  <c r="AK34" i="1"/>
  <c r="T2" i="6" s="1"/>
  <c r="AK46" i="1"/>
  <c r="AK47" i="1" s="1"/>
  <c r="I16" i="16"/>
  <c r="K30" i="16"/>
  <c r="I31" i="16"/>
  <c r="AE62" i="1"/>
  <c r="O11" i="8" s="1"/>
  <c r="AK62" i="1"/>
  <c r="U11" i="8" s="1"/>
  <c r="AI62" i="1"/>
  <c r="S11" i="8" s="1"/>
  <c r="AJ62" i="1"/>
  <c r="T11" i="8" s="1"/>
  <c r="Z62" i="1"/>
  <c r="J11" i="8" s="1"/>
  <c r="AA62" i="1"/>
  <c r="K11" i="8" s="1"/>
  <c r="AF62" i="1"/>
  <c r="P11" i="8" s="1"/>
  <c r="AF7" i="1"/>
  <c r="V60" i="1"/>
  <c r="F9" i="8" s="1"/>
  <c r="L43" i="16"/>
  <c r="J34" i="16"/>
  <c r="J30" i="16"/>
  <c r="G3" i="16"/>
  <c r="L11" i="16"/>
  <c r="AD35" i="1"/>
  <c r="M3" i="6" s="1"/>
  <c r="AD48" i="1"/>
  <c r="AD49" i="1" s="1"/>
  <c r="AJ35" i="1"/>
  <c r="S3" i="6" s="1"/>
  <c r="AJ48" i="1"/>
  <c r="AJ49" i="1" s="1"/>
  <c r="AK35" i="1"/>
  <c r="T3" i="6" s="1"/>
  <c r="AK48" i="1"/>
  <c r="AK49" i="1" s="1"/>
  <c r="I33" i="16"/>
  <c r="K8" i="16"/>
  <c r="M8" i="16" s="1"/>
  <c r="L15" i="16"/>
  <c r="Z46" i="1"/>
  <c r="Z47" i="1" s="1"/>
  <c r="Z34" i="1"/>
  <c r="I2" i="6" s="1"/>
  <c r="AH46" i="1"/>
  <c r="AH47" i="1" s="1"/>
  <c r="AH34" i="1"/>
  <c r="Q2" i="6" s="1"/>
  <c r="AG35" i="1"/>
  <c r="P3" i="6" s="1"/>
  <c r="AG48" i="1"/>
  <c r="AG49" i="1" s="1"/>
  <c r="I32" i="16"/>
  <c r="J28" i="16"/>
  <c r="K28" i="16" s="1"/>
  <c r="AD46" i="1"/>
  <c r="AD47" i="1" s="1"/>
  <c r="AD34" i="1"/>
  <c r="M2" i="6" s="1"/>
  <c r="I9" i="16"/>
  <c r="K9" i="16" s="1"/>
  <c r="AC34" i="1"/>
  <c r="L2" i="6" s="1"/>
  <c r="AC46" i="1"/>
  <c r="AC47" i="1" s="1"/>
  <c r="AA34" i="1"/>
  <c r="J2" i="6" s="1"/>
  <c r="AA46" i="1"/>
  <c r="AA47" i="1" s="1"/>
  <c r="I10" i="16"/>
  <c r="H14" i="16"/>
  <c r="AJ46" i="1"/>
  <c r="AJ47" i="1" s="1"/>
  <c r="AJ34" i="1"/>
  <c r="S2" i="6" s="1"/>
  <c r="J26" i="16"/>
  <c r="K26" i="16" s="1"/>
  <c r="L8" i="16"/>
  <c r="X44" i="1"/>
  <c r="X45" i="1" s="1"/>
  <c r="X34" i="1"/>
  <c r="G2" i="6" s="1"/>
  <c r="K29" i="16"/>
  <c r="J29" i="16"/>
  <c r="M11" i="16"/>
  <c r="N11" i="16" s="1"/>
  <c r="AI35" i="1"/>
  <c r="R3" i="6" s="1"/>
  <c r="AI48" i="1"/>
  <c r="AI49" i="1" s="1"/>
  <c r="L7" i="16"/>
  <c r="I27" i="16"/>
  <c r="AE35" i="1"/>
  <c r="N3" i="6" s="1"/>
  <c r="AE48" i="1"/>
  <c r="AE49" i="1" s="1"/>
  <c r="M25" i="16"/>
  <c r="N25" i="16" s="1"/>
  <c r="I28" i="16"/>
  <c r="Y48" i="1"/>
  <c r="Y49" i="1" s="1"/>
  <c r="Y35" i="1"/>
  <c r="H3" i="6" s="1"/>
  <c r="AB34" i="1"/>
  <c r="K2" i="6" s="1"/>
  <c r="AB46" i="1"/>
  <c r="AB47" i="1" s="1"/>
  <c r="H12" i="16"/>
  <c r="AH35" i="1"/>
  <c r="Q3" i="6" s="1"/>
  <c r="AH48" i="1"/>
  <c r="AH49" i="1" s="1"/>
  <c r="H9" i="16"/>
  <c r="AA35" i="1" l="1"/>
  <c r="J3" i="6" s="1"/>
  <c r="AF35" i="1"/>
  <c r="O3" i="6" s="1"/>
  <c r="Z35" i="1"/>
  <c r="I3" i="6" s="1"/>
  <c r="W48" i="1"/>
  <c r="W49" i="1" s="1"/>
  <c r="W35" i="1"/>
  <c r="F3" i="6" s="1"/>
  <c r="C64" i="1"/>
  <c r="I53" i="1"/>
  <c r="I55" i="1" s="1"/>
  <c r="I56" i="1" s="1"/>
  <c r="J53" i="1"/>
  <c r="J55" i="1" s="1"/>
  <c r="J56" i="1" s="1"/>
  <c r="AC35" i="1"/>
  <c r="L3" i="6" s="1"/>
  <c r="U48" i="1"/>
  <c r="U49" i="1" s="1"/>
  <c r="U35" i="1"/>
  <c r="D3" i="6" s="1"/>
  <c r="H53" i="1"/>
  <c r="H55" i="1" s="1"/>
  <c r="H56" i="1" s="1"/>
  <c r="B64" i="1"/>
  <c r="S48" i="1"/>
  <c r="S35" i="1"/>
  <c r="B3" i="6" s="1"/>
  <c r="V48" i="1"/>
  <c r="V49" i="1" s="1"/>
  <c r="V35" i="1"/>
  <c r="E3" i="6" s="1"/>
  <c r="X35" i="1"/>
  <c r="G3" i="6" s="1"/>
  <c r="X48" i="1"/>
  <c r="X49" i="1" s="1"/>
  <c r="L28" i="16"/>
  <c r="L26" i="16"/>
  <c r="M26" i="16" s="1"/>
  <c r="N30" i="16"/>
  <c r="N8" i="16"/>
  <c r="Q8" i="16" s="1"/>
  <c r="O11" i="16"/>
  <c r="Q11" i="16"/>
  <c r="L9" i="16"/>
  <c r="M9" i="16" s="1"/>
  <c r="K34" i="16"/>
  <c r="L30" i="16"/>
  <c r="M30" i="16" s="1"/>
  <c r="J10" i="16"/>
  <c r="M7" i="16"/>
  <c r="L29" i="16"/>
  <c r="J32" i="16"/>
  <c r="J44" i="16"/>
  <c r="K44" i="16" s="1"/>
  <c r="I12" i="16"/>
  <c r="J12" i="16" s="1"/>
  <c r="L12" i="16"/>
  <c r="K12" i="16"/>
  <c r="J33" i="16"/>
  <c r="O30" i="16"/>
  <c r="H3" i="16"/>
  <c r="O8" i="16"/>
  <c r="P8" i="16"/>
  <c r="L34" i="16"/>
  <c r="O7" i="16"/>
  <c r="P7" i="16" s="1"/>
  <c r="N7" i="16"/>
  <c r="J27" i="16"/>
  <c r="AD60" i="1"/>
  <c r="N9" i="8" s="1"/>
  <c r="AA60" i="1"/>
  <c r="K9" i="8" s="1"/>
  <c r="AH60" i="1"/>
  <c r="R9" i="8" s="1"/>
  <c r="AJ60" i="1"/>
  <c r="T9" i="8" s="1"/>
  <c r="AK60" i="1"/>
  <c r="U9" i="8" s="1"/>
  <c r="AF60" i="1"/>
  <c r="P9" i="8" s="1"/>
  <c r="W60" i="1"/>
  <c r="G9" i="8" s="1"/>
  <c r="P11" i="16"/>
  <c r="S11" i="16" s="1"/>
  <c r="C6" i="17" s="1"/>
  <c r="O25" i="16"/>
  <c r="P25" i="16" s="1"/>
  <c r="M34" i="16"/>
  <c r="J13" i="16"/>
  <c r="K13" i="16" s="1"/>
  <c r="J16" i="16"/>
  <c r="K27" i="16"/>
  <c r="N43" i="16"/>
  <c r="O43" i="16" s="1"/>
  <c r="M15" i="16"/>
  <c r="I14" i="16"/>
  <c r="J31" i="16"/>
  <c r="M43" i="16"/>
  <c r="K32" i="16"/>
  <c r="C6" i="7" l="1"/>
  <c r="S49" i="1"/>
  <c r="C7" i="7" s="1"/>
  <c r="O9" i="16"/>
  <c r="P9" i="16" s="1"/>
  <c r="Q9" i="16"/>
  <c r="N9" i="16"/>
  <c r="S9" i="16"/>
  <c r="C4" i="17" s="1"/>
  <c r="Q7" i="16"/>
  <c r="S7" i="16"/>
  <c r="C2" i="17" s="1"/>
  <c r="Q25" i="16"/>
  <c r="S25" i="16"/>
  <c r="C2" i="18" s="1"/>
  <c r="R25" i="16"/>
  <c r="B2" i="18" s="1"/>
  <c r="L32" i="16"/>
  <c r="M32" i="16" s="1"/>
  <c r="N34" i="16"/>
  <c r="O26" i="16"/>
  <c r="K31" i="16"/>
  <c r="N15" i="16"/>
  <c r="O15" i="16" s="1"/>
  <c r="P15" i="16" s="1"/>
  <c r="K33" i="16"/>
  <c r="O34" i="16"/>
  <c r="M28" i="16"/>
  <c r="J14" i="16"/>
  <c r="L13" i="16"/>
  <c r="M13" i="16"/>
  <c r="N13" i="16" s="1"/>
  <c r="O13" i="16" s="1"/>
  <c r="K10" i="16"/>
  <c r="L27" i="16"/>
  <c r="M16" i="16"/>
  <c r="K16" i="16"/>
  <c r="L16" i="16"/>
  <c r="N16" i="16" s="1"/>
  <c r="M44" i="16"/>
  <c r="N44" i="16" s="1"/>
  <c r="P34" i="16"/>
  <c r="S34" i="16" s="1"/>
  <c r="C11" i="18" s="1"/>
  <c r="M12" i="16"/>
  <c r="L44" i="16"/>
  <c r="S8" i="16"/>
  <c r="C3" i="17" s="1"/>
  <c r="P43" i="16"/>
  <c r="Q43" i="16" s="1"/>
  <c r="I3" i="16"/>
  <c r="N12" i="16"/>
  <c r="P30" i="16"/>
  <c r="Q30" i="16" s="1"/>
  <c r="M29" i="16"/>
  <c r="N26" i="16"/>
  <c r="S15" i="16" l="1"/>
  <c r="C10" i="17" s="1"/>
  <c r="Q15" i="16"/>
  <c r="P13" i="16"/>
  <c r="S30" i="16"/>
  <c r="C7" i="18" s="1"/>
  <c r="K14" i="16"/>
  <c r="J3" i="16"/>
  <c r="L33" i="16"/>
  <c r="L10" i="16"/>
  <c r="R34" i="16"/>
  <c r="B11" i="18" s="1"/>
  <c r="N29" i="16"/>
  <c r="O29" i="16" s="1"/>
  <c r="P29" i="16" s="1"/>
  <c r="Q34" i="16"/>
  <c r="O44" i="16"/>
  <c r="P44" i="16" s="1"/>
  <c r="M27" i="16"/>
  <c r="P26" i="16"/>
  <c r="Q26" i="16" s="1"/>
  <c r="R43" i="16"/>
  <c r="N28" i="16"/>
  <c r="O28" i="16" s="1"/>
  <c r="P28" i="16" s="1"/>
  <c r="S28" i="16" s="1"/>
  <c r="C5" i="18" s="1"/>
  <c r="O16" i="16"/>
  <c r="P16" i="16" s="1"/>
  <c r="L14" i="16"/>
  <c r="M14" i="16" s="1"/>
  <c r="N14" i="16" s="1"/>
  <c r="O14" i="16" s="1"/>
  <c r="P14" i="16" s="1"/>
  <c r="Q14" i="16" s="1"/>
  <c r="N27" i="16"/>
  <c r="O27" i="16" s="1"/>
  <c r="L31" i="16"/>
  <c r="S43" i="16"/>
  <c r="R30" i="16"/>
  <c r="B7" i="18" s="1"/>
  <c r="O12" i="16"/>
  <c r="N32" i="16"/>
  <c r="O32" i="16"/>
  <c r="P32" i="16" s="1"/>
  <c r="S29" i="16" l="1"/>
  <c r="C6" i="18" s="1"/>
  <c r="R29" i="16"/>
  <c r="B6" i="18" s="1"/>
  <c r="Q29" i="16"/>
  <c r="S32" i="16"/>
  <c r="C9" i="18" s="1"/>
  <c r="Q32" i="16"/>
  <c r="R32" i="16"/>
  <c r="B9" i="18" s="1"/>
  <c r="K3" i="16"/>
  <c r="R28" i="16"/>
  <c r="B5" i="18" s="1"/>
  <c r="P27" i="16"/>
  <c r="R44" i="16"/>
  <c r="S44" i="16"/>
  <c r="Q44" i="16"/>
  <c r="Q28" i="16"/>
  <c r="M33" i="16"/>
  <c r="S14" i="16"/>
  <c r="C9" i="17" s="1"/>
  <c r="S26" i="16"/>
  <c r="C3" i="18" s="1"/>
  <c r="R26" i="16"/>
  <c r="B3" i="18" s="1"/>
  <c r="M31" i="16"/>
  <c r="N31" i="16" s="1"/>
  <c r="O31" i="16" s="1"/>
  <c r="P31" i="16" s="1"/>
  <c r="P12" i="16"/>
  <c r="Q12" i="16" s="1"/>
  <c r="S13" i="16"/>
  <c r="C8" i="17" s="1"/>
  <c r="Q13" i="16"/>
  <c r="Q16" i="16"/>
  <c r="S16" i="16"/>
  <c r="C11" i="17" s="1"/>
  <c r="M10" i="16"/>
  <c r="N10" i="16" s="1"/>
  <c r="O10" i="16" s="1"/>
  <c r="P10" i="16" s="1"/>
  <c r="Q10" i="16" s="1"/>
  <c r="S31" i="16" l="1"/>
  <c r="C8" i="18" s="1"/>
  <c r="Q31" i="16"/>
  <c r="R31" i="16"/>
  <c r="B8" i="18" s="1"/>
  <c r="S10" i="16"/>
  <c r="C5" i="17" s="1"/>
  <c r="R7" i="16"/>
  <c r="B2" i="17" s="1"/>
  <c r="L3" i="16"/>
  <c r="M3" i="16" s="1"/>
  <c r="N3" i="16" s="1"/>
  <c r="O3" i="16" s="1"/>
  <c r="P3" i="16" s="1"/>
  <c r="R11" i="16" s="1"/>
  <c r="B6" i="17" s="1"/>
  <c r="R13" i="16"/>
  <c r="B8" i="17" s="1"/>
  <c r="S27" i="16"/>
  <c r="C4" i="18" s="1"/>
  <c r="R27" i="16"/>
  <c r="B4" i="18" s="1"/>
  <c r="Q27" i="16"/>
  <c r="N33" i="16"/>
  <c r="O33" i="16" s="1"/>
  <c r="S12" i="16"/>
  <c r="C7" i="17" s="1"/>
  <c r="P33" i="16" l="1"/>
  <c r="R14" i="16"/>
  <c r="B9" i="17" s="1"/>
  <c r="R10" i="16"/>
  <c r="B5" i="17" s="1"/>
  <c r="R15" i="16"/>
  <c r="B10" i="17" s="1"/>
  <c r="R16" i="16"/>
  <c r="B11" i="17" s="1"/>
  <c r="R12" i="16"/>
  <c r="B7" i="17" s="1"/>
  <c r="R9" i="16"/>
  <c r="B4" i="17" s="1"/>
  <c r="R8" i="16"/>
  <c r="B3" i="17" s="1"/>
  <c r="Q33" i="16" l="1"/>
  <c r="R33" i="16"/>
  <c r="B10" i="18" s="1"/>
  <c r="S33" i="16"/>
  <c r="C10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Ranjit</author>
    <author>Ranjit Deshmukh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  <comment ref="O8" authorId="1" shapeId="0" xr:uid="{00000000-0006-0000-0000-000003000000}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I could change this to coallc. Didn't need to run this separately as net load is the same as coallc.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Ranjit Deshmukh</author>
    <author>Ranjit</author>
  </authors>
  <commentList>
    <comment ref="AC5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>Ranjit: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http://cornerstonemag.net/coal-based-electricity-generation-in-india/
</t>
        </r>
      </text>
    </comment>
    <comment ref="A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Ranjit: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http://cornerstonemag.net/coal-based-electricity-generation-in-india/
</t>
        </r>
      </text>
    </comment>
    <comment ref="B1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B37" authorId="1" shapeId="0" xr:uid="{00000000-0006-0000-0200-000007000000}">
      <text>
        <r>
          <rPr>
            <b/>
            <sz val="9"/>
            <color rgb="FF000000"/>
            <rFont val="Tahoma"/>
            <family val="2"/>
          </rPr>
          <t>Ranjit: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Key difference between CT vs CCGT/coal is that it can start stop during the day.</t>
        </r>
      </text>
    </comment>
    <comment ref="D37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Ranjit: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India's regulation. B&amp;V 's was 40%.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Ranjit Deshmukh</author>
  </authors>
  <commentList>
    <comment ref="C7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 and 12 GW by 2017</t>
        </r>
      </text>
    </comment>
    <comment ref="D7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
</t>
        </r>
      </text>
    </comment>
    <comment ref="C25" authorId="0" shapeId="0" xr:uid="{00000000-0006-0000-0600-000003000000}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C43" authorId="0" shapeId="0" xr:uid="{00000000-0006-0000-0600-000004000000}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Ranjit</author>
  </authors>
  <commentList>
    <comment ref="B2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<sst xmlns="http://schemas.openxmlformats.org/spreadsheetml/2006/main" count="1246" uniqueCount="536">
  <si>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</si>
  <si>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</si>
  <si>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</si>
  <si>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</si>
  <si>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</si>
  <si>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</si>
  <si>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</si>
  <si>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</si>
  <si>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</si>
  <si>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</si>
  <si>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</si>
  <si>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</si>
  <si>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</si>
  <si>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</si>
  <si>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</si>
  <si>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</si>
  <si>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</si>
  <si>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</si>
  <si>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</si>
  <si>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</si>
  <si>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</si>
  <si>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</si>
  <si>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</si>
  <si>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</si>
  <si>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</si>
  <si>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</si>
  <si>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</si>
  <si>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</si>
  <si>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</si>
  <si>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</si>
  <si>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</si>
  <si>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</si>
  <si>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</si>
  <si>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</si>
  <si>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</si>
  <si>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</si>
  <si>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</si>
  <si>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</si>
  <si>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</si>
  <si>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</si>
  <si>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</si>
  <si>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</si>
  <si>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</si>
  <si>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</si>
  <si>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</si>
  <si>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</si>
  <si>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</si>
  <si>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</si>
  <si>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</si>
  <si>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</si>
  <si>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</si>
  <si>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</si>
  <si>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</si>
  <si>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</si>
  <si>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</si>
  <si>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</si>
  <si>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</si>
  <si>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</si>
  <si>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</si>
  <si>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</si>
  <si>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</si>
  <si>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</si>
  <si>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</si>
  <si>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</si>
  <si>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</si>
  <si>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</si>
  <si>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</si>
  <si>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</si>
  <si>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</si>
  <si>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</si>
  <si>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</si>
  <si>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</si>
  <si>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</si>
  <si>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</si>
  <si>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</si>
  <si>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</si>
  <si>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</si>
  <si>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</si>
  <si>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</si>
  <si>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</si>
  <si>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</si>
  <si>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</si>
  <si>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</si>
  <si>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</si>
  <si>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</si>
  <si>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</si>
  <si>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</si>
  <si>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</si>
  <si>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</si>
  <si>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</si>
  <si>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</si>
  <si>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</si>
  <si>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</si>
  <si>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</si>
  <si>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</si>
  <si>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</si>
  <si>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</si>
  <si>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</si>
  <si>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</si>
  <si>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</si>
  <si>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</si>
  <si>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</si>
  <si>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</si>
  <si>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</si>
  <si>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</si>
  <si>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</si>
  <si>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</si>
  <si>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</si>
  <si>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</si>
  <si>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</si>
  <si>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</si>
  <si>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</si>
  <si>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</si>
  <si>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</si>
  <si>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</si>
  <si>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</si>
  <si>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</si>
  <si>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</si>
  <si>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</si>
  <si>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</si>
  <si>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</si>
  <si>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</si>
  <si>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</si>
  <si>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</si>
  <si>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</si>
  <si>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</si>
  <si>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</si>
  <si>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</si>
  <si>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</si>
  <si>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</si>
  <si>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</si>
  <si>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</si>
  <si>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</si>
  <si>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</si>
  <si>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</si>
  <si>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</si>
  <si>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</si>
  <si>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</si>
  <si>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</si>
  <si>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</si>
  <si>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</si>
  <si>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</si>
  <si>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</si>
  <si>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</si>
  <si>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</si>
  <si>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</si>
  <si>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</si>
  <si>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</si>
  <si>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</si>
  <si>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</si>
  <si>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</si>
  <si>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</si>
  <si>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</si>
  <si>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</si>
  <si>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</si>
  <si>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</si>
  <si>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</si>
  <si>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</si>
  <si>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</si>
  <si>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</si>
  <si>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</si>
  <si>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</si>
  <si>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</si>
  <si>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</si>
  <si>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</si>
  <si>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</si>
  <si>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</si>
  <si>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</si>
  <si>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</si>
  <si>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</si>
  <si>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</si>
  <si>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</si>
  <si>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</si>
  <si>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</si>
  <si>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</si>
  <si>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</si>
  <si>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</si>
  <si>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</si>
  <si>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</si>
  <si>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</si>
  <si>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</si>
  <si>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</si>
  <si>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</si>
  <si>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</si>
  <si>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</si>
  <si>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</si>
  <si>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</si>
  <si>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</si>
  <si>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</si>
  <si>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</si>
  <si>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</si>
  <si>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</si>
  <si>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</si>
  <si>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</si>
  <si>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</si>
  <si>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</si>
  <si>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</si>
  <si>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</si>
  <si>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</si>
  <si>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</si>
  <si>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</si>
  <si>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</si>
  <si>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</si>
  <si>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</si>
  <si>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</si>
  <si>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</si>
  <si>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</si>
  <si>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</si>
  <si>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</si>
  <si>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</si>
  <si>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</si>
  <si>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</si>
  <si>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</si>
  <si>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</si>
  <si>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</si>
  <si>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</si>
  <si>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</si>
  <si>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</si>
  <si>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</si>
  <si>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</si>
  <si>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</si>
  <si>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</si>
  <si>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</si>
  <si>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</si>
  <si>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</si>
  <si>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</si>
  <si>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</si>
  <si>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</si>
  <si>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</si>
  <si>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</si>
  <si>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</si>
  <si>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</si>
  <si>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</si>
  <si>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</si>
  <si>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</si>
  <si>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</si>
  <si>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</si>
  <si>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</si>
  <si>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</si>
  <si>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</si>
  <si>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</si>
  <si>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</si>
  <si>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</si>
  <si>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</si>
  <si>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</si>
  <si>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</si>
  <si>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</si>
  <si>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</si>
  <si>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</si>
  <si>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</si>
  <si>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</si>
  <si>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</si>
  <si>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</si>
  <si>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</si>
  <si>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</si>
  <si>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</si>
  <si>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</si>
  <si>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</si>
  <si>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</si>
  <si>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</si>
  <si>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</si>
  <si>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</si>
  <si>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</si>
  <si>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</si>
  <si>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</si>
  <si>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</si>
  <si>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</si>
  <si>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</si>
  <si>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</si>
  <si>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</si>
  <si>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</si>
  <si>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</si>
  <si>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</si>
  <si>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</si>
  <si>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</si>
  <si>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</si>
  <si>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</si>
  <si>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</si>
  <si>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</si>
  <si>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</si>
  <si>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</si>
  <si>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</si>
  <si>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</si>
  <si>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</si>
  <si>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</si>
  <si>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</si>
  <si>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</si>
  <si>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</si>
  <si>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</si>
  <si>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</si>
  <si>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</si>
  <si>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</si>
  <si>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</si>
  <si>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</si>
  <si>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</si>
  <si>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</si>
  <si>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</si>
  <si>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</si>
  <si>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</si>
  <si>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</si>
  <si>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</si>
  <si>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</si>
  <si>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</si>
  <si>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</si>
  <si>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</si>
  <si>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</si>
  <si>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</si>
  <si>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</si>
  <si>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</si>
  <si>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</si>
  <si>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</si>
  <si>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</si>
  <si>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</si>
  <si>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</si>
  <si>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</si>
  <si>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</si>
  <si>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</si>
  <si>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</si>
  <si>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</si>
  <si>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</si>
  <si>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</si>
  <si>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</si>
  <si>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</si>
  <si>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</si>
  <si>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</si>
  <si>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</si>
  <si>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</si>
  <si>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</si>
  <si>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</si>
  <si>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</si>
  <si>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</si>
  <si>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</si>
  <si>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</si>
  <si>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</si>
  <si>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</si>
  <si>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</si>
  <si>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</si>
  <si>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</si>
  <si>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</si>
  <si>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</si>
  <si>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</si>
  <si>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</si>
  <si>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</si>
  <si>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</si>
  <si>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</si>
  <si>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</si>
  <si>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</si>
  <si>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</si>
  <si>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</si>
  <si>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</si>
  <si>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</si>
  <si>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</si>
  <si>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</si>
  <si>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</si>
  <si>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</si>
  <si>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</si>
  <si>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</si>
  <si>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</si>
  <si>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</si>
  <si>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</si>
  <si>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</si>
  <si>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</si>
  <si>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</si>
  <si>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</si>
  <si>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</si>
  <si>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</si>
  <si>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</si>
  <si>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</si>
  <si>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</si>
  <si>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</si>
  <si>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</si>
  <si>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</si>
  <si>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</si>
  <si>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</si>
  <si>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</si>
  <si>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</si>
  <si>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</si>
  <si>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</si>
  <si>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</si>
  <si>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</si>
  <si>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</si>
  <si>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</si>
  <si>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</si>
  <si>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</si>
  <si>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</si>
  <si>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</si>
  <si>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</si>
  <si>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</si>
  <si>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</si>
  <si>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</si>
  <si>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</si>
  <si>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</si>
  <si>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</si>
  <si>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</si>
  <si>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</si>
  <si>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</si>
  <si>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</si>
  <si>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</si>
  <si>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</si>
  <si>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</si>
  <si>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</si>
  <si>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</si>
  <si>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</si>
  <si>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</si>
  <si>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</si>
  <si>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</si>
  <si>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</si>
  <si>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</si>
  <si>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</si>
  <si>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</si>
  <si>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</si>
  <si>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</si>
  <si>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</si>
  <si>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</si>
  <si>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</si>
  <si>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</si>
  <si>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</si>
  <si>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</si>
  <si>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</si>
  <si>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</si>
  <si>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</si>
  <si>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</si>
  <si>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</si>
  <si>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</si>
  <si>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</si>
  <si>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</si>
  <si>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</si>
  <si>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</si>
  <si>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</si>
  <si>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</si>
  <si>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</si>
  <si>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</si>
  <si>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</si>
  <si>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</si>
  <si>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</si>
  <si>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</si>
  <si>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</si>
  <si>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</si>
  <si>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</si>
  <si>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</si>
  <si>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</si>
  <si>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</si>
  <si>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</si>
  <si>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</si>
  <si>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</si>
  <si>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</si>
  <si>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</si>
  <si>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</si>
  <si>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</si>
  <si>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</si>
  <si>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</si>
  <si>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</si>
  <si>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</si>
  <si>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</si>
  <si>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</si>
  <si>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</si>
  <si>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</si>
  <si>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</si>
  <si>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</si>
  <si>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</si>
  <si>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</si>
  <si>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</si>
  <si>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</si>
  <si>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</si>
  <si>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</si>
  <si>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</si>
  <si>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</si>
  <si>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</si>
  <si>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</si>
  <si>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</si>
  <si>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</si>
  <si>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</si>
  <si>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</si>
  <si>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</si>
  <si>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</si>
  <si>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</si>
  <si>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</si>
  <si>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</si>
  <si>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</si>
  <si>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</si>
  <si>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</si>
  <si>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</si>
  <si>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</si>
  <si>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</si>
  <si>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</si>
  <si>
    <t>battery60_coalHC</t>
  </si>
  <si>
    <t>Solar</t>
  </si>
  <si>
    <t>Capacity_target_2030_solar</t>
  </si>
  <si>
    <t>Annual_Growth_Rate_solar</t>
  </si>
  <si>
    <t>Total_capacity_solar</t>
  </si>
  <si>
    <t>Capacity_target_2030_wind</t>
  </si>
  <si>
    <t>Annual_Growth_Rate_wind</t>
  </si>
  <si>
    <t>Total_capacity_wind</t>
  </si>
  <si>
    <t>capacity_solarPV_GW</t>
  </si>
  <si>
    <t>capacity_wind_GW</t>
  </si>
  <si>
    <t>Wind_old</t>
  </si>
  <si>
    <t>Solar PV_old</t>
  </si>
  <si>
    <t>obsolete 4/21/2019. Use same costs as RE paper</t>
  </si>
  <si>
    <t>coal_55mingen_wind30LC</t>
  </si>
  <si>
    <t>coal_55mingen_solar30LC</t>
  </si>
  <si>
    <t>coal_55mingen_wind30LC_solar30LC</t>
  </si>
  <si>
    <t>battery60B50LC_wind30LC</t>
  </si>
  <si>
    <t>battery60B50LC_solar30LC</t>
  </si>
  <si>
    <t>battery60B50LC_wind30LC_solar30LC</t>
  </si>
  <si>
    <t>battery60B50LC_wind30LC_coalHC</t>
  </si>
  <si>
    <t>battery60B50LC_solar30LC_coalHC</t>
  </si>
  <si>
    <t>battery60B50LC_wind30LC_solar30LC_coalHC</t>
  </si>
  <si>
    <t>Battery 4h</t>
  </si>
  <si>
    <t>Annual_Growth_Rate_battery</t>
  </si>
  <si>
    <t>Capacity_target_2030_battery</t>
  </si>
  <si>
    <t>Total_capacity_battery</t>
  </si>
  <si>
    <t>NREL ATB 2019</t>
  </si>
  <si>
    <t>coal_55mingen_battery60_wind30LC_solar30LC_coalHC</t>
  </si>
  <si>
    <t>coal_55mingen_battery60_wind30LC_solar30LC</t>
  </si>
  <si>
    <t>coal_55mingen_battery60</t>
  </si>
  <si>
    <t>coal_55mingen_battery60_coalHC</t>
  </si>
  <si>
    <t>coal_55mingen_battery60B50LC_wind30LC_solar30LC</t>
  </si>
  <si>
    <t>coal_55mingen_battery60B50LC_wind30LC_solar30LC_coalHC</t>
  </si>
  <si>
    <t>coal_55mingen_battery60B50LC</t>
  </si>
  <si>
    <t>coal_55mingen_battery60B50LC_solar30LC</t>
  </si>
  <si>
    <t>mod_low15pc_energyOnly</t>
  </si>
  <si>
    <t>load_mod_low15_energyOnly</t>
  </si>
  <si>
    <t>nuclear17</t>
  </si>
  <si>
    <t>GW. 6860 is base. 16880 MW is India plan</t>
  </si>
  <si>
    <t>nuclear_cap</t>
  </si>
  <si>
    <t>nuclear_cap_suffix</t>
  </si>
  <si>
    <t>hydro_high_cea</t>
  </si>
  <si>
    <t>cea</t>
  </si>
  <si>
    <t>hydro_high_cea_nuclear17</t>
  </si>
  <si>
    <t>CERC 2014 "Recommendations on Operation Norms for Thermal Power Stations Tariff Period 2014-19" for 500 MW + units</t>
  </si>
  <si>
    <t>NEP 2016; page 138</t>
  </si>
  <si>
    <t>NG heat rate - coal 500 MW (kcal/kWh)</t>
  </si>
  <si>
    <t>NG heat rate - coal supercritical (kcal/kWh)</t>
  </si>
  <si>
    <t>EIA; https://www.eia.gov/tools/faqs/faq.php?id=73&amp;t=11</t>
  </si>
  <si>
    <t>high cost coal</t>
  </si>
  <si>
    <t>Emissions CO2 (kg/MJ)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</si>
</sst>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10" fontId="0" fillId="0" borderId="0" xfId="0" applyNumberFormat="1"/>
    <xf numFmtId="164" fontId="5" fillId="0" borderId="0" xfId="0" applyNumberFormat="1" applyFont="1" applyFill="1" applyBorder="1" applyAlignment="1">
      <alignment horizontal="right"/>
    </xf>
    <xf numFmtId="10" fontId="4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4" fillId="0" borderId="0" xfId="0" applyNumberFormat="1" applyFont="1"/>
    <xf numFmtId="1" fontId="0" fillId="0" borderId="0" xfId="0" applyNumberFormat="1" applyFont="1"/>
    <xf numFmtId="168" fontId="5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  <xf numFmtId="0" fontId="2" fillId="0" borderId="0" xfId="49"/>
    <xf numFmtId="9" fontId="2" fillId="0" borderId="0" xfId="49" applyNumberFormat="1"/>
    <xf numFmtId="1" fontId="2" fillId="0" borderId="0" xfId="49" applyNumberFormat="1"/>
    <xf numFmtId="9" fontId="0" fillId="0" borderId="0" xfId="50" applyNumberFormat="1" applyFont="1"/>
    <xf numFmtId="0" fontId="1" fillId="0" borderId="0" xfId="49" applyFont="1"/>
  </cellXfs>
  <cellStyles count="5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Normal" xfId="0" builtinId="0"/>
    <cellStyle name="Normal 2" xfId="49" xr:uid="{00000000-0005-0000-0000-000034000000}"/>
    <cellStyle name="Percent" xfId="1" builtinId="5"/>
    <cellStyle name="Percent 2" xfId="50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workbookViewId="0">
      <pane xSplit="1" ySplit="8" topLeftCell="D9" activePane="bottomRight" state="frozen"/>
      <selection pane="topRight" activeCell="B1" sqref="B1"/>
      <selection pane="bottomLeft" activeCell="A8" sqref="A8"/>
      <selection pane="bottomRight" activeCell="K19" sqref="K19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9" width="14.33203125" bestFit="1" customWidth="1"/>
    <col min="10" max="10" width="13.1640625" bestFit="1" customWidth="1"/>
    <col min="11" max="11" width="25" bestFit="1" customWidth="1"/>
    <col min="12" max="14" width="13.1640625" bestFit="1" customWidth="1"/>
    <col min="15" max="15" width="25" bestFit="1" customWidth="1"/>
    <col min="16" max="19" width="13.1640625" bestFit="1" customWidth="1"/>
    <col min="20" max="21" width="12.83203125" bestFit="1" customWidth="1"/>
    <col min="22" max="22" width="19" bestFit="1" customWidth="1"/>
    <col min="23" max="23" width="13.5" bestFit="1" customWidth="1"/>
    <col min="24" max="24" width="11.6640625" bestFit="1" customWidth="1"/>
    <col min="25" max="25" width="13.1640625" bestFit="1" customWidth="1"/>
    <col min="26" max="26" width="18.83203125" bestFit="1" customWidth="1"/>
    <col min="27" max="29" width="16.33203125" bestFit="1" customWidth="1"/>
    <col min="30" max="31" width="14.6640625" bestFit="1" customWidth="1"/>
    <col min="32" max="33" width="19.33203125" bestFit="1" customWidth="1"/>
    <col min="34" max="34" width="25.6640625" bestFit="1" customWidth="1"/>
    <col min="35" max="37" width="25" bestFit="1" customWidth="1"/>
    <col min="38" max="38" width="35.33203125" bestFit="1" customWidth="1"/>
    <col min="39" max="39" width="22.5" bestFit="1" customWidth="1"/>
    <col min="40" max="41" width="20.6640625" bestFit="1" customWidth="1"/>
    <col min="42" max="43" width="28.83203125" bestFit="1" customWidth="1"/>
    <col min="44" max="44" width="41.6640625" bestFit="1" customWidth="1"/>
    <col min="45" max="45" width="37" bestFit="1" customWidth="1"/>
    <col min="46" max="47" width="41.6640625" bestFit="1" customWidth="1"/>
    <col min="48" max="50" width="28.83203125" bestFit="1" customWidth="1"/>
    <col min="51" max="52" width="27.83203125" bestFit="1" customWidth="1"/>
    <col min="53" max="54" width="34.5" bestFit="1" customWidth="1"/>
  </cols>
  <sheetData>
    <row r="1" spans="1:54" x14ac:dyDescent="0.2">
      <c r="A1" t="s">
        <v>222</v>
      </c>
      <c r="B1" t="s">
        <v>223</v>
      </c>
      <c r="C1" t="s">
        <v>217</v>
      </c>
      <c r="D1" t="s">
        <v>224</v>
      </c>
      <c r="E1" t="s">
        <v>406</v>
      </c>
      <c r="F1" t="s">
        <v>467</v>
      </c>
      <c r="G1" t="s">
        <v>225</v>
      </c>
      <c r="H1" t="s">
        <v>226</v>
      </c>
      <c r="I1" t="s">
        <v>526</v>
      </c>
      <c r="J1" t="s">
        <v>522</v>
      </c>
      <c r="K1" t="s">
        <v>528</v>
      </c>
      <c r="L1" t="s">
        <v>228</v>
      </c>
      <c r="M1" t="s">
        <v>229</v>
      </c>
      <c r="N1" t="s">
        <v>474</v>
      </c>
      <c r="O1" t="s">
        <v>485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408</v>
      </c>
      <c r="AA1" t="s">
        <v>413</v>
      </c>
      <c r="AB1" t="s">
        <v>414</v>
      </c>
      <c r="AC1" t="s">
        <v>415</v>
      </c>
      <c r="AD1" t="s">
        <v>416</v>
      </c>
      <c r="AE1" t="s">
        <v>475</v>
      </c>
      <c r="AF1" t="s">
        <v>501</v>
      </c>
      <c r="AG1" t="s">
        <v>502</v>
      </c>
      <c r="AH1" t="s">
        <v>503</v>
      </c>
      <c r="AI1" t="s">
        <v>484</v>
      </c>
      <c r="AJ1" t="s">
        <v>504</v>
      </c>
      <c r="AK1" t="s">
        <v>505</v>
      </c>
      <c r="AL1" t="s">
        <v>506</v>
      </c>
      <c r="AM1" t="s">
        <v>432</v>
      </c>
      <c r="AN1" t="s">
        <v>498</v>
      </c>
      <c r="AO1" t="s">
        <v>499</v>
      </c>
      <c r="AP1" t="s">
        <v>500</v>
      </c>
      <c r="AQ1" t="s">
        <v>514</v>
      </c>
      <c r="AR1" t="s">
        <v>518</v>
      </c>
      <c r="AS1" t="s">
        <v>513</v>
      </c>
      <c r="AT1" t="s">
        <v>516</v>
      </c>
      <c r="AU1" t="s">
        <v>519</v>
      </c>
      <c r="AV1" t="s">
        <v>515</v>
      </c>
      <c r="AW1" t="s">
        <v>512</v>
      </c>
      <c r="AX1" t="s">
        <v>517</v>
      </c>
      <c r="AY1" t="s">
        <v>458</v>
      </c>
      <c r="AZ1" t="s">
        <v>460</v>
      </c>
      <c r="BA1" t="s">
        <v>461</v>
      </c>
      <c r="BB1" t="s">
        <v>521</v>
      </c>
    </row>
    <row r="2" spans="1:54" x14ac:dyDescent="0.2">
      <c r="A2" s="21" t="s">
        <v>240</v>
      </c>
      <c r="B2" s="21" t="s">
        <v>241</v>
      </c>
      <c r="C2" s="21" t="str">
        <f>C3</f>
        <v>ClcC70m</v>
      </c>
      <c r="D2" s="21" t="str">
        <f>D3</f>
        <v>ChcC70m</v>
      </c>
      <c r="E2" s="21" t="str">
        <f t="shared" ref="E2:AX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ClcC70mHcea</v>
      </c>
      <c r="J2" s="21" t="str">
        <f t="shared" si="0"/>
        <v>ClcC70mN17</v>
      </c>
      <c r="K2" s="21" t="str">
        <f t="shared" si="0"/>
        <v>ClcC70mHceaN17</v>
      </c>
      <c r="L2" s="21" t="str">
        <f t="shared" si="0"/>
        <v>ClcC70mB15</v>
      </c>
      <c r="M2" s="21" t="str">
        <f t="shared" si="0"/>
        <v>ClcC70mB30</v>
      </c>
      <c r="N2" s="21" t="str">
        <f t="shared" si="0"/>
        <v>ClcC70mB60</v>
      </c>
      <c r="O2" s="21" t="str">
        <f t="shared" si="0"/>
        <v>ChcC70mB60</v>
      </c>
      <c r="P2" s="21" t="str">
        <f t="shared" si="0"/>
        <v>ClcC70mW10lc</v>
      </c>
      <c r="Q2" s="21" t="str">
        <f t="shared" si="0"/>
        <v>ClcC70mW20lc</v>
      </c>
      <c r="R2" s="21" t="str">
        <f t="shared" si="0"/>
        <v>ClcC70mW30lc</v>
      </c>
      <c r="S2" s="21" t="str">
        <f t="shared" si="0"/>
        <v>ClcC70mS10lc</v>
      </c>
      <c r="T2" s="21" t="str">
        <f t="shared" si="0"/>
        <v>ClcC70mS20lc</v>
      </c>
      <c r="U2" s="21" t="str">
        <f t="shared" si="0"/>
        <v>ClcC70mS30lc</v>
      </c>
      <c r="V2" s="21" t="str">
        <f t="shared" si="0"/>
        <v>ClcC70mW30lcS30lc</v>
      </c>
      <c r="W2" s="21" t="str">
        <f t="shared" si="0"/>
        <v>ClcC70mW120</v>
      </c>
      <c r="X2" s="21" t="str">
        <f t="shared" si="0"/>
        <v>ClcC70mS1A</v>
      </c>
      <c r="Y2" s="21" t="str">
        <f t="shared" si="0"/>
        <v>ClcC70mS90d</v>
      </c>
      <c r="Z2" s="21" t="str">
        <f t="shared" si="0"/>
        <v>ClcC70mW120S1A</v>
      </c>
      <c r="AA2" s="21" t="str">
        <f t="shared" si="0"/>
        <v>ClcC70mB15B25lc</v>
      </c>
      <c r="AB2" s="21" t="str">
        <f t="shared" si="0"/>
        <v>ClcC70mB15B50lc</v>
      </c>
      <c r="AC2" s="21" t="str">
        <f t="shared" si="0"/>
        <v>ClcC70mB30B25lc</v>
      </c>
      <c r="AD2" s="21" t="str">
        <f t="shared" si="0"/>
        <v>ClcC70mB30B50lc</v>
      </c>
      <c r="AE2" s="21" t="str">
        <f t="shared" si="0"/>
        <v>ClcC70mB60B50lc</v>
      </c>
      <c r="AF2" s="21" t="str">
        <f t="shared" si="0"/>
        <v>ClcC70mB60B50lcW30lc</v>
      </c>
      <c r="AG2" s="21" t="str">
        <f t="shared" si="0"/>
        <v>ClcC70mB60B50lcS30lc</v>
      </c>
      <c r="AH2" s="21" t="str">
        <f t="shared" si="0"/>
        <v>ClcC70mB60B50lcW30lcS30lc</v>
      </c>
      <c r="AI2" s="21" t="str">
        <f t="shared" si="0"/>
        <v>ChcC70mB60B50lc</v>
      </c>
      <c r="AJ2" s="21" t="str">
        <f t="shared" si="0"/>
        <v>ChcC70mB60B50lcW30lc</v>
      </c>
      <c r="AK2" s="21" t="str">
        <f t="shared" si="0"/>
        <v>ChcC70mB60B50lcS30lc</v>
      </c>
      <c r="AL2" s="21" t="str">
        <f t="shared" si="0"/>
        <v>ChcC70mB60B50lcW30lcS30lc</v>
      </c>
      <c r="AM2" s="21" t="str">
        <f t="shared" si="0"/>
        <v>ChcC70mW30lcS30lc</v>
      </c>
      <c r="AN2" s="21" t="str">
        <f t="shared" si="0"/>
        <v>ClcC55mW30lc</v>
      </c>
      <c r="AO2" s="21" t="str">
        <f t="shared" si="0"/>
        <v>ClcC55mS30lc</v>
      </c>
      <c r="AP2" s="21" t="str">
        <f t="shared" si="0"/>
        <v>ClcC55mW30lcS30lc</v>
      </c>
      <c r="AQ2" s="21" t="str">
        <f t="shared" si="0"/>
        <v>ClcC55mB60</v>
      </c>
      <c r="AR2" s="21" t="str">
        <f t="shared" si="0"/>
        <v>ClcC55mB60B50lc</v>
      </c>
      <c r="AS2" s="21" t="str">
        <f t="shared" si="0"/>
        <v>ClcC55mB60W30lcS30lc</v>
      </c>
      <c r="AT2" s="21" t="str">
        <f t="shared" si="0"/>
        <v>ClcC55mB60B50lcW30lcS30lc</v>
      </c>
      <c r="AU2" s="21" t="str">
        <f t="shared" si="0"/>
        <v>ClcC55mB60B50lcS30lc</v>
      </c>
      <c r="AV2" s="21" t="str">
        <f t="shared" si="0"/>
        <v>ChcC55mB60</v>
      </c>
      <c r="AW2" s="21" t="str">
        <f t="shared" si="0"/>
        <v>ChcC55mB60W30lcS30lc</v>
      </c>
      <c r="AX2" s="21" t="str">
        <f t="shared" si="0"/>
        <v>ChcC55mB60B50lcW30lcS30lc</v>
      </c>
      <c r="AY2" s="21" t="str">
        <f>AY3</f>
        <v>ClcC70mLmod_D0_M0_energyOnly</v>
      </c>
      <c r="AZ2" s="21" t="str">
        <f>AZ3</f>
        <v>ClcC70mLmod_D50_M0_energyOnly</v>
      </c>
      <c r="BA2" s="21" t="str">
        <f>BA3</f>
        <v>ClcC70mLmod_D25_M25_energyOnly</v>
      </c>
      <c r="BB2" s="21" t="str">
        <f>BB3</f>
        <v>ClcC70mLmod_low15pc_energyOnly</v>
      </c>
    </row>
    <row r="3" spans="1:54" x14ac:dyDescent="0.2">
      <c r="A3" t="s">
        <v>242</v>
      </c>
      <c r="C3" t="str">
        <f>CONCATENATE(C10,C13,C17,C19,C21,C25,C29,C33,C36,C39,C42,C44,C47)</f>
        <v>ClcC70m</v>
      </c>
      <c r="D3" t="str">
        <f t="shared" ref="D3:AD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ref="I3:K3" si="3">CONCATENATE(I10,I13,I17,I19,I21,I25,I29,I33,I36,I39,I42,I44,I47)</f>
        <v>ClcC70mHcea</v>
      </c>
      <c r="J3" t="str">
        <f t="shared" si="1"/>
        <v>ClcC70mN17</v>
      </c>
      <c r="K3" t="str">
        <f t="shared" si="3"/>
        <v>ClcC70mHceaN17</v>
      </c>
      <c r="L3" t="str">
        <f t="shared" si="1"/>
        <v>ClcC70mB15</v>
      </c>
      <c r="M3" t="str">
        <f t="shared" si="1"/>
        <v>ClcC70mB30</v>
      </c>
      <c r="N3" t="str">
        <f t="shared" ref="N3:O3" si="4">CONCATENATE(N10,N13,N17,N19,N21,N25,N29,N33,N36,N39,N42,N44,N47)</f>
        <v>ClcC70mB60</v>
      </c>
      <c r="O3" t="str">
        <f t="shared" si="4"/>
        <v>ChcC70mB60</v>
      </c>
      <c r="P3" t="str">
        <f t="shared" si="1"/>
        <v>ClcC70mW10lc</v>
      </c>
      <c r="Q3" t="str">
        <f t="shared" si="1"/>
        <v>ClcC70mW20lc</v>
      </c>
      <c r="R3" t="str">
        <f t="shared" si="1"/>
        <v>ClcC70mW30lc</v>
      </c>
      <c r="S3" t="str">
        <f t="shared" si="1"/>
        <v>ClcC70mS10lc</v>
      </c>
      <c r="T3" t="str">
        <f t="shared" si="1"/>
        <v>ClcC70mS20lc</v>
      </c>
      <c r="U3" t="str">
        <f t="shared" si="1"/>
        <v>ClcC70mS30lc</v>
      </c>
      <c r="V3" t="str">
        <f t="shared" si="1"/>
        <v>ClcC70mW30lcS30lc</v>
      </c>
      <c r="W3" t="str">
        <f t="shared" si="1"/>
        <v>ClcC70mW120</v>
      </c>
      <c r="X3" t="str">
        <f t="shared" si="1"/>
        <v>ClcC70mS1A</v>
      </c>
      <c r="Y3" t="str">
        <f t="shared" si="1"/>
        <v>ClcC70mS90d</v>
      </c>
      <c r="Z3" t="str">
        <f t="shared" si="1"/>
        <v>ClcC70mW120S1A</v>
      </c>
      <c r="AA3" t="str">
        <f t="shared" si="1"/>
        <v>ClcC70mB15B25lc</v>
      </c>
      <c r="AB3" t="str">
        <f t="shared" si="1"/>
        <v>ClcC70mB15B50lc</v>
      </c>
      <c r="AC3" t="str">
        <f t="shared" si="1"/>
        <v>ClcC70mB30B25lc</v>
      </c>
      <c r="AD3" t="str">
        <f t="shared" si="1"/>
        <v>ClcC70mB30B50lc</v>
      </c>
      <c r="AE3" t="str">
        <f t="shared" ref="AE3:AI3" si="5">CONCATENATE(AE10,AE13,AE17,AE19,AE21,AE25,AE29,AE33,AE36,AE39,AE42,AE44,AE47)</f>
        <v>ClcC70mB60B50lc</v>
      </c>
      <c r="AF3" t="str">
        <f t="shared" ref="AF3:AH3" si="6">CONCATENATE(AF10,AF13,AF17,AF19,AF21,AF25,AF29,AF33,AF36,AF39,AF42,AF44,AF47)</f>
        <v>ClcC70mB60B50lcW30lc</v>
      </c>
      <c r="AG3" t="str">
        <f t="shared" ref="AG3" si="7">CONCATENATE(AG10,AG13,AG17,AG19,AG21,AG25,AG29,AG33,AG36,AG39,AG42,AG44,AG47)</f>
        <v>ClcC70mB60B50lcS30lc</v>
      </c>
      <c r="AH3" t="str">
        <f t="shared" si="6"/>
        <v>ClcC70mB60B50lcW30lcS30lc</v>
      </c>
      <c r="AI3" t="str">
        <f t="shared" si="5"/>
        <v>ChcC70mB60B50lc</v>
      </c>
      <c r="AJ3" t="str">
        <f t="shared" ref="AJ3:AM3" si="8">CONCATENATE(AJ10,AJ13,AJ17,AJ19,AJ21,AJ25,AJ29,AJ33,AJ36,AJ39,AJ42,AJ44,AJ47)</f>
        <v>ChcC70mB60B50lcW30lc</v>
      </c>
      <c r="AK3" t="str">
        <f t="shared" ref="AK3" si="9">CONCATENATE(AK10,AK13,AK17,AK19,AK21,AK25,AK29,AK33,AK36,AK39,AK42,AK44,AK47)</f>
        <v>ChcC70mB60B50lcS30lc</v>
      </c>
      <c r="AL3" t="str">
        <f t="shared" si="8"/>
        <v>ChcC70mB60B50lcW30lcS30lc</v>
      </c>
      <c r="AM3" t="str">
        <f t="shared" si="8"/>
        <v>ChcC70mW30lcS30lc</v>
      </c>
      <c r="AN3" t="str">
        <f t="shared" ref="AN3" si="10">CONCATENATE(AN10,AN13,AN17,AN19,AN21,AN25,AN29,AN33,AN36,AN39,AN42,AN44,AN47)</f>
        <v>ClcC55mW30lc</v>
      </c>
      <c r="AO3" t="str">
        <f t="shared" ref="AO3:AP3" si="11">CONCATENATE(AO10,AO13,AO17,AO19,AO21,AO25,AO29,AO33,AO36,AO39,AO42,AO44,AO47)</f>
        <v>ClcC55mS30lc</v>
      </c>
      <c r="AP3" t="str">
        <f t="shared" si="11"/>
        <v>ClcC55mW30lcS30lc</v>
      </c>
      <c r="AQ3" t="str">
        <f t="shared" ref="AQ3:AV3" si="12">CONCATENATE(AQ10,AQ13,AQ17,AQ19,AQ21,AQ25,AQ29,AQ33,AQ36,AQ39,AQ42,AQ44,AQ47)</f>
        <v>ClcC55mB60</v>
      </c>
      <c r="AR3" t="str">
        <f t="shared" si="12"/>
        <v>ClcC55mB60B50lc</v>
      </c>
      <c r="AS3" t="str">
        <f t="shared" ref="AS3:AT3" si="13">CONCATENATE(AS10,AS13,AS17,AS19,AS21,AS25,AS29,AS33,AS36,AS39,AS42,AS44,AS47)</f>
        <v>ClcC55mB60W30lcS30lc</v>
      </c>
      <c r="AT3" t="str">
        <f t="shared" si="13"/>
        <v>ClcC55mB60B50lcW30lcS30lc</v>
      </c>
      <c r="AU3" t="str">
        <f t="shared" ref="AU3" si="14">CONCATENATE(AU10,AU13,AU17,AU19,AU21,AU25,AU29,AU33,AU36,AU39,AU42,AU44,AU47)</f>
        <v>ClcC55mB60B50lcS30lc</v>
      </c>
      <c r="AV3" t="str">
        <f t="shared" si="12"/>
        <v>ChcC55mB60</v>
      </c>
      <c r="AW3" t="str">
        <f t="shared" ref="AW3:AX3" si="15">CONCATENATE(AW10,AW13,AW17,AW19,AW21,AW25,AW29,AW33,AW36,AW39,AW42,AW44,AW47)</f>
        <v>ChcC55mB60W30lcS30lc</v>
      </c>
      <c r="AX3" t="str">
        <f t="shared" si="15"/>
        <v>ChcC55mB60B50lcW30lcS30lc</v>
      </c>
      <c r="AY3" t="str">
        <f>CONCATENATE(AY10,AY13,AY17,AY19,AY21,AY25,AY29,AY33,AY36,AY39,AY42,AY44,AY47)</f>
        <v>ClcC70mLmod_D0_M0_energyOnly</v>
      </c>
      <c r="AZ3" t="str">
        <f>CONCATENATE(AZ10,AZ13,AZ17,AZ19,AZ21,AZ25,AZ29,AZ33,AZ36,AZ39,AZ42,AZ44,AZ47)</f>
        <v>ClcC70mLmod_D50_M0_energyOnly</v>
      </c>
      <c r="BA3" t="str">
        <f>CONCATENATE(BA10,BA13,BA17,BA19,BA21,BA25,BA29,BA33,BA36,BA39,BA42,BA44,BA47)</f>
        <v>ClcC70mLmod_D25_M25_energyOnly</v>
      </c>
      <c r="BB3" t="str">
        <f>CONCATENATE(BB10,BB13,BB17,BB19,BB21,BB25,BB29,BB33,BB36,BB39,BB42,BB44,BB47)</f>
        <v>ClcC70mLmod_low15pc_energyOnly</v>
      </c>
    </row>
    <row r="4" spans="1:54" x14ac:dyDescent="0.2">
      <c r="A4" t="s">
        <v>407</v>
      </c>
      <c r="C4" t="str">
        <f t="shared" ref="C4:E4" si="16">CONCATENATE(C10,C13,C15,C17,C19,C21,C36,C39,C42,C44,C47)</f>
        <v>ClcC70m</v>
      </c>
      <c r="D4" t="str">
        <f t="shared" si="16"/>
        <v>ChcC70m</v>
      </c>
      <c r="E4" t="str">
        <f t="shared" si="16"/>
        <v>ClcC55m</v>
      </c>
      <c r="F4" t="str">
        <f>CONCATENATE(F10,F13,F17,F19,F21,F36,F39,F42,F44,F47)</f>
        <v>ClcC0m</v>
      </c>
      <c r="G4" t="str">
        <f t="shared" ref="G4:BA4" si="17">CONCATENATE(G10,G13,G15,G17,G19,G21,G36,G39,G42,G44,G47)</f>
        <v>ClcC70mH-25</v>
      </c>
      <c r="H4" t="str">
        <f t="shared" si="17"/>
        <v>ClcC70mH25</v>
      </c>
      <c r="I4" t="str">
        <f t="shared" ref="I4:K4" si="18">CONCATENATE(I10,I13,I15,I17,I19,I21,I36,I39,I42,I44,I47)</f>
        <v>ClcC70mHcea</v>
      </c>
      <c r="J4" t="str">
        <f t="shared" si="17"/>
        <v>ClcC70mN17</v>
      </c>
      <c r="K4" t="str">
        <f t="shared" si="18"/>
        <v>ClcC70mHceaN17</v>
      </c>
      <c r="L4" t="str">
        <f t="shared" si="17"/>
        <v>ClcC70mB15</v>
      </c>
      <c r="M4" t="str">
        <f t="shared" si="17"/>
        <v>ClcC70mB30</v>
      </c>
      <c r="N4" t="str">
        <f t="shared" ref="N4:O4" si="19">CONCATENATE(N10,N13,N15,N17,N19,N21,N36,N39,N42,N44,N47)</f>
        <v>ClcC70mB60</v>
      </c>
      <c r="O4" t="str">
        <f t="shared" si="19"/>
        <v>ChcC70mB60</v>
      </c>
      <c r="P4" t="str">
        <f t="shared" si="17"/>
        <v>ClcC70m</v>
      </c>
      <c r="Q4" t="str">
        <f t="shared" si="17"/>
        <v>ClcC70m</v>
      </c>
      <c r="R4" t="str">
        <f t="shared" si="17"/>
        <v>ClcC70m</v>
      </c>
      <c r="S4" t="str">
        <f t="shared" si="17"/>
        <v>ClcC70m</v>
      </c>
      <c r="T4" t="str">
        <f t="shared" si="17"/>
        <v>ClcC70m</v>
      </c>
      <c r="U4" t="str">
        <f t="shared" si="17"/>
        <v>ClcC70m</v>
      </c>
      <c r="V4" t="str">
        <f t="shared" si="17"/>
        <v>ClcC70m</v>
      </c>
      <c r="W4" t="str">
        <f t="shared" si="17"/>
        <v>ClcC70mW120</v>
      </c>
      <c r="X4" t="str">
        <f t="shared" si="17"/>
        <v>ClcC70mS1A</v>
      </c>
      <c r="Y4" t="str">
        <f t="shared" si="17"/>
        <v>ClcC70mS90d</v>
      </c>
      <c r="Z4" t="str">
        <f t="shared" si="17"/>
        <v>ClcC70mW120S1A</v>
      </c>
      <c r="AA4" t="str">
        <f t="shared" si="17"/>
        <v>ClcC70mB15</v>
      </c>
      <c r="AB4" t="str">
        <f t="shared" si="17"/>
        <v>ClcC70mB15</v>
      </c>
      <c r="AC4" t="str">
        <f t="shared" si="17"/>
        <v>ClcC70mB30</v>
      </c>
      <c r="AD4" t="str">
        <f t="shared" si="17"/>
        <v>ClcC70mB30</v>
      </c>
      <c r="AE4" t="str">
        <f t="shared" ref="AE4:AI4" si="20">CONCATENATE(AE10,AE13,AE15,AE17,AE19,AE21,AE36,AE39,AE42,AE44,AE47)</f>
        <v>ClcC70mB60</v>
      </c>
      <c r="AF4" t="str">
        <f t="shared" ref="AF4:AH4" si="21">CONCATENATE(AF10,AF13,AF15,AF17,AF19,AF21,AF36,AF39,AF42,AF44,AF47)</f>
        <v>ClcC70mB60</v>
      </c>
      <c r="AG4" t="str">
        <f t="shared" ref="AG4" si="22">CONCATENATE(AG10,AG13,AG15,AG17,AG19,AG21,AG36,AG39,AG42,AG44,AG47)</f>
        <v>ClcC70mB60</v>
      </c>
      <c r="AH4" t="str">
        <f t="shared" si="21"/>
        <v>ClcC70mB60</v>
      </c>
      <c r="AI4" t="str">
        <f t="shared" si="20"/>
        <v>ChcC70mB60</v>
      </c>
      <c r="AJ4" t="str">
        <f t="shared" ref="AJ4:AM4" si="23">CONCATENATE(AJ10,AJ13,AJ15,AJ17,AJ19,AJ21,AJ36,AJ39,AJ42,AJ44,AJ47)</f>
        <v>ChcC70mB60</v>
      </c>
      <c r="AK4" t="str">
        <f t="shared" ref="AK4" si="24">CONCATENATE(AK10,AK13,AK15,AK17,AK19,AK21,AK36,AK39,AK42,AK44,AK47)</f>
        <v>ChcC70mB60</v>
      </c>
      <c r="AL4" t="str">
        <f t="shared" si="23"/>
        <v>ChcC70mB60</v>
      </c>
      <c r="AM4" t="str">
        <f t="shared" si="23"/>
        <v>ChcC70m</v>
      </c>
      <c r="AN4" t="str">
        <f t="shared" si="17"/>
        <v>ClcC55m</v>
      </c>
      <c r="AO4" t="str">
        <f t="shared" ref="AO4:AP4" si="25">CONCATENATE(AO10,AO13,AO15,AO17,AO19,AO21,AO36,AO39,AO42,AO44,AO47)</f>
        <v>ClcC55m</v>
      </c>
      <c r="AP4" t="str">
        <f t="shared" si="25"/>
        <v>ClcC55m</v>
      </c>
      <c r="AQ4" t="str">
        <f t="shared" ref="AQ4:AV4" si="26">CONCATENATE(AQ10,AQ13,AQ15,AQ17,AQ19,AQ21,AQ36,AQ39,AQ42,AQ44,AQ47)</f>
        <v>ClcC55mB60</v>
      </c>
      <c r="AR4" t="str">
        <f t="shared" si="26"/>
        <v>ClcC55mB60</v>
      </c>
      <c r="AS4" t="str">
        <f t="shared" ref="AS4:AT4" si="27">CONCATENATE(AS10,AS13,AS15,AS17,AS19,AS21,AS36,AS39,AS42,AS44,AS47)</f>
        <v>ClcC55mB60</v>
      </c>
      <c r="AT4" t="str">
        <f t="shared" si="27"/>
        <v>ClcC55mB60</v>
      </c>
      <c r="AU4" t="str">
        <f t="shared" ref="AU4" si="28">CONCATENATE(AU10,AU13,AU15,AU17,AU19,AU21,AU36,AU39,AU42,AU44,AU47)</f>
        <v>ClcC55mB60</v>
      </c>
      <c r="AV4" t="str">
        <f t="shared" si="26"/>
        <v>ChcC55mB60</v>
      </c>
      <c r="AW4" t="str">
        <f t="shared" ref="AW4:AX4" si="29">CONCATENATE(AW10,AW13,AW15,AW17,AW19,AW21,AW36,AW39,AW42,AW44,AW47)</f>
        <v>ChcC55mB60</v>
      </c>
      <c r="AX4" t="str">
        <f t="shared" si="29"/>
        <v>ChcC55mB60</v>
      </c>
      <c r="AY4" t="str">
        <f t="shared" si="17"/>
        <v>ClcC70mLmod_D0_M0_energyOnly</v>
      </c>
      <c r="AZ4" t="str">
        <f t="shared" si="17"/>
        <v>ClcC70mLmod_D50_M0_energyOnly</v>
      </c>
      <c r="BA4" t="str">
        <f t="shared" si="17"/>
        <v>ClcC70mLmod_D25_M25_energyOnly</v>
      </c>
      <c r="BB4" t="str">
        <f t="shared" ref="BB4" si="30">CONCATENATE(BB10,BB13,BB15,BB17,BB19,BB21,BB36,BB39,BB42,BB44,BB47)</f>
        <v>ClcC70mLmod_low15pc_energyOnly</v>
      </c>
    </row>
    <row r="5" spans="1:54" x14ac:dyDescent="0.2">
      <c r="A5" t="s">
        <v>243</v>
      </c>
      <c r="C5" t="str">
        <f t="shared" ref="C5:Y5" si="31">CONCATENATE(C11,C17,C19,C21,C36,C39,C42,C44,C47)</f>
        <v>coallc</v>
      </c>
      <c r="D5" t="str">
        <f t="shared" si="31"/>
        <v>coalhc</v>
      </c>
      <c r="E5" t="str">
        <f t="shared" si="31"/>
        <v>coallc</v>
      </c>
      <c r="F5" t="str">
        <f t="shared" ref="F5" si="32">CONCATENATE(F11,F17,F19,F21,F36,F39,F42,F44,F47)</f>
        <v>coallc</v>
      </c>
      <c r="G5" t="str">
        <f t="shared" si="31"/>
        <v>coallcH-25</v>
      </c>
      <c r="H5" t="str">
        <f t="shared" si="31"/>
        <v>coallcH25</v>
      </c>
      <c r="I5" t="str">
        <f t="shared" ref="I5:K5" si="33">CONCATENATE(I11,I17,I19,I21,I36,I39,I42,I44,I47)</f>
        <v>coallcHcea</v>
      </c>
      <c r="J5" t="str">
        <f t="shared" si="31"/>
        <v>coallcN17</v>
      </c>
      <c r="K5" t="str">
        <f t="shared" si="33"/>
        <v>coallcHceaN17</v>
      </c>
      <c r="L5" t="str">
        <f t="shared" si="31"/>
        <v>coallcB15</v>
      </c>
      <c r="M5" t="str">
        <f t="shared" si="31"/>
        <v>coallcB30</v>
      </c>
      <c r="N5" t="str">
        <f t="shared" ref="N5:O5" si="34">CONCATENATE(N11,N17,N19,N21,N36,N39,N42,N44,N47)</f>
        <v>coallcB60</v>
      </c>
      <c r="O5" t="str">
        <f t="shared" si="34"/>
        <v>coalhcB60</v>
      </c>
      <c r="P5" t="str">
        <f t="shared" si="31"/>
        <v>coallc</v>
      </c>
      <c r="Q5" t="str">
        <f t="shared" si="31"/>
        <v>coallc</v>
      </c>
      <c r="R5" t="str">
        <f t="shared" si="31"/>
        <v>coallc</v>
      </c>
      <c r="S5" t="str">
        <f t="shared" si="31"/>
        <v>coallc</v>
      </c>
      <c r="T5" t="str">
        <f t="shared" si="31"/>
        <v>coallc</v>
      </c>
      <c r="U5" t="str">
        <f t="shared" si="31"/>
        <v>coallc</v>
      </c>
      <c r="V5" t="str">
        <f t="shared" si="31"/>
        <v>coallc</v>
      </c>
      <c r="W5" t="str">
        <f t="shared" si="31"/>
        <v>coallcW120</v>
      </c>
      <c r="X5" t="str">
        <f t="shared" si="31"/>
        <v>coallcS1A</v>
      </c>
      <c r="Y5" t="str">
        <f t="shared" si="31"/>
        <v>coallcS90d</v>
      </c>
      <c r="Z5" t="str">
        <f t="shared" ref="Z5:AE5" si="35">CONCATENATE(Z11,Z17,Z19,Z21,Z36,Z39,Z42,Z44,Z47)</f>
        <v>coallcW120S1A</v>
      </c>
      <c r="AA5" t="str">
        <f t="shared" si="35"/>
        <v>coallcB15</v>
      </c>
      <c r="AB5" t="str">
        <f t="shared" si="35"/>
        <v>coallcB15</v>
      </c>
      <c r="AC5" t="str">
        <f t="shared" si="35"/>
        <v>coallcB30</v>
      </c>
      <c r="AD5" t="str">
        <f t="shared" si="35"/>
        <v>coallcB30</v>
      </c>
      <c r="AE5" t="str">
        <f t="shared" si="35"/>
        <v>coallcB60</v>
      </c>
      <c r="AF5" t="str">
        <f t="shared" ref="AF5:AH5" si="36">CONCATENATE(AF11,AF17,AF19,AF21,AF36,AF39,AF42,AF44,AF47)</f>
        <v>coallcB60</v>
      </c>
      <c r="AG5" t="str">
        <f t="shared" ref="AG5" si="37">CONCATENATE(AG11,AG17,AG19,AG21,AG36,AG39,AG42,AG44,AG47)</f>
        <v>coallcB60</v>
      </c>
      <c r="AH5" t="str">
        <f t="shared" si="36"/>
        <v>coallcB60</v>
      </c>
      <c r="AI5" t="str">
        <f t="shared" ref="AI5:AJ5" si="38">CONCATENATE(AI11,AI17,AI19,AI21,AI36,AI39,AI42,AI44,AI47)</f>
        <v>coalhcB60</v>
      </c>
      <c r="AJ5" t="str">
        <f t="shared" si="38"/>
        <v>coalhcB60</v>
      </c>
      <c r="AK5" t="str">
        <f t="shared" ref="AK5" si="39">CONCATENATE(AK11,AK17,AK19,AK21,AK36,AK39,AK42,AK44,AK47)</f>
        <v>coalhcB60</v>
      </c>
      <c r="AL5" t="str">
        <f t="shared" ref="AL5:AM5" si="40">CONCATENATE(AL11,AL17,AL19,AL21,AL36,AL39,AL42,AL44,AL47)</f>
        <v>coalhcB60</v>
      </c>
      <c r="AM5" t="str">
        <f t="shared" si="40"/>
        <v>coalhc</v>
      </c>
      <c r="AN5" t="str">
        <f t="shared" ref="AN5" si="41">CONCATENATE(AN11,AN17,AN19,AN21,AN36,AN39,AN42,AN44,AN47)</f>
        <v>coallc</v>
      </c>
      <c r="AO5" t="str">
        <f t="shared" ref="AO5:AP5" si="42">CONCATENATE(AO11,AO17,AO19,AO21,AO36,AO39,AO42,AO44,AO47)</f>
        <v>coallc</v>
      </c>
      <c r="AP5" t="str">
        <f t="shared" si="42"/>
        <v>coallc</v>
      </c>
      <c r="AQ5" t="str">
        <f t="shared" ref="AQ5:AV5" si="43">CONCATENATE(AQ11,AQ17,AQ19,AQ21,AQ36,AQ39,AQ42,AQ44,AQ47)</f>
        <v>coallcB60</v>
      </c>
      <c r="AR5" t="str">
        <f t="shared" si="43"/>
        <v>coallcB60</v>
      </c>
      <c r="AS5" t="str">
        <f t="shared" ref="AS5:AT5" si="44">CONCATENATE(AS11,AS17,AS19,AS21,AS36,AS39,AS42,AS44,AS47)</f>
        <v>coallcB60</v>
      </c>
      <c r="AT5" t="str">
        <f t="shared" si="44"/>
        <v>coallcB60</v>
      </c>
      <c r="AU5" t="str">
        <f t="shared" ref="AU5" si="45">CONCATENATE(AU11,AU17,AU19,AU21,AU36,AU39,AU42,AU44,AU47)</f>
        <v>coallcB60</v>
      </c>
      <c r="AV5" t="str">
        <f t="shared" si="43"/>
        <v>coalhcB60</v>
      </c>
      <c r="AW5" t="str">
        <f t="shared" ref="AW5:AX5" si="46">CONCATENATE(AW11,AW17,AW19,AW21,AW36,AW39,AW42,AW44,AW47)</f>
        <v>coalhcB60</v>
      </c>
      <c r="AX5" t="str">
        <f t="shared" si="46"/>
        <v>coalhcB60</v>
      </c>
      <c r="AY5" t="str">
        <f>CONCATENATE(AY11,AY17,AY19,AY21,AY36,AY39,AY42,AY44,AY47)</f>
        <v>coallcLmod_D0_M0_energyOnly</v>
      </c>
      <c r="AZ5" t="str">
        <f>CONCATENATE(AZ11,AZ17,AZ19,AZ21,AZ36,AZ39,AZ42,AZ44,AZ47)</f>
        <v>coallcLmod_D50_M0_energyOnly</v>
      </c>
      <c r="BA5" t="str">
        <f>CONCATENATE(BA11,BA17,BA19,BA21,BA36,BA39,BA42,BA44,BA47)</f>
        <v>coallcLmod_D25_M25_energyOnly</v>
      </c>
      <c r="BB5" t="str">
        <f>CONCATENATE(BB11,BB17,BB19,BB21,BB36,BB39,BB42,BB44,BB47)</f>
        <v>coallcLmod_low15pc_energyOnly</v>
      </c>
    </row>
    <row r="6" spans="1:54" x14ac:dyDescent="0.2">
      <c r="A6" t="s">
        <v>244</v>
      </c>
      <c r="C6" t="str">
        <f t="shared" ref="C6:Y6" si="47">CONCATENATE(C11,C17,C19,C21,C36,C39,C42,C44,C47)</f>
        <v>coallc</v>
      </c>
      <c r="D6" t="str">
        <f>C6</f>
        <v>coallc</v>
      </c>
      <c r="E6" t="str">
        <f t="shared" si="47"/>
        <v>coallc</v>
      </c>
      <c r="F6" t="str">
        <f t="shared" ref="F6" si="48">CONCATENATE(F11,F17,F19,F21,F36,F39,F42,F44,F47)</f>
        <v>coallc</v>
      </c>
      <c r="G6" t="str">
        <f t="shared" si="47"/>
        <v>coallcH-25</v>
      </c>
      <c r="H6" t="str">
        <f t="shared" si="47"/>
        <v>coallcH25</v>
      </c>
      <c r="I6" t="str">
        <f t="shared" ref="I6:K6" si="49">CONCATENATE(I11,I17,I19,I21,I36,I39,I42,I44,I47)</f>
        <v>coallcHcea</v>
      </c>
      <c r="J6" t="str">
        <f t="shared" si="47"/>
        <v>coallcN17</v>
      </c>
      <c r="K6" t="str">
        <f t="shared" si="49"/>
        <v>coallcHceaN17</v>
      </c>
      <c r="L6" t="str">
        <f t="shared" si="47"/>
        <v>coallcB15</v>
      </c>
      <c r="M6" t="str">
        <f t="shared" si="47"/>
        <v>coallcB30</v>
      </c>
      <c r="N6" t="str">
        <f t="shared" ref="N6:O6" si="50">CONCATENATE(N11,N17,N19,N21,N36,N39,N42,N44,N47)</f>
        <v>coallcB60</v>
      </c>
      <c r="O6" t="str">
        <f t="shared" si="50"/>
        <v>coalhcB60</v>
      </c>
      <c r="P6" t="str">
        <f t="shared" si="47"/>
        <v>coallc</v>
      </c>
      <c r="Q6" t="str">
        <f t="shared" si="47"/>
        <v>coallc</v>
      </c>
      <c r="R6" t="str">
        <f t="shared" si="47"/>
        <v>coallc</v>
      </c>
      <c r="S6" t="str">
        <f t="shared" si="47"/>
        <v>coallc</v>
      </c>
      <c r="T6" t="str">
        <f t="shared" si="47"/>
        <v>coallc</v>
      </c>
      <c r="U6" t="str">
        <f t="shared" si="47"/>
        <v>coallc</v>
      </c>
      <c r="V6" t="str">
        <f t="shared" si="47"/>
        <v>coallc</v>
      </c>
      <c r="W6" t="str">
        <f t="shared" si="47"/>
        <v>coallcW120</v>
      </c>
      <c r="X6" t="str">
        <f t="shared" si="47"/>
        <v>coallcS1A</v>
      </c>
      <c r="Y6" t="str">
        <f t="shared" si="47"/>
        <v>coallcS90d</v>
      </c>
      <c r="Z6" t="str">
        <f t="shared" ref="Z6:AE6" si="51">CONCATENATE(Z11,Z17,Z19,Z21,Z36,Z39,Z42,Z44,Z47)</f>
        <v>coallcW120S1A</v>
      </c>
      <c r="AA6" t="str">
        <f t="shared" si="51"/>
        <v>coallcB15</v>
      </c>
      <c r="AB6" t="str">
        <f t="shared" si="51"/>
        <v>coallcB15</v>
      </c>
      <c r="AC6" t="str">
        <f t="shared" si="51"/>
        <v>coallcB30</v>
      </c>
      <c r="AD6" t="str">
        <f t="shared" si="51"/>
        <v>coallcB30</v>
      </c>
      <c r="AE6" t="str">
        <f t="shared" si="51"/>
        <v>coallcB60</v>
      </c>
      <c r="AF6" t="str">
        <f t="shared" ref="AF6:AH6" si="52">CONCATENATE(AF11,AF17,AF19,AF21,AF36,AF39,AF42,AF44,AF47)</f>
        <v>coallcB60</v>
      </c>
      <c r="AG6" t="str">
        <f t="shared" ref="AG6" si="53">CONCATENATE(AG11,AG17,AG19,AG21,AG36,AG39,AG42,AG44,AG47)</f>
        <v>coallcB60</v>
      </c>
      <c r="AH6" t="str">
        <f t="shared" si="52"/>
        <v>coallcB60</v>
      </c>
      <c r="AI6" t="str">
        <f t="shared" ref="AI6:AJ6" si="54">CONCATENATE(AI11,AI17,AI19,AI21,AI36,AI39,AI42,AI44,AI47)</f>
        <v>coalhcB60</v>
      </c>
      <c r="AJ6" t="str">
        <f t="shared" si="54"/>
        <v>coalhcB60</v>
      </c>
      <c r="AK6" t="str">
        <f t="shared" ref="AK6" si="55">CONCATENATE(AK11,AK17,AK19,AK21,AK36,AK39,AK42,AK44,AK47)</f>
        <v>coalhcB60</v>
      </c>
      <c r="AL6" t="str">
        <f t="shared" ref="AL6:AM6" si="56">CONCATENATE(AL11,AL17,AL19,AL21,AL36,AL39,AL42,AL44,AL47)</f>
        <v>coalhcB60</v>
      </c>
      <c r="AM6" t="str">
        <f t="shared" si="56"/>
        <v>coalhc</v>
      </c>
      <c r="AN6" t="str">
        <f t="shared" ref="AN6:AO6" si="57">CONCATENATE(AN11,AN17,AN19,AN21,AN36,AN39,AN42,AN44,AN47)</f>
        <v>coallc</v>
      </c>
      <c r="AO6" t="str">
        <f t="shared" si="57"/>
        <v>coallc</v>
      </c>
      <c r="AP6" t="str">
        <f t="shared" ref="AP6:AR6" si="58">CONCATENATE(AP11,AP17,AP19,AP21,AP36,AP39,AP42,AP44,AP47)</f>
        <v>coallc</v>
      </c>
      <c r="AQ6" t="str">
        <f t="shared" si="58"/>
        <v>coallcB60</v>
      </c>
      <c r="AR6" t="str">
        <f t="shared" si="58"/>
        <v>coallcB60</v>
      </c>
      <c r="AS6" t="str">
        <f t="shared" ref="AS6:AT6" si="59">CONCATENATE(AS11,AS17,AS19,AS21,AS36,AS39,AS42,AS44,AS47)</f>
        <v>coallcB60</v>
      </c>
      <c r="AT6" t="str">
        <f t="shared" si="59"/>
        <v>coallcB60</v>
      </c>
      <c r="AU6" t="str">
        <f t="shared" ref="AU6" si="60">CONCATENATE(AU11,AU17,AU19,AU21,AU36,AU39,AU42,AU44,AU47)</f>
        <v>coallcB60</v>
      </c>
      <c r="AV6" t="str">
        <f t="shared" ref="AV6:AX6" si="61">CONCATENATE(AV11,AV17,AV19,AV21,AV36,AV39,AV42,AV44,AV47)</f>
        <v>coalhcB60</v>
      </c>
      <c r="AW6" t="str">
        <f t="shared" si="61"/>
        <v>coalhcB60</v>
      </c>
      <c r="AX6" t="str">
        <f t="shared" si="61"/>
        <v>coalhcB60</v>
      </c>
      <c r="AY6" t="str">
        <f>CONCATENATE(AY11,AY17,AY19,AY21,AY36,AY39,AY42,AY44,AY47)</f>
        <v>coallcLmod_D0_M0_energyOnly</v>
      </c>
      <c r="AZ6" t="str">
        <f>CONCATENATE(AZ11,AZ17,AZ19,AZ21,AZ36,AZ39,AZ42,AZ44,AZ47)</f>
        <v>coallcLmod_D50_M0_energyOnly</v>
      </c>
      <c r="BA6" t="str">
        <f>CONCATENATE(BA11,BA17,BA19,BA21,BA36,BA39,BA42,BA44,BA47)</f>
        <v>coallcLmod_D25_M25_energyOnly</v>
      </c>
      <c r="BB6" t="str">
        <f>CONCATENATE(BB11,BB17,BB19,BB21,BB36,BB39,BB42,BB44,BB47)</f>
        <v>coallcLmod_low15pc_energyOnly</v>
      </c>
    </row>
    <row r="7" spans="1:54" x14ac:dyDescent="0.2">
      <c r="A7" t="s">
        <v>245</v>
      </c>
      <c r="C7" t="str">
        <f t="shared" ref="C7:Y7" si="62">CONCATENATE(C37,"_",C40)</f>
        <v>W80_S0d</v>
      </c>
      <c r="D7" t="str">
        <f t="shared" si="62"/>
        <v>W80_S0d</v>
      </c>
      <c r="E7" t="str">
        <f t="shared" si="62"/>
        <v>W80_S0d</v>
      </c>
      <c r="F7" t="str">
        <f t="shared" ref="F7" si="63">CONCATENATE(F37,"_",F40)</f>
        <v>W80_S0d</v>
      </c>
      <c r="G7" t="str">
        <f t="shared" si="62"/>
        <v>W80_S0d</v>
      </c>
      <c r="H7" t="str">
        <f t="shared" si="62"/>
        <v>W80_S0d</v>
      </c>
      <c r="I7" t="str">
        <f t="shared" ref="I7:K7" si="64">CONCATENATE(I37,"_",I40)</f>
        <v>W80_S0d</v>
      </c>
      <c r="J7" t="str">
        <f t="shared" si="62"/>
        <v>W80_S0d</v>
      </c>
      <c r="K7" t="str">
        <f t="shared" si="64"/>
        <v>W80_S0d</v>
      </c>
      <c r="L7" t="str">
        <f t="shared" si="62"/>
        <v>W80_S0d</v>
      </c>
      <c r="M7" t="str">
        <f t="shared" si="62"/>
        <v>W80_S0d</v>
      </c>
      <c r="N7" t="str">
        <f t="shared" ref="N7:O7" si="65">CONCATENATE(N37,"_",N40)</f>
        <v>W80_S0d</v>
      </c>
      <c r="O7" t="str">
        <f t="shared" si="65"/>
        <v>W80_S0d</v>
      </c>
      <c r="P7" t="str">
        <f t="shared" si="62"/>
        <v>W80_S0d</v>
      </c>
      <c r="Q7" t="str">
        <f t="shared" si="62"/>
        <v>W80_S0d</v>
      </c>
      <c r="R7" t="str">
        <f t="shared" si="62"/>
        <v>W80_S0d</v>
      </c>
      <c r="S7" t="str">
        <f t="shared" si="62"/>
        <v>W80_S0d</v>
      </c>
      <c r="T7" t="str">
        <f t="shared" si="62"/>
        <v>W80_S0d</v>
      </c>
      <c r="U7" t="str">
        <f t="shared" si="62"/>
        <v>W80_S0d</v>
      </c>
      <c r="V7" t="str">
        <f t="shared" si="62"/>
        <v>W80_S0d</v>
      </c>
      <c r="W7" t="str">
        <f t="shared" si="62"/>
        <v>W120_S0d</v>
      </c>
      <c r="X7" t="str">
        <f t="shared" si="62"/>
        <v>W80_S1A</v>
      </c>
      <c r="Y7" t="str">
        <f t="shared" si="62"/>
        <v>W80_S90d</v>
      </c>
      <c r="Z7" t="str">
        <f t="shared" ref="Z7:AE7" si="66">CONCATENATE(Z37,"_",Z40)</f>
        <v>W120_S1A</v>
      </c>
      <c r="AA7" t="str">
        <f t="shared" si="66"/>
        <v>W80_S0d</v>
      </c>
      <c r="AB7" t="str">
        <f t="shared" si="66"/>
        <v>W80_S0d</v>
      </c>
      <c r="AC7" t="str">
        <f t="shared" si="66"/>
        <v>W80_S0d</v>
      </c>
      <c r="AD7" t="str">
        <f t="shared" si="66"/>
        <v>W80_S0d</v>
      </c>
      <c r="AE7" t="str">
        <f t="shared" si="66"/>
        <v>W80_S0d</v>
      </c>
      <c r="AF7" t="str">
        <f t="shared" ref="AF7:AH7" si="67">CONCATENATE(AF37,"_",AF40)</f>
        <v>W80_S0d</v>
      </c>
      <c r="AG7" t="str">
        <f t="shared" ref="AG7" si="68">CONCATENATE(AG37,"_",AG40)</f>
        <v>W80_S0d</v>
      </c>
      <c r="AH7" t="str">
        <f t="shared" si="67"/>
        <v>W80_S0d</v>
      </c>
      <c r="AI7" t="str">
        <f t="shared" ref="AI7:AJ7" si="69">CONCATENATE(AI37,"_",AI40)</f>
        <v>W80_S0d</v>
      </c>
      <c r="AJ7" t="str">
        <f t="shared" si="69"/>
        <v>W80_S0d</v>
      </c>
      <c r="AK7" t="str">
        <f t="shared" ref="AK7" si="70">CONCATENATE(AK37,"_",AK40)</f>
        <v>W80_S0d</v>
      </c>
      <c r="AL7" t="str">
        <f t="shared" ref="AL7:AM7" si="71">CONCATENATE(AL37,"_",AL40)</f>
        <v>W80_S0d</v>
      </c>
      <c r="AM7" t="str">
        <f t="shared" si="71"/>
        <v>W80_S0d</v>
      </c>
      <c r="AN7" t="str">
        <f t="shared" ref="AN7" si="72">CONCATENATE(AN37,"_",AN40)</f>
        <v>W80_S0d</v>
      </c>
      <c r="AO7" t="str">
        <f t="shared" ref="AO7:AP7" si="73">CONCATENATE(AO37,"_",AO40)</f>
        <v>W80_S0d</v>
      </c>
      <c r="AP7" t="str">
        <f t="shared" si="73"/>
        <v>W80_S0d</v>
      </c>
      <c r="AQ7" t="str">
        <f t="shared" ref="AQ7:AV7" si="74">CONCATENATE(AQ37,"_",AQ40)</f>
        <v>W80_S0d</v>
      </c>
      <c r="AR7" t="str">
        <f t="shared" si="74"/>
        <v>W80_S0d</v>
      </c>
      <c r="AS7" t="str">
        <f t="shared" ref="AS7:AT7" si="75">CONCATENATE(AS37,"_",AS40)</f>
        <v>W80_S0d</v>
      </c>
      <c r="AT7" t="str">
        <f t="shared" si="75"/>
        <v>W80_S0d</v>
      </c>
      <c r="AU7" t="str">
        <f t="shared" ref="AU7" si="76">CONCATENATE(AU37,"_",AU40)</f>
        <v>W80_S0d</v>
      </c>
      <c r="AV7" t="str">
        <f t="shared" si="74"/>
        <v>W80_S0d</v>
      </c>
      <c r="AW7" t="str">
        <f t="shared" ref="AW7:AX7" si="77">CONCATENATE(AW37,"_",AW40)</f>
        <v>W80_S0d</v>
      </c>
      <c r="AX7" t="str">
        <f t="shared" si="77"/>
        <v>W80_S0d</v>
      </c>
      <c r="AY7" t="str">
        <f>CONCATENATE(AY37,"_",AY40)</f>
        <v>W80_S0d</v>
      </c>
      <c r="AZ7" t="str">
        <f>CONCATENATE(AZ37,"_",AZ40)</f>
        <v>W80_S0d</v>
      </c>
      <c r="BA7" t="str">
        <f>CONCATENATE(BA37,"_",BA40)</f>
        <v>W80_S0d</v>
      </c>
      <c r="BB7" t="str">
        <f>CONCATENATE(BB37,"_",BB40)</f>
        <v>W80_S0d</v>
      </c>
    </row>
    <row r="8" spans="1:54" x14ac:dyDescent="0.2">
      <c r="A8" t="s">
        <v>246</v>
      </c>
      <c r="C8" t="str">
        <f>CONCATENATE(C11,C29,C33,C25)</f>
        <v>coallc</v>
      </c>
      <c r="D8" t="str">
        <f t="shared" ref="D8:AD8" si="78">CONCATENATE(D11,D29,D33,D25)</f>
        <v>coalhc</v>
      </c>
      <c r="E8" t="str">
        <f t="shared" si="78"/>
        <v>coallc</v>
      </c>
      <c r="F8" t="str">
        <f t="shared" ref="F8" si="79">CONCATENATE(F11,F29,F33,F25)</f>
        <v>coallc</v>
      </c>
      <c r="G8" t="str">
        <f t="shared" si="78"/>
        <v>coallc</v>
      </c>
      <c r="H8" t="str">
        <f t="shared" si="78"/>
        <v>coallc</v>
      </c>
      <c r="I8" t="str">
        <f t="shared" ref="I8:K8" si="80">CONCATENATE(I11,I29,I33,I25)</f>
        <v>coallc</v>
      </c>
      <c r="J8" t="str">
        <f t="shared" si="78"/>
        <v>coallc</v>
      </c>
      <c r="K8" t="str">
        <f t="shared" si="80"/>
        <v>coallc</v>
      </c>
      <c r="L8" t="str">
        <f t="shared" si="78"/>
        <v>coallc</v>
      </c>
      <c r="M8" t="str">
        <f t="shared" si="78"/>
        <v>coallc</v>
      </c>
      <c r="N8" t="str">
        <f t="shared" ref="N8:O8" si="81">CONCATENATE(N11,N29,N33,N25)</f>
        <v>coallc</v>
      </c>
      <c r="O8" t="str">
        <f t="shared" si="81"/>
        <v>coalhc</v>
      </c>
      <c r="P8" t="str">
        <f t="shared" si="78"/>
        <v>coallcW10lc</v>
      </c>
      <c r="Q8" t="str">
        <f t="shared" si="78"/>
        <v>coallcW20lc</v>
      </c>
      <c r="R8" t="str">
        <f t="shared" si="78"/>
        <v>coallcW30lc</v>
      </c>
      <c r="S8" t="str">
        <f t="shared" si="78"/>
        <v>coallcS10lc</v>
      </c>
      <c r="T8" t="str">
        <f t="shared" si="78"/>
        <v>coallcS20lc</v>
      </c>
      <c r="U8" t="str">
        <f t="shared" si="78"/>
        <v>coallcS30lc</v>
      </c>
      <c r="V8" t="str">
        <f t="shared" si="78"/>
        <v>coallcW30lcS30lc</v>
      </c>
      <c r="W8" t="str">
        <f t="shared" si="78"/>
        <v>coallc</v>
      </c>
      <c r="X8" t="str">
        <f t="shared" si="78"/>
        <v>coallc</v>
      </c>
      <c r="Y8" t="str">
        <f t="shared" si="78"/>
        <v>coallc</v>
      </c>
      <c r="Z8" t="str">
        <f t="shared" si="78"/>
        <v>coallc</v>
      </c>
      <c r="AA8" t="str">
        <f t="shared" si="78"/>
        <v>coallcB25lc</v>
      </c>
      <c r="AB8" t="str">
        <f t="shared" si="78"/>
        <v>coallcB50lc</v>
      </c>
      <c r="AC8" t="str">
        <f t="shared" si="78"/>
        <v>coallcB25lc</v>
      </c>
      <c r="AD8" t="str">
        <f t="shared" si="78"/>
        <v>coallcB50lc</v>
      </c>
      <c r="AE8" t="str">
        <f t="shared" ref="AE8:AI8" si="82">CONCATENATE(AE11,AE29,AE33,AE25)</f>
        <v>coallcB50lc</v>
      </c>
      <c r="AF8" t="str">
        <f t="shared" ref="AF8:AH8" si="83">CONCATENATE(AF11,AF29,AF33,AF25)</f>
        <v>coallcW30lcB50lc</v>
      </c>
      <c r="AG8" t="str">
        <f t="shared" ref="AG8" si="84">CONCATENATE(AG11,AG29,AG33,AG25)</f>
        <v>coallcS30lcB50lc</v>
      </c>
      <c r="AH8" t="str">
        <f t="shared" si="83"/>
        <v>coallcW30lcS30lcB50lc</v>
      </c>
      <c r="AI8" t="str">
        <f t="shared" si="82"/>
        <v>coalhcB50lc</v>
      </c>
      <c r="AJ8" t="str">
        <f t="shared" ref="AJ8:AM8" si="85">CONCATENATE(AJ11,AJ29,AJ33,AJ25)</f>
        <v>coalhcW30lcB50lc</v>
      </c>
      <c r="AK8" t="str">
        <f t="shared" ref="AK8" si="86">CONCATENATE(AK11,AK29,AK33,AK25)</f>
        <v>coalhcS30lcB50lc</v>
      </c>
      <c r="AL8" t="str">
        <f t="shared" si="85"/>
        <v>coalhcW30lcS30lcB50lc</v>
      </c>
      <c r="AM8" t="str">
        <f t="shared" si="85"/>
        <v>coalhcW30lcS30lc</v>
      </c>
      <c r="AN8" t="str">
        <f t="shared" ref="AN8" si="87">CONCATENATE(AN11,AN29,AN33,AN25)</f>
        <v>coallcW30lc</v>
      </c>
      <c r="AO8" t="str">
        <f t="shared" ref="AO8:AP8" si="88">CONCATENATE(AO11,AO29,AO33,AO25)</f>
        <v>coallcS30lc</v>
      </c>
      <c r="AP8" t="str">
        <f t="shared" si="88"/>
        <v>coallcW30lcS30lc</v>
      </c>
      <c r="AQ8" t="str">
        <f t="shared" ref="AQ8:AV8" si="89">CONCATENATE(AQ11,AQ29,AQ33,AQ25)</f>
        <v>coallc</v>
      </c>
      <c r="AR8" t="str">
        <f t="shared" si="89"/>
        <v>coallcB50lc</v>
      </c>
      <c r="AS8" t="str">
        <f t="shared" ref="AS8:AT8" si="90">CONCATENATE(AS11,AS29,AS33,AS25)</f>
        <v>coallcW30lcS30lc</v>
      </c>
      <c r="AT8" t="str">
        <f t="shared" si="90"/>
        <v>coallcW30lcS30lcB50lc</v>
      </c>
      <c r="AU8" t="str">
        <f t="shared" ref="AU8" si="91">CONCATENATE(AU11,AU29,AU33,AU25)</f>
        <v>coallcS30lcB50lc</v>
      </c>
      <c r="AV8" t="str">
        <f t="shared" si="89"/>
        <v>coalhc</v>
      </c>
      <c r="AW8" t="str">
        <f t="shared" ref="AW8:AX8" si="92">CONCATENATE(AW11,AW29,AW33,AW25)</f>
        <v>coalhcW30lcS30lc</v>
      </c>
      <c r="AX8" t="str">
        <f t="shared" si="92"/>
        <v>coalhcW30lcS30lcB50lc</v>
      </c>
      <c r="AY8" t="str">
        <f>CONCATENATE(AY11,AY29,AY33,AY25)</f>
        <v>coallc</v>
      </c>
      <c r="AZ8" t="str">
        <f>CONCATENATE(AZ11,AZ29,AZ33,AZ25)</f>
        <v>coallc</v>
      </c>
      <c r="BA8" t="str">
        <f>CONCATENATE(BA11,BA29,BA33,BA25)</f>
        <v>coallc</v>
      </c>
      <c r="BB8" t="str">
        <f>CONCATENATE(BB11,BB29,BB33,BB25)</f>
        <v>coallc</v>
      </c>
    </row>
    <row r="9" spans="1:54" x14ac:dyDescent="0.2">
      <c r="A9" s="21" t="s">
        <v>247</v>
      </c>
      <c r="B9" s="21" t="s">
        <v>248</v>
      </c>
      <c r="C9" s="21" t="s">
        <v>249</v>
      </c>
      <c r="D9" s="21" t="s">
        <v>250</v>
      </c>
      <c r="E9" s="21" t="s">
        <v>249</v>
      </c>
      <c r="F9" s="21" t="s">
        <v>249</v>
      </c>
      <c r="G9" s="21" t="s">
        <v>249</v>
      </c>
      <c r="H9" s="21" t="s">
        <v>249</v>
      </c>
      <c r="I9" s="21" t="s">
        <v>249</v>
      </c>
      <c r="J9" s="21" t="s">
        <v>249</v>
      </c>
      <c r="K9" s="21" t="s">
        <v>249</v>
      </c>
      <c r="L9" s="21" t="s">
        <v>249</v>
      </c>
      <c r="M9" s="21" t="s">
        <v>249</v>
      </c>
      <c r="N9" s="21" t="s">
        <v>249</v>
      </c>
      <c r="O9" s="21" t="s">
        <v>250</v>
      </c>
      <c r="P9" s="21" t="s">
        <v>249</v>
      </c>
      <c r="Q9" s="21" t="s">
        <v>249</v>
      </c>
      <c r="R9" s="21" t="s">
        <v>249</v>
      </c>
      <c r="S9" s="21" t="s">
        <v>249</v>
      </c>
      <c r="T9" s="21" t="s">
        <v>249</v>
      </c>
      <c r="U9" s="21" t="s">
        <v>249</v>
      </c>
      <c r="V9" s="21" t="s">
        <v>249</v>
      </c>
      <c r="W9" s="21" t="s">
        <v>249</v>
      </c>
      <c r="X9" s="21" t="s">
        <v>249</v>
      </c>
      <c r="Y9" s="21" t="s">
        <v>249</v>
      </c>
      <c r="Z9" s="21" t="s">
        <v>249</v>
      </c>
      <c r="AA9" s="21" t="s">
        <v>249</v>
      </c>
      <c r="AB9" s="21" t="s">
        <v>249</v>
      </c>
      <c r="AC9" s="21" t="s">
        <v>249</v>
      </c>
      <c r="AD9" s="21" t="s">
        <v>249</v>
      </c>
      <c r="AE9" s="21" t="s">
        <v>249</v>
      </c>
      <c r="AF9" s="21" t="s">
        <v>249</v>
      </c>
      <c r="AG9" s="21" t="s">
        <v>249</v>
      </c>
      <c r="AH9" s="21" t="s">
        <v>249</v>
      </c>
      <c r="AI9" s="21" t="s">
        <v>250</v>
      </c>
      <c r="AJ9" s="21" t="s">
        <v>250</v>
      </c>
      <c r="AK9" s="21" t="s">
        <v>250</v>
      </c>
      <c r="AL9" s="21" t="s">
        <v>250</v>
      </c>
      <c r="AM9" s="21" t="s">
        <v>250</v>
      </c>
      <c r="AN9" s="21" t="s">
        <v>249</v>
      </c>
      <c r="AO9" s="21" t="s">
        <v>249</v>
      </c>
      <c r="AP9" s="21" t="s">
        <v>249</v>
      </c>
      <c r="AQ9" s="21" t="s">
        <v>249</v>
      </c>
      <c r="AR9" s="21" t="s">
        <v>249</v>
      </c>
      <c r="AS9" s="21" t="s">
        <v>249</v>
      </c>
      <c r="AT9" s="21" t="s">
        <v>249</v>
      </c>
      <c r="AU9" s="21" t="s">
        <v>249</v>
      </c>
      <c r="AV9" s="21" t="s">
        <v>250</v>
      </c>
      <c r="AW9" s="21" t="s">
        <v>250</v>
      </c>
      <c r="AX9" s="21" t="s">
        <v>250</v>
      </c>
      <c r="AY9" s="21" t="s">
        <v>249</v>
      </c>
      <c r="AZ9" s="21" t="s">
        <v>249</v>
      </c>
      <c r="BA9" s="21" t="s">
        <v>249</v>
      </c>
      <c r="BB9" s="21" t="s">
        <v>249</v>
      </c>
    </row>
    <row r="10" spans="1:54" x14ac:dyDescent="0.2">
      <c r="A10" t="s">
        <v>251</v>
      </c>
      <c r="C10" t="str">
        <f>CONCATENATE("C", LEFT(C9,1), "c")</f>
        <v>Clc</v>
      </c>
      <c r="D10" t="str">
        <f t="shared" ref="D10:Y10" si="93">CONCATENATE("C", LEFT(D9,1), "c")</f>
        <v>Chc</v>
      </c>
      <c r="E10" t="str">
        <f t="shared" si="93"/>
        <v>Clc</v>
      </c>
      <c r="F10" t="str">
        <f t="shared" ref="F10" si="94">CONCATENATE("C", LEFT(F9,1), "c")</f>
        <v>Clc</v>
      </c>
      <c r="G10" t="str">
        <f t="shared" si="93"/>
        <v>Clc</v>
      </c>
      <c r="H10" t="str">
        <f t="shared" si="93"/>
        <v>Clc</v>
      </c>
      <c r="I10" t="str">
        <f t="shared" ref="I10:K10" si="95">CONCATENATE("C", LEFT(I9,1), "c")</f>
        <v>Clc</v>
      </c>
      <c r="J10" t="str">
        <f t="shared" si="93"/>
        <v>Clc</v>
      </c>
      <c r="K10" t="str">
        <f t="shared" si="95"/>
        <v>Clc</v>
      </c>
      <c r="L10" t="str">
        <f t="shared" si="93"/>
        <v>Clc</v>
      </c>
      <c r="M10" t="str">
        <f t="shared" si="93"/>
        <v>Clc</v>
      </c>
      <c r="N10" t="str">
        <f t="shared" ref="N10:O10" si="96">CONCATENATE("C", LEFT(N9,1), "c")</f>
        <v>Clc</v>
      </c>
      <c r="O10" t="str">
        <f t="shared" si="96"/>
        <v>Chc</v>
      </c>
      <c r="P10" t="str">
        <f t="shared" si="93"/>
        <v>Clc</v>
      </c>
      <c r="Q10" t="str">
        <f t="shared" si="93"/>
        <v>Clc</v>
      </c>
      <c r="R10" t="str">
        <f t="shared" si="93"/>
        <v>Clc</v>
      </c>
      <c r="S10" t="str">
        <f t="shared" si="93"/>
        <v>Clc</v>
      </c>
      <c r="T10" t="str">
        <f t="shared" si="93"/>
        <v>Clc</v>
      </c>
      <c r="U10" t="str">
        <f t="shared" si="93"/>
        <v>Clc</v>
      </c>
      <c r="V10" t="str">
        <f t="shared" si="93"/>
        <v>Clc</v>
      </c>
      <c r="W10" t="str">
        <f t="shared" si="93"/>
        <v>Clc</v>
      </c>
      <c r="X10" t="str">
        <f t="shared" si="93"/>
        <v>Clc</v>
      </c>
      <c r="Y10" t="str">
        <f t="shared" si="93"/>
        <v>Clc</v>
      </c>
      <c r="Z10" t="str">
        <f t="shared" ref="Z10:AE10" si="97">CONCATENATE("C", LEFT(Z9,1), "c")</f>
        <v>Clc</v>
      </c>
      <c r="AA10" t="str">
        <f t="shared" si="97"/>
        <v>Clc</v>
      </c>
      <c r="AB10" t="str">
        <f t="shared" si="97"/>
        <v>Clc</v>
      </c>
      <c r="AC10" t="str">
        <f t="shared" si="97"/>
        <v>Clc</v>
      </c>
      <c r="AD10" t="str">
        <f t="shared" si="97"/>
        <v>Clc</v>
      </c>
      <c r="AE10" t="str">
        <f t="shared" si="97"/>
        <v>Clc</v>
      </c>
      <c r="AF10" t="str">
        <f t="shared" ref="AF10:AH10" si="98">CONCATENATE("C", LEFT(AF9,1), "c")</f>
        <v>Clc</v>
      </c>
      <c r="AG10" t="str">
        <f t="shared" ref="AG10" si="99">CONCATENATE("C", LEFT(AG9,1), "c")</f>
        <v>Clc</v>
      </c>
      <c r="AH10" t="str">
        <f t="shared" si="98"/>
        <v>Clc</v>
      </c>
      <c r="AI10" t="str">
        <f t="shared" ref="AI10:AJ10" si="100">CONCATENATE("C", LEFT(AI9,1), "c")</f>
        <v>Chc</v>
      </c>
      <c r="AJ10" t="str">
        <f t="shared" si="100"/>
        <v>Chc</v>
      </c>
      <c r="AK10" t="str">
        <f t="shared" ref="AK10" si="101">CONCATENATE("C", LEFT(AK9,1), "c")</f>
        <v>Chc</v>
      </c>
      <c r="AL10" t="str">
        <f t="shared" ref="AL10:AM10" si="102">CONCATENATE("C", LEFT(AL9,1), "c")</f>
        <v>Chc</v>
      </c>
      <c r="AM10" t="str">
        <f t="shared" si="102"/>
        <v>Chc</v>
      </c>
      <c r="AN10" t="str">
        <f t="shared" ref="AN10" si="103">CONCATENATE("C", LEFT(AN9,1), "c")</f>
        <v>Clc</v>
      </c>
      <c r="AO10" t="str">
        <f t="shared" ref="AO10:AP10" si="104">CONCATENATE("C", LEFT(AO9,1), "c")</f>
        <v>Clc</v>
      </c>
      <c r="AP10" t="str">
        <f t="shared" si="104"/>
        <v>Clc</v>
      </c>
      <c r="AQ10" t="str">
        <f t="shared" ref="AQ10:AV10" si="105">CONCATENATE("C", LEFT(AQ9,1), "c")</f>
        <v>Clc</v>
      </c>
      <c r="AR10" t="str">
        <f t="shared" si="105"/>
        <v>Clc</v>
      </c>
      <c r="AS10" t="str">
        <f t="shared" ref="AS10:AT10" si="106">CONCATENATE("C", LEFT(AS9,1), "c")</f>
        <v>Clc</v>
      </c>
      <c r="AT10" t="str">
        <f t="shared" si="106"/>
        <v>Clc</v>
      </c>
      <c r="AU10" t="str">
        <f t="shared" ref="AU10" si="107">CONCATENATE("C", LEFT(AU9,1), "c")</f>
        <v>Clc</v>
      </c>
      <c r="AV10" t="str">
        <f t="shared" si="105"/>
        <v>Chc</v>
      </c>
      <c r="AW10" t="str">
        <f t="shared" ref="AW10:AX10" si="108">CONCATENATE("C", LEFT(AW9,1), "c")</f>
        <v>Chc</v>
      </c>
      <c r="AX10" t="str">
        <f t="shared" si="108"/>
        <v>Chc</v>
      </c>
      <c r="AY10" t="str">
        <f>CONCATENATE("C", LEFT(AY9,1), "c")</f>
        <v>Clc</v>
      </c>
      <c r="AZ10" t="str">
        <f>CONCATENATE("C", LEFT(AZ9,1), "c")</f>
        <v>Clc</v>
      </c>
      <c r="BA10" t="str">
        <f>CONCATENATE("C", LEFT(BA9,1), "c")</f>
        <v>Clc</v>
      </c>
      <c r="BB10" t="str">
        <f>CONCATENATE("C", LEFT(BB9,1), "c")</f>
        <v>Clc</v>
      </c>
    </row>
    <row r="11" spans="1:54" x14ac:dyDescent="0.2">
      <c r="A11" t="s">
        <v>252</v>
      </c>
      <c r="C11" t="str">
        <f t="shared" ref="C11:Y11" si="109">CONCATENATE("coal",LEFT(C9,1), "c")</f>
        <v>coallc</v>
      </c>
      <c r="D11" t="str">
        <f t="shared" si="109"/>
        <v>coalhc</v>
      </c>
      <c r="E11" t="str">
        <f t="shared" si="109"/>
        <v>coallc</v>
      </c>
      <c r="F11" t="str">
        <f t="shared" ref="F11" si="110">CONCATENATE("coal",LEFT(F9,1), "c")</f>
        <v>coallc</v>
      </c>
      <c r="G11" t="str">
        <f t="shared" si="109"/>
        <v>coallc</v>
      </c>
      <c r="H11" t="str">
        <f t="shared" si="109"/>
        <v>coallc</v>
      </c>
      <c r="I11" t="str">
        <f t="shared" ref="I11:K11" si="111">CONCATENATE("coal",LEFT(I9,1), "c")</f>
        <v>coallc</v>
      </c>
      <c r="J11" t="str">
        <f t="shared" si="109"/>
        <v>coallc</v>
      </c>
      <c r="K11" t="str">
        <f t="shared" si="111"/>
        <v>coallc</v>
      </c>
      <c r="L11" t="str">
        <f t="shared" si="109"/>
        <v>coallc</v>
      </c>
      <c r="M11" t="str">
        <f t="shared" si="109"/>
        <v>coallc</v>
      </c>
      <c r="N11" t="str">
        <f t="shared" ref="N11:O11" si="112">CONCATENATE("coal",LEFT(N9,1), "c")</f>
        <v>coallc</v>
      </c>
      <c r="O11" t="str">
        <f t="shared" si="112"/>
        <v>coalhc</v>
      </c>
      <c r="P11" t="str">
        <f t="shared" si="109"/>
        <v>coallc</v>
      </c>
      <c r="Q11" t="str">
        <f t="shared" si="109"/>
        <v>coallc</v>
      </c>
      <c r="R11" t="str">
        <f t="shared" si="109"/>
        <v>coallc</v>
      </c>
      <c r="S11" t="str">
        <f t="shared" si="109"/>
        <v>coallc</v>
      </c>
      <c r="T11" t="str">
        <f t="shared" si="109"/>
        <v>coallc</v>
      </c>
      <c r="U11" t="str">
        <f t="shared" si="109"/>
        <v>coallc</v>
      </c>
      <c r="V11" t="str">
        <f t="shared" si="109"/>
        <v>coallc</v>
      </c>
      <c r="W11" t="str">
        <f t="shared" si="109"/>
        <v>coallc</v>
      </c>
      <c r="X11" t="str">
        <f t="shared" si="109"/>
        <v>coallc</v>
      </c>
      <c r="Y11" t="str">
        <f t="shared" si="109"/>
        <v>coallc</v>
      </c>
      <c r="Z11" t="str">
        <f t="shared" ref="Z11:AE11" si="113">CONCATENATE("coal",LEFT(Z9,1), "c")</f>
        <v>coallc</v>
      </c>
      <c r="AA11" t="str">
        <f t="shared" si="113"/>
        <v>coallc</v>
      </c>
      <c r="AB11" t="str">
        <f t="shared" si="113"/>
        <v>coallc</v>
      </c>
      <c r="AC11" t="str">
        <f t="shared" si="113"/>
        <v>coallc</v>
      </c>
      <c r="AD11" t="str">
        <f t="shared" si="113"/>
        <v>coallc</v>
      </c>
      <c r="AE11" t="str">
        <f t="shared" si="113"/>
        <v>coallc</v>
      </c>
      <c r="AF11" t="str">
        <f t="shared" ref="AF11:AH11" si="114">CONCATENATE("coal",LEFT(AF9,1), "c")</f>
        <v>coallc</v>
      </c>
      <c r="AG11" t="str">
        <f t="shared" ref="AG11" si="115">CONCATENATE("coal",LEFT(AG9,1), "c")</f>
        <v>coallc</v>
      </c>
      <c r="AH11" t="str">
        <f t="shared" si="114"/>
        <v>coallc</v>
      </c>
      <c r="AI11" t="str">
        <f t="shared" ref="AI11:AJ11" si="116">CONCATENATE("coal",LEFT(AI9,1), "c")</f>
        <v>coalhc</v>
      </c>
      <c r="AJ11" t="str">
        <f t="shared" si="116"/>
        <v>coalhc</v>
      </c>
      <c r="AK11" t="str">
        <f t="shared" ref="AK11" si="117">CONCATENATE("coal",LEFT(AK9,1), "c")</f>
        <v>coalhc</v>
      </c>
      <c r="AL11" t="str">
        <f t="shared" ref="AL11:AM11" si="118">CONCATENATE("coal",LEFT(AL9,1), "c")</f>
        <v>coalhc</v>
      </c>
      <c r="AM11" t="str">
        <f t="shared" si="118"/>
        <v>coalhc</v>
      </c>
      <c r="AN11" t="str">
        <f t="shared" ref="AN11" si="119">CONCATENATE("coal",LEFT(AN9,1), "c")</f>
        <v>coallc</v>
      </c>
      <c r="AO11" t="str">
        <f t="shared" ref="AO11:AP11" si="120">CONCATENATE("coal",LEFT(AO9,1), "c")</f>
        <v>coallc</v>
      </c>
      <c r="AP11" t="str">
        <f t="shared" si="120"/>
        <v>coallc</v>
      </c>
      <c r="AQ11" t="str">
        <f t="shared" ref="AQ11:AV11" si="121">CONCATENATE("coal",LEFT(AQ9,1), "c")</f>
        <v>coallc</v>
      </c>
      <c r="AR11" t="str">
        <f t="shared" si="121"/>
        <v>coallc</v>
      </c>
      <c r="AS11" t="str">
        <f t="shared" ref="AS11:AT11" si="122">CONCATENATE("coal",LEFT(AS9,1), "c")</f>
        <v>coallc</v>
      </c>
      <c r="AT11" t="str">
        <f t="shared" si="122"/>
        <v>coallc</v>
      </c>
      <c r="AU11" t="str">
        <f t="shared" ref="AU11" si="123">CONCATENATE("coal",LEFT(AU9,1), "c")</f>
        <v>coallc</v>
      </c>
      <c r="AV11" t="str">
        <f t="shared" si="121"/>
        <v>coalhc</v>
      </c>
      <c r="AW11" t="str">
        <f t="shared" ref="AW11:AX11" si="124">CONCATENATE("coal",LEFT(AW9,1), "c")</f>
        <v>coalhc</v>
      </c>
      <c r="AX11" t="str">
        <f t="shared" si="124"/>
        <v>coalhc</v>
      </c>
      <c r="AY11" t="str">
        <f>CONCATENATE("coal",LEFT(AY9,1), "c")</f>
        <v>coallc</v>
      </c>
      <c r="AZ11" t="str">
        <f>CONCATENATE("coal",LEFT(AZ9,1), "c")</f>
        <v>coallc</v>
      </c>
      <c r="BA11" t="str">
        <f>CONCATENATE("coal",LEFT(BA9,1), "c")</f>
        <v>coallc</v>
      </c>
      <c r="BB11" t="str">
        <f>CONCATENATE("coal",LEFT(BB9,1), "c")</f>
        <v>coallc</v>
      </c>
    </row>
    <row r="12" spans="1:54" x14ac:dyDescent="0.2">
      <c r="A12" s="21" t="s">
        <v>253</v>
      </c>
      <c r="B12" s="21" t="s">
        <v>254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  <c r="AH12" s="21">
        <v>70</v>
      </c>
      <c r="AI12" s="21">
        <v>70</v>
      </c>
      <c r="AJ12" s="21">
        <v>70</v>
      </c>
      <c r="AK12" s="21">
        <v>70</v>
      </c>
      <c r="AL12" s="21">
        <v>70</v>
      </c>
      <c r="AM12" s="21">
        <v>70</v>
      </c>
      <c r="AN12" s="21">
        <v>55</v>
      </c>
      <c r="AO12" s="21">
        <v>55</v>
      </c>
      <c r="AP12" s="21">
        <v>55</v>
      </c>
      <c r="AQ12" s="21">
        <v>55</v>
      </c>
      <c r="AR12" s="21">
        <v>55</v>
      </c>
      <c r="AS12" s="21">
        <v>55</v>
      </c>
      <c r="AT12" s="21">
        <v>55</v>
      </c>
      <c r="AU12" s="21">
        <v>55</v>
      </c>
      <c r="AV12" s="21">
        <v>55</v>
      </c>
      <c r="AW12" s="21">
        <v>55</v>
      </c>
      <c r="AX12" s="21">
        <v>55</v>
      </c>
      <c r="AY12" s="21">
        <v>70</v>
      </c>
      <c r="AZ12" s="21">
        <v>70</v>
      </c>
      <c r="BA12" s="21">
        <v>70</v>
      </c>
      <c r="BB12" s="21">
        <v>70</v>
      </c>
    </row>
    <row r="13" spans="1:54" x14ac:dyDescent="0.2">
      <c r="A13" t="s">
        <v>255</v>
      </c>
      <c r="C13" t="str">
        <f>CONCATENATE("C",C12,"m")</f>
        <v>C70m</v>
      </c>
      <c r="D13" t="str">
        <f t="shared" ref="D13:Y13" si="125">CONCATENATE("C",D12,"m")</f>
        <v>C70m</v>
      </c>
      <c r="E13" t="str">
        <f t="shared" si="125"/>
        <v>C55m</v>
      </c>
      <c r="F13" t="str">
        <f t="shared" ref="F13" si="126">CONCATENATE("C",F12,"m")</f>
        <v>C0m</v>
      </c>
      <c r="G13" t="str">
        <f t="shared" si="125"/>
        <v>C70m</v>
      </c>
      <c r="H13" t="str">
        <f t="shared" si="125"/>
        <v>C70m</v>
      </c>
      <c r="I13" t="str">
        <f t="shared" ref="I13:K13" si="127">CONCATENATE("C",I12,"m")</f>
        <v>C70m</v>
      </c>
      <c r="J13" t="str">
        <f t="shared" si="125"/>
        <v>C70m</v>
      </c>
      <c r="K13" t="str">
        <f t="shared" si="127"/>
        <v>C70m</v>
      </c>
      <c r="L13" t="str">
        <f t="shared" si="125"/>
        <v>C70m</v>
      </c>
      <c r="M13" t="str">
        <f t="shared" si="125"/>
        <v>C70m</v>
      </c>
      <c r="N13" t="str">
        <f t="shared" ref="N13:O13" si="128">CONCATENATE("C",N12,"m")</f>
        <v>C70m</v>
      </c>
      <c r="O13" t="str">
        <f t="shared" si="128"/>
        <v>C70m</v>
      </c>
      <c r="P13" t="str">
        <f t="shared" si="125"/>
        <v>C70m</v>
      </c>
      <c r="Q13" t="str">
        <f t="shared" si="125"/>
        <v>C70m</v>
      </c>
      <c r="R13" t="str">
        <f t="shared" si="125"/>
        <v>C70m</v>
      </c>
      <c r="S13" t="str">
        <f t="shared" si="125"/>
        <v>C70m</v>
      </c>
      <c r="T13" t="str">
        <f t="shared" si="125"/>
        <v>C70m</v>
      </c>
      <c r="U13" t="str">
        <f t="shared" si="125"/>
        <v>C70m</v>
      </c>
      <c r="V13" t="str">
        <f t="shared" si="125"/>
        <v>C70m</v>
      </c>
      <c r="W13" t="str">
        <f t="shared" si="125"/>
        <v>C70m</v>
      </c>
      <c r="X13" t="str">
        <f t="shared" si="125"/>
        <v>C70m</v>
      </c>
      <c r="Y13" t="str">
        <f t="shared" si="125"/>
        <v>C70m</v>
      </c>
      <c r="Z13" t="str">
        <f t="shared" ref="Z13:AE13" si="129">CONCATENATE("C",Z12,"m")</f>
        <v>C70m</v>
      </c>
      <c r="AA13" t="str">
        <f t="shared" si="129"/>
        <v>C70m</v>
      </c>
      <c r="AB13" t="str">
        <f t="shared" si="129"/>
        <v>C70m</v>
      </c>
      <c r="AC13" t="str">
        <f t="shared" si="129"/>
        <v>C70m</v>
      </c>
      <c r="AD13" t="str">
        <f t="shared" si="129"/>
        <v>C70m</v>
      </c>
      <c r="AE13" t="str">
        <f t="shared" si="129"/>
        <v>C70m</v>
      </c>
      <c r="AF13" t="str">
        <f t="shared" ref="AF13:AH13" si="130">CONCATENATE("C",AF12,"m")</f>
        <v>C70m</v>
      </c>
      <c r="AG13" t="str">
        <f t="shared" ref="AG13" si="131">CONCATENATE("C",AG12,"m")</f>
        <v>C70m</v>
      </c>
      <c r="AH13" t="str">
        <f t="shared" si="130"/>
        <v>C70m</v>
      </c>
      <c r="AI13" t="str">
        <f t="shared" ref="AI13:AJ13" si="132">CONCATENATE("C",AI12,"m")</f>
        <v>C70m</v>
      </c>
      <c r="AJ13" t="str">
        <f t="shared" si="132"/>
        <v>C70m</v>
      </c>
      <c r="AK13" t="str">
        <f t="shared" ref="AK13" si="133">CONCATENATE("C",AK12,"m")</f>
        <v>C70m</v>
      </c>
      <c r="AL13" t="str">
        <f t="shared" ref="AL13:AM13" si="134">CONCATENATE("C",AL12,"m")</f>
        <v>C70m</v>
      </c>
      <c r="AM13" t="str">
        <f t="shared" si="134"/>
        <v>C70m</v>
      </c>
      <c r="AN13" t="str">
        <f t="shared" ref="AN13" si="135">CONCATENATE("C",AN12,"m")</f>
        <v>C55m</v>
      </c>
      <c r="AO13" t="str">
        <f t="shared" ref="AO13:AP13" si="136">CONCATENATE("C",AO12,"m")</f>
        <v>C55m</v>
      </c>
      <c r="AP13" t="str">
        <f t="shared" si="136"/>
        <v>C55m</v>
      </c>
      <c r="AQ13" t="str">
        <f t="shared" ref="AQ13:AV13" si="137">CONCATENATE("C",AQ12,"m")</f>
        <v>C55m</v>
      </c>
      <c r="AR13" t="str">
        <f t="shared" si="137"/>
        <v>C55m</v>
      </c>
      <c r="AS13" t="str">
        <f t="shared" ref="AS13:AT13" si="138">CONCATENATE("C",AS12,"m")</f>
        <v>C55m</v>
      </c>
      <c r="AT13" t="str">
        <f t="shared" si="138"/>
        <v>C55m</v>
      </c>
      <c r="AU13" t="str">
        <f t="shared" ref="AU13" si="139">CONCATENATE("C",AU12,"m")</f>
        <v>C55m</v>
      </c>
      <c r="AV13" t="str">
        <f t="shared" si="137"/>
        <v>C55m</v>
      </c>
      <c r="AW13" t="str">
        <f t="shared" ref="AW13:AX13" si="140">CONCATENATE("C",AW12,"m")</f>
        <v>C55m</v>
      </c>
      <c r="AX13" t="str">
        <f t="shared" si="140"/>
        <v>C55m</v>
      </c>
      <c r="AY13" t="str">
        <f>CONCATENATE("C",AY12,"m")</f>
        <v>C70m</v>
      </c>
      <c r="AZ13" t="str">
        <f>CONCATENATE("C",AZ12,"m")</f>
        <v>C70m</v>
      </c>
      <c r="BA13" t="str">
        <f>CONCATENATE("C",BA12,"m")</f>
        <v>C70m</v>
      </c>
      <c r="BB13" t="str">
        <f>CONCATENATE("C",BB12,"m")</f>
        <v>C70m</v>
      </c>
    </row>
    <row r="14" spans="1:54" x14ac:dyDescent="0.2">
      <c r="A14" s="21" t="s">
        <v>468</v>
      </c>
      <c r="B14" s="21" t="s">
        <v>470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  <c r="AH14" s="21">
        <v>50</v>
      </c>
      <c r="AI14" s="21">
        <v>50</v>
      </c>
      <c r="AJ14" s="21">
        <v>50</v>
      </c>
      <c r="AK14" s="21">
        <v>50</v>
      </c>
      <c r="AL14" s="21">
        <v>50</v>
      </c>
      <c r="AM14" s="21">
        <v>50</v>
      </c>
      <c r="AN14" s="21">
        <v>50</v>
      </c>
      <c r="AO14" s="21">
        <v>50</v>
      </c>
      <c r="AP14" s="21">
        <v>50</v>
      </c>
      <c r="AQ14" s="21">
        <v>50</v>
      </c>
      <c r="AR14" s="21">
        <v>50</v>
      </c>
      <c r="AS14" s="21">
        <v>50</v>
      </c>
      <c r="AT14" s="21">
        <v>50</v>
      </c>
      <c r="AU14" s="21">
        <v>50</v>
      </c>
      <c r="AV14" s="21">
        <v>50</v>
      </c>
      <c r="AW14" s="21">
        <v>50</v>
      </c>
      <c r="AX14" s="21">
        <v>50</v>
      </c>
      <c r="AY14" s="21">
        <v>50</v>
      </c>
      <c r="AZ14" s="21">
        <v>50</v>
      </c>
      <c r="BA14" s="21">
        <v>50</v>
      </c>
      <c r="BB14" s="21">
        <v>50</v>
      </c>
    </row>
    <row r="15" spans="1:54" x14ac:dyDescent="0.2">
      <c r="A15" t="s">
        <v>469</v>
      </c>
      <c r="C15" t="str">
        <f>IF(C14=50,"",CONCATENATE("G",C14, "m"))</f>
        <v/>
      </c>
      <c r="D15" t="str">
        <f t="shared" ref="D15:BA15" si="141">IF(D14=50,"",CONCATENATE("G",D14, "m"))</f>
        <v/>
      </c>
      <c r="E15" t="str">
        <f t="shared" si="141"/>
        <v/>
      </c>
      <c r="F15" t="str">
        <f t="shared" si="141"/>
        <v>G0m</v>
      </c>
      <c r="G15" t="str">
        <f t="shared" si="141"/>
        <v/>
      </c>
      <c r="H15" t="str">
        <f t="shared" si="141"/>
        <v/>
      </c>
      <c r="I15" t="str">
        <f t="shared" ref="I15:K15" si="142">IF(I14=50,"",CONCATENATE("G",I14, "m"))</f>
        <v/>
      </c>
      <c r="J15" t="str">
        <f t="shared" si="141"/>
        <v/>
      </c>
      <c r="K15" t="str">
        <f t="shared" si="142"/>
        <v/>
      </c>
      <c r="L15" t="str">
        <f t="shared" si="141"/>
        <v/>
      </c>
      <c r="M15" t="str">
        <f t="shared" si="141"/>
        <v/>
      </c>
      <c r="N15" t="str">
        <f t="shared" ref="N15:O15" si="143">IF(N14=50,"",CONCATENATE("G",N14, "m"))</f>
        <v/>
      </c>
      <c r="O15" t="str">
        <f t="shared" si="143"/>
        <v/>
      </c>
      <c r="P15" t="str">
        <f t="shared" si="141"/>
        <v/>
      </c>
      <c r="Q15" t="str">
        <f t="shared" si="141"/>
        <v/>
      </c>
      <c r="R15" t="str">
        <f t="shared" si="141"/>
        <v/>
      </c>
      <c r="S15" t="str">
        <f t="shared" si="141"/>
        <v/>
      </c>
      <c r="T15" t="str">
        <f t="shared" si="141"/>
        <v/>
      </c>
      <c r="U15" t="str">
        <f t="shared" si="141"/>
        <v/>
      </c>
      <c r="V15" t="str">
        <f t="shared" si="141"/>
        <v/>
      </c>
      <c r="W15" t="str">
        <f t="shared" si="141"/>
        <v/>
      </c>
      <c r="X15" t="str">
        <f t="shared" si="141"/>
        <v/>
      </c>
      <c r="Y15" t="str">
        <f t="shared" si="141"/>
        <v/>
      </c>
      <c r="Z15" t="str">
        <f t="shared" si="141"/>
        <v/>
      </c>
      <c r="AA15" t="str">
        <f t="shared" si="141"/>
        <v/>
      </c>
      <c r="AB15" t="str">
        <f t="shared" si="141"/>
        <v/>
      </c>
      <c r="AC15" t="str">
        <f t="shared" si="141"/>
        <v/>
      </c>
      <c r="AD15" t="str">
        <f t="shared" si="141"/>
        <v/>
      </c>
      <c r="AE15" t="str">
        <f t="shared" ref="AE15:AI15" si="144">IF(AE14=50,"",CONCATENATE("G",AE14, "m"))</f>
        <v/>
      </c>
      <c r="AF15" t="str">
        <f t="shared" ref="AF15:AH15" si="145">IF(AF14=50,"",CONCATENATE("G",AF14, "m"))</f>
        <v/>
      </c>
      <c r="AG15" t="str">
        <f t="shared" ref="AG15" si="146">IF(AG14=50,"",CONCATENATE("G",AG14, "m"))</f>
        <v/>
      </c>
      <c r="AH15" t="str">
        <f t="shared" si="145"/>
        <v/>
      </c>
      <c r="AI15" t="str">
        <f t="shared" si="144"/>
        <v/>
      </c>
      <c r="AJ15" t="str">
        <f t="shared" ref="AJ15:AM15" si="147">IF(AJ14=50,"",CONCATENATE("G",AJ14, "m"))</f>
        <v/>
      </c>
      <c r="AK15" t="str">
        <f t="shared" ref="AK15" si="148">IF(AK14=50,"",CONCATENATE("G",AK14, "m"))</f>
        <v/>
      </c>
      <c r="AL15" t="str">
        <f t="shared" si="147"/>
        <v/>
      </c>
      <c r="AM15" t="str">
        <f t="shared" si="147"/>
        <v/>
      </c>
      <c r="AN15" t="str">
        <f t="shared" ref="AN15:AO15" si="149">IF(AN14=50,"",CONCATENATE("G",AN14, "m"))</f>
        <v/>
      </c>
      <c r="AO15" t="str">
        <f t="shared" si="149"/>
        <v/>
      </c>
      <c r="AP15" t="str">
        <f t="shared" ref="AP15:AR15" si="150">IF(AP14=50,"",CONCATENATE("G",AP14, "m"))</f>
        <v/>
      </c>
      <c r="AQ15" t="str">
        <f t="shared" si="150"/>
        <v/>
      </c>
      <c r="AR15" t="str">
        <f t="shared" si="150"/>
        <v/>
      </c>
      <c r="AS15" t="str">
        <f t="shared" ref="AS15:AT15" si="151">IF(AS14=50,"",CONCATENATE("G",AS14, "m"))</f>
        <v/>
      </c>
      <c r="AT15" t="str">
        <f t="shared" si="151"/>
        <v/>
      </c>
      <c r="AU15" t="str">
        <f t="shared" ref="AU15" si="152">IF(AU14=50,"",CONCATENATE("G",AU14, "m"))</f>
        <v/>
      </c>
      <c r="AV15" t="str">
        <f t="shared" ref="AV15:AX15" si="153">IF(AV14=50,"",CONCATENATE("G",AV14, "m"))</f>
        <v/>
      </c>
      <c r="AW15" t="str">
        <f t="shared" si="153"/>
        <v/>
      </c>
      <c r="AX15" t="str">
        <f t="shared" si="153"/>
        <v/>
      </c>
      <c r="AY15" t="str">
        <f t="shared" si="141"/>
        <v/>
      </c>
      <c r="AZ15" t="str">
        <f t="shared" si="141"/>
        <v/>
      </c>
      <c r="BA15" t="str">
        <f t="shared" si="141"/>
        <v/>
      </c>
      <c r="BB15" t="str">
        <f t="shared" ref="BB15" si="154">IF(BB14=50,"",CONCATENATE("G",BB14, "m"))</f>
        <v/>
      </c>
    </row>
    <row r="16" spans="1:54" x14ac:dyDescent="0.2">
      <c r="A16" s="21" t="s">
        <v>256</v>
      </c>
      <c r="B16" s="21" t="s">
        <v>257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 t="s">
        <v>527</v>
      </c>
      <c r="J16" s="21">
        <v>0</v>
      </c>
      <c r="K16" s="21" t="s">
        <v>527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</row>
    <row r="17" spans="1:54" x14ac:dyDescent="0.2">
      <c r="A17" t="s">
        <v>258</v>
      </c>
      <c r="C17" t="str">
        <f t="shared" ref="C17:Y17" si="155">IF(C16=0,"",CONCATENATE("H",C16))</f>
        <v/>
      </c>
      <c r="D17" t="str">
        <f t="shared" si="155"/>
        <v/>
      </c>
      <c r="E17" t="str">
        <f t="shared" si="155"/>
        <v/>
      </c>
      <c r="F17" t="str">
        <f t="shared" ref="F17" si="156">IF(F16=0,"",CONCATENATE("H",F16))</f>
        <v/>
      </c>
      <c r="G17" t="str">
        <f t="shared" si="155"/>
        <v>H-25</v>
      </c>
      <c r="H17" t="str">
        <f t="shared" si="155"/>
        <v>H25</v>
      </c>
      <c r="I17" t="str">
        <f t="shared" ref="I17:K17" si="157">IF(I16=0,"",CONCATENATE("H",I16))</f>
        <v>Hcea</v>
      </c>
      <c r="J17" t="str">
        <f t="shared" si="155"/>
        <v/>
      </c>
      <c r="K17" t="str">
        <f t="shared" si="157"/>
        <v>Hcea</v>
      </c>
      <c r="L17" t="str">
        <f t="shared" si="155"/>
        <v/>
      </c>
      <c r="M17" t="str">
        <f t="shared" si="155"/>
        <v/>
      </c>
      <c r="N17" t="str">
        <f t="shared" ref="N17:O17" si="158">IF(N16=0,"",CONCATENATE("H",N16))</f>
        <v/>
      </c>
      <c r="O17" t="str">
        <f t="shared" si="158"/>
        <v/>
      </c>
      <c r="P17" t="str">
        <f t="shared" si="155"/>
        <v/>
      </c>
      <c r="Q17" t="str">
        <f t="shared" si="155"/>
        <v/>
      </c>
      <c r="R17" t="str">
        <f t="shared" si="155"/>
        <v/>
      </c>
      <c r="S17" t="str">
        <f t="shared" si="155"/>
        <v/>
      </c>
      <c r="T17" t="str">
        <f t="shared" si="155"/>
        <v/>
      </c>
      <c r="U17" t="str">
        <f t="shared" si="155"/>
        <v/>
      </c>
      <c r="V17" t="str">
        <f t="shared" si="155"/>
        <v/>
      </c>
      <c r="W17" t="str">
        <f t="shared" si="155"/>
        <v/>
      </c>
      <c r="X17" t="str">
        <f t="shared" si="155"/>
        <v/>
      </c>
      <c r="Y17" t="str">
        <f t="shared" si="155"/>
        <v/>
      </c>
      <c r="Z17" t="str">
        <f t="shared" ref="Z17:AE17" si="159">IF(Z16=0,"",CONCATENATE("H",Z16))</f>
        <v/>
      </c>
      <c r="AA17" t="str">
        <f t="shared" si="159"/>
        <v/>
      </c>
      <c r="AB17" t="str">
        <f t="shared" si="159"/>
        <v/>
      </c>
      <c r="AC17" t="str">
        <f t="shared" si="159"/>
        <v/>
      </c>
      <c r="AD17" t="str">
        <f t="shared" si="159"/>
        <v/>
      </c>
      <c r="AE17" t="str">
        <f t="shared" si="159"/>
        <v/>
      </c>
      <c r="AF17" t="str">
        <f t="shared" ref="AF17:AH17" si="160">IF(AF16=0,"",CONCATENATE("H",AF16))</f>
        <v/>
      </c>
      <c r="AG17" t="str">
        <f t="shared" ref="AG17" si="161">IF(AG16=0,"",CONCATENATE("H",AG16))</f>
        <v/>
      </c>
      <c r="AH17" t="str">
        <f t="shared" si="160"/>
        <v/>
      </c>
      <c r="AI17" t="str">
        <f t="shared" ref="AI17:AJ17" si="162">IF(AI16=0,"",CONCATENATE("H",AI16))</f>
        <v/>
      </c>
      <c r="AJ17" t="str">
        <f t="shared" si="162"/>
        <v/>
      </c>
      <c r="AK17" t="str">
        <f t="shared" ref="AK17" si="163">IF(AK16=0,"",CONCATENATE("H",AK16))</f>
        <v/>
      </c>
      <c r="AL17" t="str">
        <f t="shared" ref="AL17:AM17" si="164">IF(AL16=0,"",CONCATENATE("H",AL16))</f>
        <v/>
      </c>
      <c r="AM17" t="str">
        <f t="shared" si="164"/>
        <v/>
      </c>
      <c r="AN17" t="str">
        <f t="shared" ref="AN17" si="165">IF(AN16=0,"",CONCATENATE("H",AN16))</f>
        <v/>
      </c>
      <c r="AO17" t="str">
        <f t="shared" ref="AO17:AP17" si="166">IF(AO16=0,"",CONCATENATE("H",AO16))</f>
        <v/>
      </c>
      <c r="AP17" t="str">
        <f t="shared" si="166"/>
        <v/>
      </c>
      <c r="AQ17" t="str">
        <f t="shared" ref="AQ17:AV17" si="167">IF(AQ16=0,"",CONCATENATE("H",AQ16))</f>
        <v/>
      </c>
      <c r="AR17" t="str">
        <f t="shared" si="167"/>
        <v/>
      </c>
      <c r="AS17" t="str">
        <f t="shared" ref="AS17:AT17" si="168">IF(AS16=0,"",CONCATENATE("H",AS16))</f>
        <v/>
      </c>
      <c r="AT17" t="str">
        <f t="shared" si="168"/>
        <v/>
      </c>
      <c r="AU17" t="str">
        <f t="shared" ref="AU17" si="169">IF(AU16=0,"",CONCATENATE("H",AU16))</f>
        <v/>
      </c>
      <c r="AV17" t="str">
        <f t="shared" si="167"/>
        <v/>
      </c>
      <c r="AW17" t="str">
        <f t="shared" ref="AW17:AX17" si="170">IF(AW16=0,"",CONCATENATE("H",AW16))</f>
        <v/>
      </c>
      <c r="AX17" t="str">
        <f t="shared" si="170"/>
        <v/>
      </c>
      <c r="AY17" t="str">
        <f>IF(AY16=0,"",CONCATENATE("H",AY16))</f>
        <v/>
      </c>
      <c r="AZ17" t="str">
        <f>IF(AZ16=0,"",CONCATENATE("H",AZ16))</f>
        <v/>
      </c>
      <c r="BA17" t="str">
        <f>IF(BA16=0,"",CONCATENATE("H",BA16))</f>
        <v/>
      </c>
      <c r="BB17" t="str">
        <f>IF(BB16=0,"",CONCATENATE("H",BB16))</f>
        <v/>
      </c>
    </row>
    <row r="18" spans="1:54" x14ac:dyDescent="0.2">
      <c r="A18" s="21" t="s">
        <v>524</v>
      </c>
      <c r="B18" s="21" t="s">
        <v>523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17</v>
      </c>
      <c r="K18" s="21">
        <v>17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</row>
    <row r="19" spans="1:54" x14ac:dyDescent="0.2">
      <c r="A19" t="s">
        <v>525</v>
      </c>
      <c r="C19" t="str">
        <f t="shared" ref="C19:Y19" si="171">IF(C18=0,"",CONCATENATE("N",C18))</f>
        <v/>
      </c>
      <c r="D19" t="str">
        <f t="shared" si="171"/>
        <v/>
      </c>
      <c r="E19" t="str">
        <f t="shared" si="171"/>
        <v/>
      </c>
      <c r="F19" t="str">
        <f t="shared" ref="F19" si="172">IF(F18=0,"",CONCATENATE("N",F18))</f>
        <v/>
      </c>
      <c r="G19" t="str">
        <f t="shared" si="171"/>
        <v/>
      </c>
      <c r="H19" t="str">
        <f t="shared" si="171"/>
        <v/>
      </c>
      <c r="I19" t="str">
        <f t="shared" ref="I19:K19" si="173">IF(I18=0,"",CONCATENATE("N",I18))</f>
        <v/>
      </c>
      <c r="J19" t="str">
        <f t="shared" si="171"/>
        <v>N17</v>
      </c>
      <c r="K19" t="str">
        <f t="shared" si="173"/>
        <v>N17</v>
      </c>
      <c r="L19" t="str">
        <f t="shared" si="171"/>
        <v/>
      </c>
      <c r="M19" t="str">
        <f t="shared" si="171"/>
        <v/>
      </c>
      <c r="N19" t="str">
        <f t="shared" ref="N19:O19" si="174">IF(N18=0,"",CONCATENATE("N",N18))</f>
        <v/>
      </c>
      <c r="O19" t="str">
        <f t="shared" si="174"/>
        <v/>
      </c>
      <c r="P19" t="str">
        <f t="shared" si="171"/>
        <v/>
      </c>
      <c r="Q19" t="str">
        <f t="shared" si="171"/>
        <v/>
      </c>
      <c r="R19" t="str">
        <f t="shared" si="171"/>
        <v/>
      </c>
      <c r="S19" t="str">
        <f t="shared" si="171"/>
        <v/>
      </c>
      <c r="T19" t="str">
        <f t="shared" si="171"/>
        <v/>
      </c>
      <c r="U19" t="str">
        <f t="shared" si="171"/>
        <v/>
      </c>
      <c r="V19" t="str">
        <f t="shared" si="171"/>
        <v/>
      </c>
      <c r="W19" t="str">
        <f t="shared" si="171"/>
        <v/>
      </c>
      <c r="X19" t="str">
        <f t="shared" si="171"/>
        <v/>
      </c>
      <c r="Y19" t="str">
        <f t="shared" si="171"/>
        <v/>
      </c>
      <c r="Z19" t="str">
        <f t="shared" ref="Z19:AE19" si="175">IF(Z18=0,"",CONCATENATE("N",Z18))</f>
        <v/>
      </c>
      <c r="AA19" t="str">
        <f t="shared" si="175"/>
        <v/>
      </c>
      <c r="AB19" t="str">
        <f t="shared" si="175"/>
        <v/>
      </c>
      <c r="AC19" t="str">
        <f t="shared" si="175"/>
        <v/>
      </c>
      <c r="AD19" t="str">
        <f t="shared" si="175"/>
        <v/>
      </c>
      <c r="AE19" t="str">
        <f t="shared" si="175"/>
        <v/>
      </c>
      <c r="AF19" t="str">
        <f t="shared" ref="AF19:AH19" si="176">IF(AF18=0,"",CONCATENATE("N",AF18))</f>
        <v/>
      </c>
      <c r="AG19" t="str">
        <f t="shared" ref="AG19" si="177">IF(AG18=0,"",CONCATENATE("N",AG18))</f>
        <v/>
      </c>
      <c r="AH19" t="str">
        <f t="shared" si="176"/>
        <v/>
      </c>
      <c r="AI19" t="str">
        <f t="shared" ref="AI19:AJ19" si="178">IF(AI18=0,"",CONCATENATE("N",AI18))</f>
        <v/>
      </c>
      <c r="AJ19" t="str">
        <f t="shared" si="178"/>
        <v/>
      </c>
      <c r="AK19" t="str">
        <f t="shared" ref="AK19" si="179">IF(AK18=0,"",CONCATENATE("N",AK18))</f>
        <v/>
      </c>
      <c r="AL19" t="str">
        <f t="shared" ref="AL19:AM19" si="180">IF(AL18=0,"",CONCATENATE("N",AL18))</f>
        <v/>
      </c>
      <c r="AM19" t="str">
        <f t="shared" si="180"/>
        <v/>
      </c>
      <c r="AN19" t="str">
        <f t="shared" ref="AN19" si="181">IF(AN18=0,"",CONCATENATE("N",AN18))</f>
        <v/>
      </c>
      <c r="AO19" t="str">
        <f t="shared" ref="AO19:AP19" si="182">IF(AO18=0,"",CONCATENATE("N",AO18))</f>
        <v/>
      </c>
      <c r="AP19" t="str">
        <f t="shared" si="182"/>
        <v/>
      </c>
      <c r="AQ19" t="str">
        <f t="shared" ref="AQ19:AV19" si="183">IF(AQ18=0,"",CONCATENATE("N",AQ18))</f>
        <v/>
      </c>
      <c r="AR19" t="str">
        <f t="shared" si="183"/>
        <v/>
      </c>
      <c r="AS19" t="str">
        <f t="shared" ref="AS19:AT19" si="184">IF(AS18=0,"",CONCATENATE("N",AS18))</f>
        <v/>
      </c>
      <c r="AT19" t="str">
        <f t="shared" si="184"/>
        <v/>
      </c>
      <c r="AU19" t="str">
        <f t="shared" ref="AU19" si="185">IF(AU18=0,"",CONCATENATE("N",AU18))</f>
        <v/>
      </c>
      <c r="AV19" t="str">
        <f t="shared" si="183"/>
        <v/>
      </c>
      <c r="AW19" t="str">
        <f t="shared" ref="AW19:AX19" si="186">IF(AW18=0,"",CONCATENATE("N",AW18))</f>
        <v/>
      </c>
      <c r="AX19" t="str">
        <f t="shared" si="186"/>
        <v/>
      </c>
      <c r="AY19" t="str">
        <f>IF(AY18=0,"",CONCATENATE("N",AY18))</f>
        <v/>
      </c>
      <c r="AZ19" t="str">
        <f>IF(AZ18=0,"",CONCATENATE("N",AZ18))</f>
        <v/>
      </c>
      <c r="BA19" t="str">
        <f>IF(BA18=0,"",CONCATENATE("N",BA18))</f>
        <v/>
      </c>
      <c r="BB19" t="str">
        <f>IF(BB18=0,"",CONCATENATE("N",BB18))</f>
        <v/>
      </c>
    </row>
    <row r="20" spans="1:54" x14ac:dyDescent="0.2">
      <c r="A20" s="21" t="s">
        <v>259</v>
      </c>
      <c r="B20" s="21" t="s">
        <v>260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15</v>
      </c>
      <c r="M20" s="21">
        <v>30</v>
      </c>
      <c r="N20" s="21">
        <v>60</v>
      </c>
      <c r="O20" s="21">
        <v>60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15</v>
      </c>
      <c r="AB20" s="21">
        <v>15</v>
      </c>
      <c r="AC20" s="21">
        <v>30</v>
      </c>
      <c r="AD20" s="21">
        <v>30</v>
      </c>
      <c r="AE20" s="21">
        <v>60</v>
      </c>
      <c r="AF20" s="21">
        <v>60</v>
      </c>
      <c r="AG20" s="21">
        <v>60</v>
      </c>
      <c r="AH20" s="21">
        <v>60</v>
      </c>
      <c r="AI20" s="21">
        <v>60</v>
      </c>
      <c r="AJ20" s="21">
        <v>60</v>
      </c>
      <c r="AK20" s="21">
        <v>60</v>
      </c>
      <c r="AL20" s="21">
        <v>60</v>
      </c>
      <c r="AM20" s="21">
        <v>0</v>
      </c>
      <c r="AN20" s="21">
        <v>0</v>
      </c>
      <c r="AO20" s="21">
        <v>0</v>
      </c>
      <c r="AP20" s="21">
        <v>0</v>
      </c>
      <c r="AQ20" s="21">
        <v>60</v>
      </c>
      <c r="AR20" s="21">
        <v>60</v>
      </c>
      <c r="AS20" s="21">
        <v>60</v>
      </c>
      <c r="AT20" s="21">
        <v>60</v>
      </c>
      <c r="AU20" s="21">
        <v>60</v>
      </c>
      <c r="AV20" s="21">
        <v>60</v>
      </c>
      <c r="AW20" s="21">
        <v>60</v>
      </c>
      <c r="AX20" s="21">
        <v>60</v>
      </c>
      <c r="AY20" s="21">
        <v>0</v>
      </c>
      <c r="AZ20" s="21">
        <v>0</v>
      </c>
      <c r="BA20" s="21">
        <v>0</v>
      </c>
      <c r="BB20" s="21">
        <v>0</v>
      </c>
    </row>
    <row r="21" spans="1:54" x14ac:dyDescent="0.2">
      <c r="A21" t="s">
        <v>261</v>
      </c>
      <c r="C21" t="str">
        <f t="shared" ref="C21:Y21" si="187">IF(C20=0,"",CONCATENATE("B",C20))</f>
        <v/>
      </c>
      <c r="D21" t="str">
        <f t="shared" si="187"/>
        <v/>
      </c>
      <c r="E21" t="str">
        <f t="shared" si="187"/>
        <v/>
      </c>
      <c r="F21" t="str">
        <f t="shared" ref="F21" si="188">IF(F20=0,"",CONCATENATE("B",F20))</f>
        <v/>
      </c>
      <c r="G21" t="str">
        <f t="shared" si="187"/>
        <v/>
      </c>
      <c r="H21" t="str">
        <f t="shared" si="187"/>
        <v/>
      </c>
      <c r="I21" t="str">
        <f t="shared" ref="I21:K21" si="189">IF(I20=0,"",CONCATENATE("B",I20))</f>
        <v/>
      </c>
      <c r="J21" t="str">
        <f t="shared" si="187"/>
        <v/>
      </c>
      <c r="K21" t="str">
        <f t="shared" si="189"/>
        <v/>
      </c>
      <c r="L21" t="str">
        <f t="shared" si="187"/>
        <v>B15</v>
      </c>
      <c r="M21" t="str">
        <f t="shared" si="187"/>
        <v>B30</v>
      </c>
      <c r="N21" t="str">
        <f t="shared" ref="N21:O21" si="190">IF(N20=0,"",CONCATENATE("B",N20))</f>
        <v>B60</v>
      </c>
      <c r="O21" t="str">
        <f t="shared" si="190"/>
        <v>B60</v>
      </c>
      <c r="P21" t="str">
        <f t="shared" si="187"/>
        <v/>
      </c>
      <c r="Q21" t="str">
        <f t="shared" si="187"/>
        <v/>
      </c>
      <c r="R21" t="str">
        <f t="shared" si="187"/>
        <v/>
      </c>
      <c r="S21" t="str">
        <f t="shared" si="187"/>
        <v/>
      </c>
      <c r="T21" t="str">
        <f t="shared" si="187"/>
        <v/>
      </c>
      <c r="U21" t="str">
        <f t="shared" si="187"/>
        <v/>
      </c>
      <c r="V21" t="str">
        <f t="shared" si="187"/>
        <v/>
      </c>
      <c r="W21" t="str">
        <f t="shared" si="187"/>
        <v/>
      </c>
      <c r="X21" t="str">
        <f t="shared" si="187"/>
        <v/>
      </c>
      <c r="Y21" t="str">
        <f t="shared" si="187"/>
        <v/>
      </c>
      <c r="Z21" t="str">
        <f t="shared" ref="Z21:AE21" si="191">IF(Z20=0,"",CONCATENATE("B",Z20))</f>
        <v/>
      </c>
      <c r="AA21" t="str">
        <f t="shared" si="191"/>
        <v>B15</v>
      </c>
      <c r="AB21" t="str">
        <f t="shared" si="191"/>
        <v>B15</v>
      </c>
      <c r="AC21" t="str">
        <f t="shared" si="191"/>
        <v>B30</v>
      </c>
      <c r="AD21" t="str">
        <f t="shared" si="191"/>
        <v>B30</v>
      </c>
      <c r="AE21" t="str">
        <f t="shared" si="191"/>
        <v>B60</v>
      </c>
      <c r="AF21" t="str">
        <f t="shared" ref="AF21:AH21" si="192">IF(AF20=0,"",CONCATENATE("B",AF20))</f>
        <v>B60</v>
      </c>
      <c r="AG21" t="str">
        <f t="shared" ref="AG21" si="193">IF(AG20=0,"",CONCATENATE("B",AG20))</f>
        <v>B60</v>
      </c>
      <c r="AH21" t="str">
        <f t="shared" si="192"/>
        <v>B60</v>
      </c>
      <c r="AI21" t="str">
        <f t="shared" ref="AI21:AJ21" si="194">IF(AI20=0,"",CONCATENATE("B",AI20))</f>
        <v>B60</v>
      </c>
      <c r="AJ21" t="str">
        <f t="shared" si="194"/>
        <v>B60</v>
      </c>
      <c r="AK21" t="str">
        <f t="shared" ref="AK21" si="195">IF(AK20=0,"",CONCATENATE("B",AK20))</f>
        <v>B60</v>
      </c>
      <c r="AL21" t="str">
        <f t="shared" ref="AL21:AM21" si="196">IF(AL20=0,"",CONCATENATE("B",AL20))</f>
        <v>B60</v>
      </c>
      <c r="AM21" t="str">
        <f t="shared" si="196"/>
        <v/>
      </c>
      <c r="AN21" t="str">
        <f t="shared" ref="AN21" si="197">IF(AN20=0,"",CONCATENATE("B",AN20))</f>
        <v/>
      </c>
      <c r="AO21" t="str">
        <f t="shared" ref="AO21:AP21" si="198">IF(AO20=0,"",CONCATENATE("B",AO20))</f>
        <v/>
      </c>
      <c r="AP21" t="str">
        <f t="shared" si="198"/>
        <v/>
      </c>
      <c r="AQ21" t="str">
        <f t="shared" ref="AQ21:AV21" si="199">IF(AQ20=0,"",CONCATENATE("B",AQ20))</f>
        <v>B60</v>
      </c>
      <c r="AR21" t="str">
        <f t="shared" si="199"/>
        <v>B60</v>
      </c>
      <c r="AS21" t="str">
        <f t="shared" ref="AS21:AT21" si="200">IF(AS20=0,"",CONCATENATE("B",AS20))</f>
        <v>B60</v>
      </c>
      <c r="AT21" t="str">
        <f t="shared" si="200"/>
        <v>B60</v>
      </c>
      <c r="AU21" t="str">
        <f t="shared" ref="AU21" si="201">IF(AU20=0,"",CONCATENATE("B",AU20))</f>
        <v>B60</v>
      </c>
      <c r="AV21" t="str">
        <f t="shared" si="199"/>
        <v>B60</v>
      </c>
      <c r="AW21" t="str">
        <f t="shared" ref="AW21:AX21" si="202">IF(AW20=0,"",CONCATENATE("B",AW20))</f>
        <v>B60</v>
      </c>
      <c r="AX21" t="str">
        <f t="shared" si="202"/>
        <v>B60</v>
      </c>
      <c r="AY21" t="str">
        <f>IF(AY20=0,"",CONCATENATE("B",AY20))</f>
        <v/>
      </c>
      <c r="AZ21" t="str">
        <f>IF(AZ20=0,"",CONCATENATE("B",AZ20))</f>
        <v/>
      </c>
      <c r="BA21" t="str">
        <f>IF(BA20=0,"",CONCATENATE("B",BA20))</f>
        <v/>
      </c>
      <c r="BB21" t="str">
        <f>IF(BB20=0,"",CONCATENATE("B",BB20))</f>
        <v/>
      </c>
    </row>
    <row r="22" spans="1:54" x14ac:dyDescent="0.2">
      <c r="A22" t="s">
        <v>262</v>
      </c>
      <c r="C22" t="str">
        <f t="shared" ref="C22:Y22" si="203">CONCATENATE("bat", C20)</f>
        <v>bat0</v>
      </c>
      <c r="D22" t="str">
        <f t="shared" si="203"/>
        <v>bat0</v>
      </c>
      <c r="E22" t="str">
        <f t="shared" si="203"/>
        <v>bat0</v>
      </c>
      <c r="F22" t="str">
        <f t="shared" ref="F22" si="204">CONCATENATE("bat", F20)</f>
        <v>bat0</v>
      </c>
      <c r="G22" t="str">
        <f t="shared" si="203"/>
        <v>bat0</v>
      </c>
      <c r="H22" t="str">
        <f t="shared" si="203"/>
        <v>bat0</v>
      </c>
      <c r="I22" t="str">
        <f t="shared" ref="I22:K22" si="205">CONCATENATE("bat", I20)</f>
        <v>bat0</v>
      </c>
      <c r="J22" t="str">
        <f t="shared" si="203"/>
        <v>bat0</v>
      </c>
      <c r="K22" t="str">
        <f t="shared" si="205"/>
        <v>bat0</v>
      </c>
      <c r="L22" t="str">
        <f t="shared" si="203"/>
        <v>bat15</v>
      </c>
      <c r="M22" t="str">
        <f t="shared" si="203"/>
        <v>bat30</v>
      </c>
      <c r="N22" t="str">
        <f t="shared" ref="N22:O22" si="206">CONCATENATE("bat", N20)</f>
        <v>bat60</v>
      </c>
      <c r="O22" t="str">
        <f t="shared" si="206"/>
        <v>bat60</v>
      </c>
      <c r="P22" t="str">
        <f t="shared" si="203"/>
        <v>bat0</v>
      </c>
      <c r="Q22" t="str">
        <f t="shared" si="203"/>
        <v>bat0</v>
      </c>
      <c r="R22" t="str">
        <f t="shared" si="203"/>
        <v>bat0</v>
      </c>
      <c r="S22" t="str">
        <f t="shared" si="203"/>
        <v>bat0</v>
      </c>
      <c r="T22" t="str">
        <f t="shared" si="203"/>
        <v>bat0</v>
      </c>
      <c r="U22" t="str">
        <f t="shared" si="203"/>
        <v>bat0</v>
      </c>
      <c r="V22" t="str">
        <f t="shared" si="203"/>
        <v>bat0</v>
      </c>
      <c r="W22" t="str">
        <f t="shared" si="203"/>
        <v>bat0</v>
      </c>
      <c r="X22" t="str">
        <f t="shared" si="203"/>
        <v>bat0</v>
      </c>
      <c r="Y22" t="str">
        <f t="shared" si="203"/>
        <v>bat0</v>
      </c>
      <c r="Z22" t="str">
        <f t="shared" ref="Z22:AE22" si="207">CONCATENATE("bat", Z20)</f>
        <v>bat0</v>
      </c>
      <c r="AA22" t="str">
        <f t="shared" si="207"/>
        <v>bat15</v>
      </c>
      <c r="AB22" t="str">
        <f t="shared" si="207"/>
        <v>bat15</v>
      </c>
      <c r="AC22" t="str">
        <f t="shared" si="207"/>
        <v>bat30</v>
      </c>
      <c r="AD22" t="str">
        <f t="shared" si="207"/>
        <v>bat30</v>
      </c>
      <c r="AE22" t="str">
        <f t="shared" si="207"/>
        <v>bat60</v>
      </c>
      <c r="AF22" t="str">
        <f t="shared" ref="AF22:AH22" si="208">CONCATENATE("bat", AF20)</f>
        <v>bat60</v>
      </c>
      <c r="AG22" t="str">
        <f t="shared" ref="AG22" si="209">CONCATENATE("bat", AG20)</f>
        <v>bat60</v>
      </c>
      <c r="AH22" t="str">
        <f t="shared" si="208"/>
        <v>bat60</v>
      </c>
      <c r="AI22" t="str">
        <f t="shared" ref="AI22:AJ22" si="210">CONCATENATE("bat", AI20)</f>
        <v>bat60</v>
      </c>
      <c r="AJ22" t="str">
        <f t="shared" si="210"/>
        <v>bat60</v>
      </c>
      <c r="AK22" t="str">
        <f t="shared" ref="AK22" si="211">CONCATENATE("bat", AK20)</f>
        <v>bat60</v>
      </c>
      <c r="AL22" t="str">
        <f t="shared" ref="AL22:AM22" si="212">CONCATENATE("bat", AL20)</f>
        <v>bat60</v>
      </c>
      <c r="AM22" t="str">
        <f t="shared" si="212"/>
        <v>bat0</v>
      </c>
      <c r="AN22" t="str">
        <f t="shared" ref="AN22" si="213">CONCATENATE("bat", AN20)</f>
        <v>bat0</v>
      </c>
      <c r="AO22" t="str">
        <f t="shared" ref="AO22:AP22" si="214">CONCATENATE("bat", AO20)</f>
        <v>bat0</v>
      </c>
      <c r="AP22" t="str">
        <f t="shared" si="214"/>
        <v>bat0</v>
      </c>
      <c r="AQ22" t="str">
        <f t="shared" ref="AQ22:AV22" si="215">CONCATENATE("bat", AQ20)</f>
        <v>bat60</v>
      </c>
      <c r="AR22" t="str">
        <f t="shared" si="215"/>
        <v>bat60</v>
      </c>
      <c r="AS22" t="str">
        <f t="shared" ref="AS22:AT22" si="216">CONCATENATE("bat", AS20)</f>
        <v>bat60</v>
      </c>
      <c r="AT22" t="str">
        <f t="shared" si="216"/>
        <v>bat60</v>
      </c>
      <c r="AU22" t="str">
        <f t="shared" ref="AU22" si="217">CONCATENATE("bat", AU20)</f>
        <v>bat60</v>
      </c>
      <c r="AV22" t="str">
        <f t="shared" si="215"/>
        <v>bat60</v>
      </c>
      <c r="AW22" t="str">
        <f t="shared" ref="AW22:AX22" si="218">CONCATENATE("bat", AW20)</f>
        <v>bat60</v>
      </c>
      <c r="AX22" t="str">
        <f t="shared" si="218"/>
        <v>bat60</v>
      </c>
      <c r="AY22" t="str">
        <f>CONCATENATE("bat", AY20)</f>
        <v>bat0</v>
      </c>
      <c r="AZ22" t="str">
        <f>CONCATENATE("bat", AZ20)</f>
        <v>bat0</v>
      </c>
      <c r="BA22" t="str">
        <f>CONCATENATE("bat", BA20)</f>
        <v>bat0</v>
      </c>
      <c r="BB22" t="str">
        <f>CONCATENATE("bat", BB20)</f>
        <v>bat0</v>
      </c>
    </row>
    <row r="23" spans="1:54" x14ac:dyDescent="0.2">
      <c r="A23" s="21" t="s">
        <v>409</v>
      </c>
      <c r="B23" s="21" t="s">
        <v>264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25</v>
      </c>
      <c r="AB23" s="21">
        <v>50</v>
      </c>
      <c r="AC23" s="21">
        <v>25</v>
      </c>
      <c r="AD23" s="21">
        <v>50</v>
      </c>
      <c r="AE23" s="21">
        <v>50</v>
      </c>
      <c r="AF23" s="21">
        <v>50</v>
      </c>
      <c r="AG23" s="21">
        <v>50</v>
      </c>
      <c r="AH23" s="21">
        <v>50</v>
      </c>
      <c r="AI23" s="21">
        <v>50</v>
      </c>
      <c r="AJ23" s="21">
        <v>50</v>
      </c>
      <c r="AK23" s="21">
        <v>50</v>
      </c>
      <c r="AL23" s="21">
        <v>50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50</v>
      </c>
      <c r="AS23" s="21">
        <v>0</v>
      </c>
      <c r="AT23" s="21">
        <v>50</v>
      </c>
      <c r="AU23" s="21">
        <v>50</v>
      </c>
      <c r="AV23" s="21">
        <v>0</v>
      </c>
      <c r="AW23" s="21">
        <v>0</v>
      </c>
      <c r="AX23" s="21">
        <v>50</v>
      </c>
      <c r="AY23" s="21">
        <v>0</v>
      </c>
      <c r="AZ23" s="21">
        <v>0</v>
      </c>
      <c r="BA23" s="21">
        <v>0</v>
      </c>
      <c r="BB23" s="21">
        <v>0</v>
      </c>
    </row>
    <row r="24" spans="1:54" x14ac:dyDescent="0.2">
      <c r="A24" t="s">
        <v>410</v>
      </c>
      <c r="B24" t="s">
        <v>266</v>
      </c>
      <c r="C24" t="s">
        <v>249</v>
      </c>
      <c r="D24" t="s">
        <v>249</v>
      </c>
      <c r="E24" t="s">
        <v>249</v>
      </c>
      <c r="F24" t="s">
        <v>249</v>
      </c>
      <c r="G24" t="s">
        <v>249</v>
      </c>
      <c r="H24" t="s">
        <v>249</v>
      </c>
      <c r="I24" t="s">
        <v>249</v>
      </c>
      <c r="J24" t="s">
        <v>249</v>
      </c>
      <c r="K24" t="s">
        <v>249</v>
      </c>
      <c r="L24" t="s">
        <v>249</v>
      </c>
      <c r="M24" t="s">
        <v>249</v>
      </c>
      <c r="N24" t="s">
        <v>249</v>
      </c>
      <c r="O24" t="s">
        <v>249</v>
      </c>
      <c r="P24" t="s">
        <v>249</v>
      </c>
      <c r="Q24" t="s">
        <v>249</v>
      </c>
      <c r="R24" t="s">
        <v>249</v>
      </c>
      <c r="S24" t="s">
        <v>249</v>
      </c>
      <c r="T24" t="s">
        <v>249</v>
      </c>
      <c r="U24" t="s">
        <v>249</v>
      </c>
      <c r="V24" t="s">
        <v>249</v>
      </c>
      <c r="W24" t="s">
        <v>249</v>
      </c>
      <c r="X24" t="s">
        <v>249</v>
      </c>
      <c r="Y24" t="s">
        <v>249</v>
      </c>
      <c r="Z24" t="s">
        <v>249</v>
      </c>
      <c r="AA24" t="s">
        <v>249</v>
      </c>
      <c r="AB24" t="s">
        <v>249</v>
      </c>
      <c r="AC24" t="s">
        <v>249</v>
      </c>
      <c r="AD24" t="s">
        <v>249</v>
      </c>
      <c r="AE24" t="s">
        <v>249</v>
      </c>
      <c r="AF24" t="s">
        <v>249</v>
      </c>
      <c r="AG24" t="s">
        <v>249</v>
      </c>
      <c r="AH24" t="s">
        <v>249</v>
      </c>
      <c r="AI24" t="s">
        <v>249</v>
      </c>
      <c r="AJ24" t="s">
        <v>249</v>
      </c>
      <c r="AK24" t="s">
        <v>249</v>
      </c>
      <c r="AL24" t="s">
        <v>249</v>
      </c>
      <c r="AM24" t="s">
        <v>249</v>
      </c>
      <c r="AN24" t="s">
        <v>249</v>
      </c>
      <c r="AO24" t="s">
        <v>249</v>
      </c>
      <c r="AP24" t="s">
        <v>249</v>
      </c>
      <c r="AQ24" t="s">
        <v>249</v>
      </c>
      <c r="AR24" t="s">
        <v>249</v>
      </c>
      <c r="AS24" t="s">
        <v>249</v>
      </c>
      <c r="AT24" t="s">
        <v>249</v>
      </c>
      <c r="AU24" t="s">
        <v>249</v>
      </c>
      <c r="AV24" t="s">
        <v>249</v>
      </c>
      <c r="AW24" t="s">
        <v>249</v>
      </c>
      <c r="AX24" t="s">
        <v>249</v>
      </c>
      <c r="AY24" t="s">
        <v>249</v>
      </c>
      <c r="AZ24" t="s">
        <v>249</v>
      </c>
      <c r="BA24" t="s">
        <v>249</v>
      </c>
      <c r="BB24" t="s">
        <v>249</v>
      </c>
    </row>
    <row r="25" spans="1:54" x14ac:dyDescent="0.2">
      <c r="A25" t="s">
        <v>411</v>
      </c>
      <c r="C25" t="str">
        <f>IF(C23=0,"",CONCATENATE("B",C23,LEFT(C24,1),"c"))</f>
        <v/>
      </c>
      <c r="D25" t="str">
        <f t="shared" ref="D25:Z25" si="219">IF(D23=0,"",CONCATENATE("B",D23,LEFT(D24,1),"c"))</f>
        <v/>
      </c>
      <c r="E25" t="str">
        <f t="shared" si="219"/>
        <v/>
      </c>
      <c r="F25" t="str">
        <f t="shared" ref="F25" si="220">IF(F23=0,"",CONCATENATE("B",F23,LEFT(F24,1),"c"))</f>
        <v/>
      </c>
      <c r="G25" t="str">
        <f t="shared" si="219"/>
        <v/>
      </c>
      <c r="H25" t="str">
        <f t="shared" si="219"/>
        <v/>
      </c>
      <c r="I25" t="str">
        <f t="shared" ref="I25:K25" si="221">IF(I23=0,"",CONCATENATE("B",I23,LEFT(I24,1),"c"))</f>
        <v/>
      </c>
      <c r="J25" t="str">
        <f t="shared" si="219"/>
        <v/>
      </c>
      <c r="K25" t="str">
        <f t="shared" si="221"/>
        <v/>
      </c>
      <c r="L25" t="str">
        <f t="shared" si="219"/>
        <v/>
      </c>
      <c r="M25" t="str">
        <f t="shared" si="219"/>
        <v/>
      </c>
      <c r="N25" t="str">
        <f t="shared" ref="N25:O25" si="222">IF(N23=0,"",CONCATENATE("B",N23,LEFT(N24,1),"c"))</f>
        <v/>
      </c>
      <c r="O25" t="str">
        <f t="shared" si="222"/>
        <v/>
      </c>
      <c r="P25" t="str">
        <f t="shared" si="219"/>
        <v/>
      </c>
      <c r="Q25" t="str">
        <f t="shared" si="219"/>
        <v/>
      </c>
      <c r="R25" t="str">
        <f t="shared" si="219"/>
        <v/>
      </c>
      <c r="S25" t="str">
        <f t="shared" si="219"/>
        <v/>
      </c>
      <c r="T25" t="str">
        <f t="shared" si="219"/>
        <v/>
      </c>
      <c r="U25" t="str">
        <f t="shared" si="219"/>
        <v/>
      </c>
      <c r="V25" t="str">
        <f t="shared" si="219"/>
        <v/>
      </c>
      <c r="W25" t="str">
        <f t="shared" si="219"/>
        <v/>
      </c>
      <c r="X25" t="str">
        <f t="shared" si="219"/>
        <v/>
      </c>
      <c r="Y25" t="str">
        <f t="shared" si="219"/>
        <v/>
      </c>
      <c r="Z25" t="str">
        <f t="shared" si="219"/>
        <v/>
      </c>
      <c r="AA25" t="str">
        <f t="shared" ref="AA25:AI25" si="223">IF(AA23=0,"",CONCATENATE("B",AA23,LEFT(AA24,1),"c"))</f>
        <v>B25lc</v>
      </c>
      <c r="AB25" t="str">
        <f t="shared" si="223"/>
        <v>B50lc</v>
      </c>
      <c r="AC25" t="str">
        <f t="shared" si="223"/>
        <v>B25lc</v>
      </c>
      <c r="AD25" t="str">
        <f t="shared" si="223"/>
        <v>B50lc</v>
      </c>
      <c r="AE25" t="str">
        <f t="shared" si="223"/>
        <v>B50lc</v>
      </c>
      <c r="AF25" t="str">
        <f t="shared" ref="AF25:AH25" si="224">IF(AF23=0,"",CONCATENATE("B",AF23,LEFT(AF24,1),"c"))</f>
        <v>B50lc</v>
      </c>
      <c r="AG25" t="str">
        <f t="shared" ref="AG25" si="225">IF(AG23=0,"",CONCATENATE("B",AG23,LEFT(AG24,1),"c"))</f>
        <v>B50lc</v>
      </c>
      <c r="AH25" t="str">
        <f t="shared" si="224"/>
        <v>B50lc</v>
      </c>
      <c r="AI25" t="str">
        <f t="shared" si="223"/>
        <v>B50lc</v>
      </c>
      <c r="AJ25" t="str">
        <f t="shared" ref="AJ25:AM25" si="226">IF(AJ23=0,"",CONCATENATE("B",AJ23,LEFT(AJ24,1),"c"))</f>
        <v>B50lc</v>
      </c>
      <c r="AK25" t="str">
        <f t="shared" ref="AK25" si="227">IF(AK23=0,"",CONCATENATE("B",AK23,LEFT(AK24,1),"c"))</f>
        <v>B50lc</v>
      </c>
      <c r="AL25" t="str">
        <f t="shared" si="226"/>
        <v>B50lc</v>
      </c>
      <c r="AM25" t="str">
        <f t="shared" si="226"/>
        <v/>
      </c>
      <c r="AN25" t="str">
        <f t="shared" ref="AN25" si="228">IF(AN23=0,"",CONCATENATE("B",AN23,LEFT(AN24,1),"c"))</f>
        <v/>
      </c>
      <c r="AO25" t="str">
        <f t="shared" ref="AO25:AP25" si="229">IF(AO23=0,"",CONCATENATE("B",AO23,LEFT(AO24,1),"c"))</f>
        <v/>
      </c>
      <c r="AP25" t="str">
        <f t="shared" si="229"/>
        <v/>
      </c>
      <c r="AQ25" t="str">
        <f t="shared" ref="AQ25:AV25" si="230">IF(AQ23=0,"",CONCATENATE("B",AQ23,LEFT(AQ24,1),"c"))</f>
        <v/>
      </c>
      <c r="AR25" t="str">
        <f t="shared" si="230"/>
        <v>B50lc</v>
      </c>
      <c r="AS25" t="str">
        <f t="shared" ref="AS25:AT25" si="231">IF(AS23=0,"",CONCATENATE("B",AS23,LEFT(AS24,1),"c"))</f>
        <v/>
      </c>
      <c r="AT25" t="str">
        <f t="shared" si="231"/>
        <v>B50lc</v>
      </c>
      <c r="AU25" t="str">
        <f t="shared" ref="AU25" si="232">IF(AU23=0,"",CONCATENATE("B",AU23,LEFT(AU24,1),"c"))</f>
        <v>B50lc</v>
      </c>
      <c r="AV25" t="str">
        <f t="shared" si="230"/>
        <v/>
      </c>
      <c r="AW25" t="str">
        <f t="shared" ref="AW25:AX25" si="233">IF(AW23=0,"",CONCATENATE("B",AW23,LEFT(AW24,1),"c"))</f>
        <v/>
      </c>
      <c r="AX25" t="str">
        <f t="shared" si="233"/>
        <v>B50lc</v>
      </c>
      <c r="AY25" t="str">
        <f>IF(AY23=0,"",CONCATENATE("B",AY23,LEFT(AY24,1),"c"))</f>
        <v/>
      </c>
      <c r="AZ25" t="str">
        <f>IF(AZ23=0,"",CONCATENATE("B",AZ23,LEFT(AZ24,1),"c"))</f>
        <v/>
      </c>
      <c r="BA25" t="str">
        <f>IF(BA23=0,"",CONCATENATE("B",BA23,LEFT(BA24,1),"c"))</f>
        <v/>
      </c>
      <c r="BB25" t="str">
        <f>IF(BB23=0,"",CONCATENATE("B",BB23,LEFT(BB24,1),"c"))</f>
        <v/>
      </c>
    </row>
    <row r="26" spans="1:54" x14ac:dyDescent="0.2">
      <c r="A26" t="s">
        <v>412</v>
      </c>
      <c r="C26" t="str">
        <f>CONCATENATE("battery",UPPER(LEFT(C24,1)), "C",C23)</f>
        <v>batteryLC0</v>
      </c>
      <c r="D26" t="str">
        <f t="shared" ref="D26:Z26" si="234">CONCATENATE("battery",UPPER(LEFT(D24,1)), "C",D23)</f>
        <v>batteryLC0</v>
      </c>
      <c r="E26" t="str">
        <f t="shared" si="234"/>
        <v>batteryLC0</v>
      </c>
      <c r="F26" t="str">
        <f t="shared" ref="F26" si="235">CONCATENATE("battery",UPPER(LEFT(F24,1)), "C",F23)</f>
        <v>batteryLC0</v>
      </c>
      <c r="G26" t="str">
        <f t="shared" si="234"/>
        <v>batteryLC0</v>
      </c>
      <c r="H26" t="str">
        <f t="shared" si="234"/>
        <v>batteryLC0</v>
      </c>
      <c r="I26" t="str">
        <f t="shared" ref="I26:K26" si="236">CONCATENATE("battery",UPPER(LEFT(I24,1)), "C",I23)</f>
        <v>batteryLC0</v>
      </c>
      <c r="J26" t="str">
        <f t="shared" si="234"/>
        <v>batteryLC0</v>
      </c>
      <c r="K26" t="str">
        <f t="shared" si="236"/>
        <v>batteryLC0</v>
      </c>
      <c r="L26" t="str">
        <f t="shared" si="234"/>
        <v>batteryLC0</v>
      </c>
      <c r="M26" t="str">
        <f t="shared" si="234"/>
        <v>batteryLC0</v>
      </c>
      <c r="N26" t="str">
        <f t="shared" ref="N26:O26" si="237">CONCATENATE("battery",UPPER(LEFT(N24,1)), "C",N23)</f>
        <v>batteryLC0</v>
      </c>
      <c r="O26" t="str">
        <f t="shared" si="237"/>
        <v>batteryLC0</v>
      </c>
      <c r="P26" t="str">
        <f t="shared" si="234"/>
        <v>batteryLC0</v>
      </c>
      <c r="Q26" t="str">
        <f t="shared" si="234"/>
        <v>batteryLC0</v>
      </c>
      <c r="R26" t="str">
        <f t="shared" si="234"/>
        <v>batteryLC0</v>
      </c>
      <c r="S26" t="str">
        <f t="shared" si="234"/>
        <v>batteryLC0</v>
      </c>
      <c r="T26" t="str">
        <f t="shared" si="234"/>
        <v>batteryLC0</v>
      </c>
      <c r="U26" t="str">
        <f t="shared" si="234"/>
        <v>batteryLC0</v>
      </c>
      <c r="V26" t="str">
        <f t="shared" si="234"/>
        <v>batteryLC0</v>
      </c>
      <c r="W26" t="str">
        <f t="shared" si="234"/>
        <v>batteryLC0</v>
      </c>
      <c r="X26" t="str">
        <f t="shared" si="234"/>
        <v>batteryLC0</v>
      </c>
      <c r="Y26" t="str">
        <f t="shared" si="234"/>
        <v>batteryLC0</v>
      </c>
      <c r="Z26" t="str">
        <f t="shared" si="234"/>
        <v>batteryLC0</v>
      </c>
      <c r="AA26" t="str">
        <f t="shared" ref="AA26:AI26" si="238">CONCATENATE("battery",UPPER(LEFT(AA24,1)), "C",AA23)</f>
        <v>batteryLC25</v>
      </c>
      <c r="AB26" t="str">
        <f t="shared" si="238"/>
        <v>batteryLC50</v>
      </c>
      <c r="AC26" t="str">
        <f t="shared" si="238"/>
        <v>batteryLC25</v>
      </c>
      <c r="AD26" t="str">
        <f t="shared" si="238"/>
        <v>batteryLC50</v>
      </c>
      <c r="AE26" t="str">
        <f t="shared" si="238"/>
        <v>batteryLC50</v>
      </c>
      <c r="AF26" t="str">
        <f t="shared" ref="AF26:AH26" si="239">CONCATENATE("battery",UPPER(LEFT(AF24,1)), "C",AF23)</f>
        <v>batteryLC50</v>
      </c>
      <c r="AG26" t="str">
        <f t="shared" ref="AG26" si="240">CONCATENATE("battery",UPPER(LEFT(AG24,1)), "C",AG23)</f>
        <v>batteryLC50</v>
      </c>
      <c r="AH26" t="str">
        <f t="shared" si="239"/>
        <v>batteryLC50</v>
      </c>
      <c r="AI26" t="str">
        <f t="shared" si="238"/>
        <v>batteryLC50</v>
      </c>
      <c r="AJ26" t="str">
        <f t="shared" ref="AJ26:AM26" si="241">CONCATENATE("battery",UPPER(LEFT(AJ24,1)), "C",AJ23)</f>
        <v>batteryLC50</v>
      </c>
      <c r="AK26" t="str">
        <f t="shared" ref="AK26" si="242">CONCATENATE("battery",UPPER(LEFT(AK24,1)), "C",AK23)</f>
        <v>batteryLC50</v>
      </c>
      <c r="AL26" t="str">
        <f t="shared" si="241"/>
        <v>batteryLC50</v>
      </c>
      <c r="AM26" t="str">
        <f t="shared" si="241"/>
        <v>batteryLC0</v>
      </c>
      <c r="AN26" t="str">
        <f t="shared" ref="AN26" si="243">CONCATENATE("battery",UPPER(LEFT(AN24,1)), "C",AN23)</f>
        <v>batteryLC0</v>
      </c>
      <c r="AO26" t="str">
        <f t="shared" ref="AO26:AP26" si="244">CONCATENATE("battery",UPPER(LEFT(AO24,1)), "C",AO23)</f>
        <v>batteryLC0</v>
      </c>
      <c r="AP26" t="str">
        <f t="shared" si="244"/>
        <v>batteryLC0</v>
      </c>
      <c r="AQ26" t="str">
        <f t="shared" ref="AQ26:AV26" si="245">CONCATENATE("battery",UPPER(LEFT(AQ24,1)), "C",AQ23)</f>
        <v>batteryLC0</v>
      </c>
      <c r="AR26" t="str">
        <f t="shared" si="245"/>
        <v>batteryLC50</v>
      </c>
      <c r="AS26" t="str">
        <f t="shared" ref="AS26:AT26" si="246">CONCATENATE("battery",UPPER(LEFT(AS24,1)), "C",AS23)</f>
        <v>batteryLC0</v>
      </c>
      <c r="AT26" t="str">
        <f t="shared" si="246"/>
        <v>batteryLC50</v>
      </c>
      <c r="AU26" t="str">
        <f t="shared" ref="AU26" si="247">CONCATENATE("battery",UPPER(LEFT(AU24,1)), "C",AU23)</f>
        <v>batteryLC50</v>
      </c>
      <c r="AV26" t="str">
        <f t="shared" si="245"/>
        <v>batteryLC0</v>
      </c>
      <c r="AW26" t="str">
        <f t="shared" ref="AW26:AX26" si="248">CONCATENATE("battery",UPPER(LEFT(AW24,1)), "C",AW23)</f>
        <v>batteryLC0</v>
      </c>
      <c r="AX26" t="str">
        <f t="shared" si="248"/>
        <v>batteryLC50</v>
      </c>
      <c r="AY26" t="str">
        <f>CONCATENATE("battery",UPPER(LEFT(AY24,1)), "C",AY23)</f>
        <v>batteryLC0</v>
      </c>
      <c r="AZ26" t="str">
        <f>CONCATENATE("battery",UPPER(LEFT(AZ24,1)), "C",AZ23)</f>
        <v>batteryLC0</v>
      </c>
      <c r="BA26" t="str">
        <f>CONCATENATE("battery",UPPER(LEFT(BA24,1)), "C",BA23)</f>
        <v>batteryLC0</v>
      </c>
      <c r="BB26" t="str">
        <f>CONCATENATE("battery",UPPER(LEFT(BB24,1)), "C",BB23)</f>
        <v>batteryLC0</v>
      </c>
    </row>
    <row r="27" spans="1:54" x14ac:dyDescent="0.2">
      <c r="A27" s="21" t="s">
        <v>263</v>
      </c>
      <c r="B27" s="21" t="s">
        <v>264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10</v>
      </c>
      <c r="Q27" s="21">
        <v>20</v>
      </c>
      <c r="R27" s="21">
        <v>30</v>
      </c>
      <c r="S27" s="21">
        <v>0</v>
      </c>
      <c r="T27" s="21">
        <v>0</v>
      </c>
      <c r="U27" s="21">
        <v>0</v>
      </c>
      <c r="V27" s="21">
        <v>30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30</v>
      </c>
      <c r="AG27" s="21">
        <v>0</v>
      </c>
      <c r="AH27" s="21">
        <v>30</v>
      </c>
      <c r="AI27" s="21">
        <v>0</v>
      </c>
      <c r="AJ27" s="21">
        <v>30</v>
      </c>
      <c r="AK27" s="21">
        <v>0</v>
      </c>
      <c r="AL27" s="21">
        <v>30</v>
      </c>
      <c r="AM27" s="21">
        <v>30</v>
      </c>
      <c r="AN27" s="21">
        <v>30</v>
      </c>
      <c r="AO27" s="21">
        <v>0</v>
      </c>
      <c r="AP27" s="21">
        <v>30</v>
      </c>
      <c r="AQ27" s="21">
        <v>0</v>
      </c>
      <c r="AR27" s="21">
        <v>0</v>
      </c>
      <c r="AS27" s="21">
        <v>30</v>
      </c>
      <c r="AT27" s="21">
        <v>30</v>
      </c>
      <c r="AU27" s="21">
        <v>0</v>
      </c>
      <c r="AV27" s="21">
        <v>0</v>
      </c>
      <c r="AW27" s="21">
        <v>30</v>
      </c>
      <c r="AX27" s="21">
        <v>30</v>
      </c>
      <c r="AY27" s="21">
        <v>0</v>
      </c>
      <c r="AZ27" s="21">
        <v>0</v>
      </c>
      <c r="BA27" s="21">
        <v>0</v>
      </c>
      <c r="BB27" s="21">
        <v>0</v>
      </c>
    </row>
    <row r="28" spans="1:54" x14ac:dyDescent="0.2">
      <c r="A28" t="s">
        <v>265</v>
      </c>
      <c r="B28" t="s">
        <v>266</v>
      </c>
      <c r="C28" t="s">
        <v>249</v>
      </c>
      <c r="D28" t="s">
        <v>249</v>
      </c>
      <c r="E28" t="s">
        <v>249</v>
      </c>
      <c r="F28" t="s">
        <v>249</v>
      </c>
      <c r="G28" t="s">
        <v>249</v>
      </c>
      <c r="H28" t="s">
        <v>249</v>
      </c>
      <c r="I28" t="s">
        <v>249</v>
      </c>
      <c r="J28" t="s">
        <v>249</v>
      </c>
      <c r="K28" t="s">
        <v>249</v>
      </c>
      <c r="L28" t="s">
        <v>249</v>
      </c>
      <c r="M28" t="s">
        <v>249</v>
      </c>
      <c r="N28" t="s">
        <v>249</v>
      </c>
      <c r="O28" t="s">
        <v>249</v>
      </c>
      <c r="P28" t="s">
        <v>249</v>
      </c>
      <c r="Q28" t="s">
        <v>249</v>
      </c>
      <c r="R28" t="s">
        <v>249</v>
      </c>
      <c r="S28" t="s">
        <v>249</v>
      </c>
      <c r="T28" t="s">
        <v>249</v>
      </c>
      <c r="U28" t="s">
        <v>249</v>
      </c>
      <c r="V28" t="s">
        <v>249</v>
      </c>
      <c r="W28" t="s">
        <v>249</v>
      </c>
      <c r="X28" t="s">
        <v>249</v>
      </c>
      <c r="Y28" t="s">
        <v>249</v>
      </c>
      <c r="Z28" t="s">
        <v>249</v>
      </c>
      <c r="AA28" t="s">
        <v>249</v>
      </c>
      <c r="AB28" t="s">
        <v>249</v>
      </c>
      <c r="AC28" t="s">
        <v>249</v>
      </c>
      <c r="AD28" t="s">
        <v>249</v>
      </c>
      <c r="AE28" t="s">
        <v>249</v>
      </c>
      <c r="AF28" t="s">
        <v>249</v>
      </c>
      <c r="AG28" t="s">
        <v>249</v>
      </c>
      <c r="AH28" t="s">
        <v>249</v>
      </c>
      <c r="AI28" t="s">
        <v>249</v>
      </c>
      <c r="AJ28" t="s">
        <v>249</v>
      </c>
      <c r="AK28" t="s">
        <v>249</v>
      </c>
      <c r="AL28" t="s">
        <v>249</v>
      </c>
      <c r="AM28" t="s">
        <v>249</v>
      </c>
      <c r="AN28" t="s">
        <v>249</v>
      </c>
      <c r="AO28" t="s">
        <v>249</v>
      </c>
      <c r="AP28" t="s">
        <v>249</v>
      </c>
      <c r="AQ28" t="s">
        <v>249</v>
      </c>
      <c r="AR28" t="s">
        <v>249</v>
      </c>
      <c r="AS28" t="s">
        <v>249</v>
      </c>
      <c r="AT28" t="s">
        <v>249</v>
      </c>
      <c r="AU28" t="s">
        <v>249</v>
      </c>
      <c r="AV28" t="s">
        <v>249</v>
      </c>
      <c r="AW28" t="s">
        <v>249</v>
      </c>
      <c r="AX28" t="s">
        <v>249</v>
      </c>
      <c r="AY28" t="s">
        <v>249</v>
      </c>
      <c r="AZ28" t="s">
        <v>249</v>
      </c>
      <c r="BA28" t="s">
        <v>249</v>
      </c>
      <c r="BB28" t="s">
        <v>249</v>
      </c>
    </row>
    <row r="29" spans="1:54" x14ac:dyDescent="0.2">
      <c r="A29" t="s">
        <v>267</v>
      </c>
      <c r="C29" t="str">
        <f t="shared" ref="C29:Y29" si="249">IF(C27=0,"",CONCATENATE("W",C27,LEFT(C28,1),"c"))</f>
        <v/>
      </c>
      <c r="D29" t="str">
        <f t="shared" si="249"/>
        <v/>
      </c>
      <c r="E29" t="str">
        <f t="shared" si="249"/>
        <v/>
      </c>
      <c r="F29" t="str">
        <f t="shared" ref="F29" si="250">IF(F27=0,"",CONCATENATE("W",F27,LEFT(F28,1),"c"))</f>
        <v/>
      </c>
      <c r="G29" t="str">
        <f t="shared" si="249"/>
        <v/>
      </c>
      <c r="H29" t="str">
        <f t="shared" si="249"/>
        <v/>
      </c>
      <c r="I29" t="str">
        <f t="shared" ref="I29:K29" si="251">IF(I27=0,"",CONCATENATE("W",I27,LEFT(I28,1),"c"))</f>
        <v/>
      </c>
      <c r="J29" t="str">
        <f t="shared" si="249"/>
        <v/>
      </c>
      <c r="K29" t="str">
        <f t="shared" si="251"/>
        <v/>
      </c>
      <c r="L29" t="str">
        <f t="shared" si="249"/>
        <v/>
      </c>
      <c r="M29" t="str">
        <f t="shared" si="249"/>
        <v/>
      </c>
      <c r="N29" t="str">
        <f t="shared" ref="N29:O29" si="252">IF(N27=0,"",CONCATENATE("W",N27,LEFT(N28,1),"c"))</f>
        <v/>
      </c>
      <c r="O29" t="str">
        <f t="shared" si="252"/>
        <v/>
      </c>
      <c r="P29" t="str">
        <f t="shared" si="249"/>
        <v>W10lc</v>
      </c>
      <c r="Q29" t="str">
        <f t="shared" si="249"/>
        <v>W20lc</v>
      </c>
      <c r="R29" t="str">
        <f t="shared" si="249"/>
        <v>W30lc</v>
      </c>
      <c r="S29" t="str">
        <f t="shared" si="249"/>
        <v/>
      </c>
      <c r="T29" t="str">
        <f t="shared" si="249"/>
        <v/>
      </c>
      <c r="U29" t="str">
        <f t="shared" si="249"/>
        <v/>
      </c>
      <c r="V29" t="str">
        <f t="shared" si="249"/>
        <v>W30lc</v>
      </c>
      <c r="W29" t="str">
        <f t="shared" si="249"/>
        <v/>
      </c>
      <c r="X29" t="str">
        <f t="shared" si="249"/>
        <v/>
      </c>
      <c r="Y29" t="str">
        <f t="shared" si="249"/>
        <v/>
      </c>
      <c r="Z29" t="str">
        <f t="shared" ref="Z29:AE29" si="253">IF(Z27=0,"",CONCATENATE("W",Z27,LEFT(Z28,1),"c"))</f>
        <v/>
      </c>
      <c r="AA29" t="str">
        <f t="shared" si="253"/>
        <v/>
      </c>
      <c r="AB29" t="str">
        <f t="shared" si="253"/>
        <v/>
      </c>
      <c r="AC29" t="str">
        <f t="shared" si="253"/>
        <v/>
      </c>
      <c r="AD29" t="str">
        <f t="shared" si="253"/>
        <v/>
      </c>
      <c r="AE29" t="str">
        <f t="shared" si="253"/>
        <v/>
      </c>
      <c r="AF29" t="str">
        <f t="shared" ref="AF29:AH29" si="254">IF(AF27=0,"",CONCATENATE("W",AF27,LEFT(AF28,1),"c"))</f>
        <v>W30lc</v>
      </c>
      <c r="AG29" t="str">
        <f t="shared" ref="AG29" si="255">IF(AG27=0,"",CONCATENATE("W",AG27,LEFT(AG28,1),"c"))</f>
        <v/>
      </c>
      <c r="AH29" t="str">
        <f t="shared" si="254"/>
        <v>W30lc</v>
      </c>
      <c r="AI29" t="str">
        <f t="shared" ref="AI29:AJ29" si="256">IF(AI27=0,"",CONCATENATE("W",AI27,LEFT(AI28,1),"c"))</f>
        <v/>
      </c>
      <c r="AJ29" t="str">
        <f t="shared" si="256"/>
        <v>W30lc</v>
      </c>
      <c r="AK29" t="str">
        <f t="shared" ref="AK29" si="257">IF(AK27=0,"",CONCATENATE("W",AK27,LEFT(AK28,1),"c"))</f>
        <v/>
      </c>
      <c r="AL29" t="str">
        <f t="shared" ref="AL29:AM29" si="258">IF(AL27=0,"",CONCATENATE("W",AL27,LEFT(AL28,1),"c"))</f>
        <v>W30lc</v>
      </c>
      <c r="AM29" t="str">
        <f t="shared" si="258"/>
        <v>W30lc</v>
      </c>
      <c r="AN29" t="str">
        <f t="shared" ref="AN29" si="259">IF(AN27=0,"",CONCATENATE("W",AN27,LEFT(AN28,1),"c"))</f>
        <v>W30lc</v>
      </c>
      <c r="AO29" t="str">
        <f t="shared" ref="AO29:AP29" si="260">IF(AO27=0,"",CONCATENATE("W",AO27,LEFT(AO28,1),"c"))</f>
        <v/>
      </c>
      <c r="AP29" t="str">
        <f t="shared" si="260"/>
        <v>W30lc</v>
      </c>
      <c r="AQ29" t="str">
        <f t="shared" ref="AQ29:AV29" si="261">IF(AQ27=0,"",CONCATENATE("W",AQ27,LEFT(AQ28,1),"c"))</f>
        <v/>
      </c>
      <c r="AR29" t="str">
        <f t="shared" si="261"/>
        <v/>
      </c>
      <c r="AS29" t="str">
        <f t="shared" ref="AS29:AT29" si="262">IF(AS27=0,"",CONCATENATE("W",AS27,LEFT(AS28,1),"c"))</f>
        <v>W30lc</v>
      </c>
      <c r="AT29" t="str">
        <f t="shared" si="262"/>
        <v>W30lc</v>
      </c>
      <c r="AU29" t="str">
        <f t="shared" ref="AU29" si="263">IF(AU27=0,"",CONCATENATE("W",AU27,LEFT(AU28,1),"c"))</f>
        <v/>
      </c>
      <c r="AV29" t="str">
        <f t="shared" si="261"/>
        <v/>
      </c>
      <c r="AW29" t="str">
        <f t="shared" ref="AW29:AX29" si="264">IF(AW27=0,"",CONCATENATE("W",AW27,LEFT(AW28,1),"c"))</f>
        <v>W30lc</v>
      </c>
      <c r="AX29" t="str">
        <f t="shared" si="264"/>
        <v>W30lc</v>
      </c>
      <c r="AY29" t="str">
        <f>IF(AY27=0,"",CONCATENATE("W",AY27,LEFT(AY28,1),"c"))</f>
        <v/>
      </c>
      <c r="AZ29" t="str">
        <f>IF(AZ27=0,"",CONCATENATE("W",AZ27,LEFT(AZ28,1),"c"))</f>
        <v/>
      </c>
      <c r="BA29" t="str">
        <f>IF(BA27=0,"",CONCATENATE("W",BA27,LEFT(BA28,1),"c"))</f>
        <v/>
      </c>
      <c r="BB29" t="str">
        <f>IF(BB27=0,"",CONCATENATE("W",BB27,LEFT(BB28,1),"c"))</f>
        <v/>
      </c>
    </row>
    <row r="30" spans="1:54" x14ac:dyDescent="0.2">
      <c r="A30" t="s">
        <v>268</v>
      </c>
      <c r="C30" t="str">
        <f t="shared" ref="C30:Y30" si="265">CONCATENATE("wind",UPPER(LEFT(C28,1)), "C",C27)</f>
        <v>windLC0</v>
      </c>
      <c r="D30" t="str">
        <f t="shared" si="265"/>
        <v>windLC0</v>
      </c>
      <c r="E30" t="str">
        <f t="shared" si="265"/>
        <v>windLC0</v>
      </c>
      <c r="F30" t="str">
        <f t="shared" ref="F30" si="266">CONCATENATE("wind",UPPER(LEFT(F28,1)), "C",F27)</f>
        <v>windLC0</v>
      </c>
      <c r="G30" t="str">
        <f t="shared" si="265"/>
        <v>windLC0</v>
      </c>
      <c r="H30" t="str">
        <f t="shared" si="265"/>
        <v>windLC0</v>
      </c>
      <c r="I30" t="str">
        <f t="shared" ref="I30:K30" si="267">CONCATENATE("wind",UPPER(LEFT(I28,1)), "C",I27)</f>
        <v>windLC0</v>
      </c>
      <c r="J30" t="str">
        <f t="shared" si="265"/>
        <v>windLC0</v>
      </c>
      <c r="K30" t="str">
        <f t="shared" si="267"/>
        <v>windLC0</v>
      </c>
      <c r="L30" t="str">
        <f t="shared" si="265"/>
        <v>windLC0</v>
      </c>
      <c r="M30" t="str">
        <f t="shared" si="265"/>
        <v>windLC0</v>
      </c>
      <c r="N30" t="str">
        <f t="shared" ref="N30:O30" si="268">CONCATENATE("wind",UPPER(LEFT(N28,1)), "C",N27)</f>
        <v>windLC0</v>
      </c>
      <c r="O30" t="str">
        <f t="shared" si="268"/>
        <v>windLC0</v>
      </c>
      <c r="P30" t="str">
        <f t="shared" si="265"/>
        <v>windLC10</v>
      </c>
      <c r="Q30" t="str">
        <f t="shared" si="265"/>
        <v>windLC20</v>
      </c>
      <c r="R30" t="str">
        <f t="shared" si="265"/>
        <v>windLC30</v>
      </c>
      <c r="S30" t="str">
        <f t="shared" si="265"/>
        <v>windLC0</v>
      </c>
      <c r="T30" t="str">
        <f t="shared" si="265"/>
        <v>windLC0</v>
      </c>
      <c r="U30" t="str">
        <f t="shared" si="265"/>
        <v>windLC0</v>
      </c>
      <c r="V30" t="str">
        <f t="shared" si="265"/>
        <v>windLC30</v>
      </c>
      <c r="W30" t="str">
        <f t="shared" si="265"/>
        <v>windLC0</v>
      </c>
      <c r="X30" t="str">
        <f t="shared" si="265"/>
        <v>windLC0</v>
      </c>
      <c r="Y30" t="str">
        <f t="shared" si="265"/>
        <v>windLC0</v>
      </c>
      <c r="Z30" t="str">
        <f t="shared" ref="Z30:AE30" si="269">CONCATENATE("wind",UPPER(LEFT(Z28,1)), "C",Z27)</f>
        <v>windLC0</v>
      </c>
      <c r="AA30" t="str">
        <f t="shared" si="269"/>
        <v>windLC0</v>
      </c>
      <c r="AB30" t="str">
        <f t="shared" si="269"/>
        <v>windLC0</v>
      </c>
      <c r="AC30" t="str">
        <f t="shared" si="269"/>
        <v>windLC0</v>
      </c>
      <c r="AD30" t="str">
        <f t="shared" si="269"/>
        <v>windLC0</v>
      </c>
      <c r="AE30" t="str">
        <f t="shared" si="269"/>
        <v>windLC0</v>
      </c>
      <c r="AF30" t="str">
        <f t="shared" ref="AF30:AH30" si="270">CONCATENATE("wind",UPPER(LEFT(AF28,1)), "C",AF27)</f>
        <v>windLC30</v>
      </c>
      <c r="AG30" t="str">
        <f t="shared" ref="AG30" si="271">CONCATENATE("wind",UPPER(LEFT(AG28,1)), "C",AG27)</f>
        <v>windLC0</v>
      </c>
      <c r="AH30" t="str">
        <f t="shared" si="270"/>
        <v>windLC30</v>
      </c>
      <c r="AI30" t="str">
        <f t="shared" ref="AI30:AJ30" si="272">CONCATENATE("wind",UPPER(LEFT(AI28,1)), "C",AI27)</f>
        <v>windLC0</v>
      </c>
      <c r="AJ30" t="str">
        <f t="shared" si="272"/>
        <v>windLC30</v>
      </c>
      <c r="AK30" t="str">
        <f t="shared" ref="AK30" si="273">CONCATENATE("wind",UPPER(LEFT(AK28,1)), "C",AK27)</f>
        <v>windLC0</v>
      </c>
      <c r="AL30" t="str">
        <f t="shared" ref="AL30:AM30" si="274">CONCATENATE("wind",UPPER(LEFT(AL28,1)), "C",AL27)</f>
        <v>windLC30</v>
      </c>
      <c r="AM30" t="str">
        <f t="shared" si="274"/>
        <v>windLC30</v>
      </c>
      <c r="AN30" t="str">
        <f t="shared" ref="AN30" si="275">CONCATENATE("wind",UPPER(LEFT(AN28,1)), "C",AN27)</f>
        <v>windLC30</v>
      </c>
      <c r="AO30" t="str">
        <f t="shared" ref="AO30:AP30" si="276">CONCATENATE("wind",UPPER(LEFT(AO28,1)), "C",AO27)</f>
        <v>windLC0</v>
      </c>
      <c r="AP30" t="str">
        <f t="shared" si="276"/>
        <v>windLC30</v>
      </c>
      <c r="AQ30" t="str">
        <f t="shared" ref="AQ30:AV30" si="277">CONCATENATE("wind",UPPER(LEFT(AQ28,1)), "C",AQ27)</f>
        <v>windLC0</v>
      </c>
      <c r="AR30" t="str">
        <f t="shared" si="277"/>
        <v>windLC0</v>
      </c>
      <c r="AS30" t="str">
        <f t="shared" ref="AS30:AT30" si="278">CONCATENATE("wind",UPPER(LEFT(AS28,1)), "C",AS27)</f>
        <v>windLC30</v>
      </c>
      <c r="AT30" t="str">
        <f t="shared" si="278"/>
        <v>windLC30</v>
      </c>
      <c r="AU30" t="str">
        <f t="shared" ref="AU30" si="279">CONCATENATE("wind",UPPER(LEFT(AU28,1)), "C",AU27)</f>
        <v>windLC0</v>
      </c>
      <c r="AV30" t="str">
        <f t="shared" si="277"/>
        <v>windLC0</v>
      </c>
      <c r="AW30" t="str">
        <f t="shared" ref="AW30:AX30" si="280">CONCATENATE("wind",UPPER(LEFT(AW28,1)), "C",AW27)</f>
        <v>windLC30</v>
      </c>
      <c r="AX30" t="str">
        <f t="shared" si="280"/>
        <v>windLC30</v>
      </c>
      <c r="AY30" t="str">
        <f>CONCATENATE("wind",UPPER(LEFT(AY28,1)), "C",AY27)</f>
        <v>windLC0</v>
      </c>
      <c r="AZ30" t="str">
        <f>CONCATENATE("wind",UPPER(LEFT(AZ28,1)), "C",AZ27)</f>
        <v>windLC0</v>
      </c>
      <c r="BA30" t="str">
        <f>CONCATENATE("wind",UPPER(LEFT(BA28,1)), "C",BA27)</f>
        <v>windLC0</v>
      </c>
      <c r="BB30" t="str">
        <f>CONCATENATE("wind",UPPER(LEFT(BB28,1)), "C",BB27)</f>
        <v>windLC0</v>
      </c>
    </row>
    <row r="31" spans="1:54" x14ac:dyDescent="0.2">
      <c r="A31" s="21" t="s">
        <v>269</v>
      </c>
      <c r="B31" s="21" t="s">
        <v>264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10</v>
      </c>
      <c r="T31" s="21">
        <v>20</v>
      </c>
      <c r="U31" s="21">
        <v>30</v>
      </c>
      <c r="V31" s="21">
        <v>30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30</v>
      </c>
      <c r="AH31" s="21">
        <v>30</v>
      </c>
      <c r="AI31" s="21">
        <v>0</v>
      </c>
      <c r="AJ31" s="21">
        <v>0</v>
      </c>
      <c r="AK31" s="21">
        <v>30</v>
      </c>
      <c r="AL31" s="21">
        <v>30</v>
      </c>
      <c r="AM31" s="21">
        <v>30</v>
      </c>
      <c r="AN31" s="21">
        <v>0</v>
      </c>
      <c r="AO31" s="21">
        <v>30</v>
      </c>
      <c r="AP31" s="21">
        <v>30</v>
      </c>
      <c r="AQ31" s="21">
        <v>0</v>
      </c>
      <c r="AR31" s="21">
        <v>0</v>
      </c>
      <c r="AS31" s="21">
        <v>30</v>
      </c>
      <c r="AT31" s="21">
        <v>30</v>
      </c>
      <c r="AU31" s="21">
        <v>30</v>
      </c>
      <c r="AV31" s="21">
        <v>0</v>
      </c>
      <c r="AW31" s="21">
        <v>30</v>
      </c>
      <c r="AX31" s="21">
        <v>30</v>
      </c>
      <c r="AY31" s="21">
        <v>0</v>
      </c>
      <c r="AZ31" s="21">
        <v>0</v>
      </c>
      <c r="BA31" s="21">
        <v>0</v>
      </c>
      <c r="BB31" s="21">
        <v>0</v>
      </c>
    </row>
    <row r="32" spans="1:54" x14ac:dyDescent="0.2">
      <c r="A32" t="s">
        <v>270</v>
      </c>
      <c r="B32" t="s">
        <v>266</v>
      </c>
      <c r="C32" t="s">
        <v>249</v>
      </c>
      <c r="D32" t="s">
        <v>249</v>
      </c>
      <c r="E32" t="s">
        <v>249</v>
      </c>
      <c r="F32" t="s">
        <v>249</v>
      </c>
      <c r="G32" t="s">
        <v>249</v>
      </c>
      <c r="H32" t="s">
        <v>249</v>
      </c>
      <c r="I32" t="s">
        <v>249</v>
      </c>
      <c r="J32" t="s">
        <v>249</v>
      </c>
      <c r="K32" t="s">
        <v>249</v>
      </c>
      <c r="L32" t="s">
        <v>249</v>
      </c>
      <c r="M32" t="s">
        <v>249</v>
      </c>
      <c r="N32" t="s">
        <v>249</v>
      </c>
      <c r="O32" t="s">
        <v>249</v>
      </c>
      <c r="P32" t="s">
        <v>249</v>
      </c>
      <c r="Q32" t="s">
        <v>249</v>
      </c>
      <c r="R32" t="s">
        <v>249</v>
      </c>
      <c r="S32" t="s">
        <v>249</v>
      </c>
      <c r="T32" t="s">
        <v>249</v>
      </c>
      <c r="U32" t="s">
        <v>249</v>
      </c>
      <c r="V32" t="s">
        <v>249</v>
      </c>
      <c r="W32" t="s">
        <v>249</v>
      </c>
      <c r="X32" t="s">
        <v>249</v>
      </c>
      <c r="Y32" t="s">
        <v>249</v>
      </c>
      <c r="Z32" t="s">
        <v>249</v>
      </c>
      <c r="AA32" t="s">
        <v>249</v>
      </c>
      <c r="AB32" t="s">
        <v>249</v>
      </c>
      <c r="AC32" t="s">
        <v>249</v>
      </c>
      <c r="AD32" t="s">
        <v>249</v>
      </c>
      <c r="AE32" t="s">
        <v>249</v>
      </c>
      <c r="AF32" t="s">
        <v>249</v>
      </c>
      <c r="AG32" t="s">
        <v>249</v>
      </c>
      <c r="AH32" t="s">
        <v>249</v>
      </c>
      <c r="AI32" t="s">
        <v>249</v>
      </c>
      <c r="AJ32" t="s">
        <v>249</v>
      </c>
      <c r="AK32" t="s">
        <v>249</v>
      </c>
      <c r="AL32" t="s">
        <v>249</v>
      </c>
      <c r="AM32" t="s">
        <v>249</v>
      </c>
      <c r="AN32" t="s">
        <v>249</v>
      </c>
      <c r="AO32" t="s">
        <v>249</v>
      </c>
      <c r="AP32" t="s">
        <v>249</v>
      </c>
      <c r="AQ32" t="s">
        <v>249</v>
      </c>
      <c r="AR32" t="s">
        <v>249</v>
      </c>
      <c r="AS32" t="s">
        <v>249</v>
      </c>
      <c r="AT32" t="s">
        <v>249</v>
      </c>
      <c r="AU32" t="s">
        <v>249</v>
      </c>
      <c r="AV32" t="s">
        <v>249</v>
      </c>
      <c r="AW32" t="s">
        <v>249</v>
      </c>
      <c r="AX32" t="s">
        <v>249</v>
      </c>
      <c r="AY32" t="s">
        <v>249</v>
      </c>
      <c r="AZ32" t="s">
        <v>249</v>
      </c>
      <c r="BA32" t="s">
        <v>249</v>
      </c>
      <c r="BB32" t="s">
        <v>249</v>
      </c>
    </row>
    <row r="33" spans="1:54" x14ac:dyDescent="0.2">
      <c r="A33" t="s">
        <v>271</v>
      </c>
      <c r="C33" t="str">
        <f t="shared" ref="C33" si="281">IF(C31=0,"",CONCATENATE("S",C31,LEFT(C32,1),"c"))</f>
        <v/>
      </c>
      <c r="D33" t="str">
        <f t="shared" ref="D33" si="282">IF(D31=0,"",CONCATENATE("S",D31,LEFT(D32,1),"c"))</f>
        <v/>
      </c>
      <c r="E33" t="str">
        <f t="shared" ref="E33" si="283">IF(E31=0,"",CONCATENATE("S",E31,LEFT(E32,1),"c"))</f>
        <v/>
      </c>
      <c r="F33" t="str">
        <f t="shared" ref="F33" si="284">IF(F31=0,"",CONCATENATE("S",F31,LEFT(F32,1),"c"))</f>
        <v/>
      </c>
      <c r="G33" t="str">
        <f t="shared" ref="G33" si="285">IF(G31=0,"",CONCATENATE("S",G31,LEFT(G32,1),"c"))</f>
        <v/>
      </c>
      <c r="H33" t="str">
        <f t="shared" ref="H33:I33" si="286">IF(H31=0,"",CONCATENATE("S",H31,LEFT(H32,1),"c"))</f>
        <v/>
      </c>
      <c r="I33" t="str">
        <f t="shared" si="286"/>
        <v/>
      </c>
      <c r="J33" t="str">
        <f t="shared" ref="J33:K33" si="287">IF(J31=0,"",CONCATENATE("S",J31,LEFT(J32,1),"c"))</f>
        <v/>
      </c>
      <c r="K33" t="str">
        <f t="shared" si="287"/>
        <v/>
      </c>
      <c r="L33" t="str">
        <f t="shared" ref="L33" si="288">IF(L31=0,"",CONCATENATE("S",L31,LEFT(L32,1),"c"))</f>
        <v/>
      </c>
      <c r="M33" t="str">
        <f t="shared" ref="M33" si="289">IF(M31=0,"",CONCATENATE("S",M31,LEFT(M32,1),"c"))</f>
        <v/>
      </c>
      <c r="N33" t="str">
        <f t="shared" ref="N33" si="290">IF(N31=0,"",CONCATENATE("S",N31,LEFT(N32,1),"c"))</f>
        <v/>
      </c>
      <c r="O33" t="str">
        <f t="shared" ref="O33" si="291">IF(O31=0,"",CONCATENATE("S",O31,LEFT(O32,1),"c"))</f>
        <v/>
      </c>
      <c r="P33" t="str">
        <f t="shared" ref="P33" si="292">IF(P31=0,"",CONCATENATE("S",P31,LEFT(P32,1),"c"))</f>
        <v/>
      </c>
      <c r="Q33" t="str">
        <f t="shared" ref="Q33" si="293">IF(Q31=0,"",CONCATENATE("S",Q31,LEFT(Q32,1),"c"))</f>
        <v/>
      </c>
      <c r="R33" t="str">
        <f t="shared" ref="R33" si="294">IF(R31=0,"",CONCATENATE("S",R31,LEFT(R32,1),"c"))</f>
        <v/>
      </c>
      <c r="S33" t="str">
        <f t="shared" ref="S33:Y33" si="295">IF(S31=0,"",CONCATENATE("S",S31,LEFT(S32,1),"c"))</f>
        <v>S10lc</v>
      </c>
      <c r="T33" t="str">
        <f t="shared" si="295"/>
        <v>S20lc</v>
      </c>
      <c r="U33" t="str">
        <f t="shared" si="295"/>
        <v>S30lc</v>
      </c>
      <c r="V33" t="str">
        <f t="shared" si="295"/>
        <v>S30lc</v>
      </c>
      <c r="W33" t="str">
        <f t="shared" si="295"/>
        <v/>
      </c>
      <c r="X33" t="str">
        <f t="shared" si="295"/>
        <v/>
      </c>
      <c r="Y33" t="str">
        <f t="shared" si="295"/>
        <v/>
      </c>
      <c r="Z33" t="str">
        <f>IF(Z31=0,"",CONCATENATE("S",Z31,LEFT(Z32,1),"c"))</f>
        <v/>
      </c>
      <c r="AA33" t="str">
        <f t="shared" ref="AA33:AP33" si="296">IF(AA31=0,"",CONCATENATE("S",AA31,LEFT(AA32,1),"c"))</f>
        <v/>
      </c>
      <c r="AB33" t="str">
        <f t="shared" si="296"/>
        <v/>
      </c>
      <c r="AC33" t="str">
        <f t="shared" si="296"/>
        <v/>
      </c>
      <c r="AD33" t="str">
        <f t="shared" si="296"/>
        <v/>
      </c>
      <c r="AE33" t="str">
        <f t="shared" si="296"/>
        <v/>
      </c>
      <c r="AF33" t="str">
        <f t="shared" ref="AF33:AH33" si="297">IF(AF31=0,"",CONCATENATE("S",AF31,LEFT(AF32,1),"c"))</f>
        <v/>
      </c>
      <c r="AG33" t="str">
        <f t="shared" ref="AG33" si="298">IF(AG31=0,"",CONCATENATE("S",AG31,LEFT(AG32,1),"c"))</f>
        <v>S30lc</v>
      </c>
      <c r="AH33" t="str">
        <f t="shared" si="297"/>
        <v>S30lc</v>
      </c>
      <c r="AI33" t="str">
        <f t="shared" si="296"/>
        <v/>
      </c>
      <c r="AJ33" t="str">
        <f t="shared" ref="AJ33:AM33" si="299">IF(AJ31=0,"",CONCATENATE("S",AJ31,LEFT(AJ32,1),"c"))</f>
        <v/>
      </c>
      <c r="AK33" t="str">
        <f t="shared" ref="AK33" si="300">IF(AK31=0,"",CONCATENATE("S",AK31,LEFT(AK32,1),"c"))</f>
        <v>S30lc</v>
      </c>
      <c r="AL33" t="str">
        <f t="shared" si="299"/>
        <v>S30lc</v>
      </c>
      <c r="AM33" t="str">
        <f t="shared" si="299"/>
        <v>S30lc</v>
      </c>
      <c r="AN33" t="str">
        <f t="shared" si="296"/>
        <v/>
      </c>
      <c r="AO33" t="str">
        <f t="shared" si="296"/>
        <v>S30lc</v>
      </c>
      <c r="AP33" t="str">
        <f t="shared" si="296"/>
        <v>S30lc</v>
      </c>
      <c r="AQ33" t="str">
        <f t="shared" ref="AQ33:AV33" si="301">IF(AQ31=0,"",CONCATENATE("S",AQ31,LEFT(AQ32,1),"c"))</f>
        <v/>
      </c>
      <c r="AR33" t="str">
        <f t="shared" si="301"/>
        <v/>
      </c>
      <c r="AS33" t="str">
        <f t="shared" ref="AS33:AT33" si="302">IF(AS31=0,"",CONCATENATE("S",AS31,LEFT(AS32,1),"c"))</f>
        <v>S30lc</v>
      </c>
      <c r="AT33" t="str">
        <f t="shared" si="302"/>
        <v>S30lc</v>
      </c>
      <c r="AU33" t="str">
        <f t="shared" ref="AU33" si="303">IF(AU31=0,"",CONCATENATE("S",AU31,LEFT(AU32,1),"c"))</f>
        <v>S30lc</v>
      </c>
      <c r="AV33" t="str">
        <f t="shared" si="301"/>
        <v/>
      </c>
      <c r="AW33" t="str">
        <f t="shared" ref="AW33:AX33" si="304">IF(AW31=0,"",CONCATENATE("S",AW31,LEFT(AW32,1),"c"))</f>
        <v>S30lc</v>
      </c>
      <c r="AX33" t="str">
        <f t="shared" si="304"/>
        <v>S30lc</v>
      </c>
      <c r="AY33" t="str">
        <f>IF(AY31=0,"",CONCATENATE("S",AY31,LEFT(AY32,1),"c"))</f>
        <v/>
      </c>
      <c r="AZ33" t="str">
        <f>IF(AZ31=0,"",CONCATENATE("S",AZ31,LEFT(AZ32,1),"c"))</f>
        <v/>
      </c>
      <c r="BA33" t="str">
        <f>IF(BA31=0,"",CONCATENATE("S",BA31,LEFT(BA32,1),"c"))</f>
        <v/>
      </c>
      <c r="BB33" t="str">
        <f>IF(BB31=0,"",CONCATENATE("S",BB31,LEFT(BB32,1),"c"))</f>
        <v/>
      </c>
    </row>
    <row r="34" spans="1:54" x14ac:dyDescent="0.2">
      <c r="A34" t="s">
        <v>272</v>
      </c>
      <c r="C34" t="str">
        <f t="shared" ref="C34:Y34" si="305">CONCATENATE("solar",UPPER(LEFT(C32,1)), "C",C31)</f>
        <v>solarLC0</v>
      </c>
      <c r="D34" t="str">
        <f t="shared" si="305"/>
        <v>solarLC0</v>
      </c>
      <c r="E34" t="str">
        <f t="shared" si="305"/>
        <v>solarLC0</v>
      </c>
      <c r="F34" t="str">
        <f t="shared" ref="F34" si="306">CONCATENATE("solar",UPPER(LEFT(F32,1)), "C",F31)</f>
        <v>solarLC0</v>
      </c>
      <c r="G34" t="str">
        <f t="shared" si="305"/>
        <v>solarLC0</v>
      </c>
      <c r="H34" t="str">
        <f t="shared" si="305"/>
        <v>solarLC0</v>
      </c>
      <c r="I34" t="str">
        <f t="shared" ref="I34:K34" si="307">CONCATENATE("solar",UPPER(LEFT(I32,1)), "C",I31)</f>
        <v>solarLC0</v>
      </c>
      <c r="J34" t="str">
        <f t="shared" si="305"/>
        <v>solarLC0</v>
      </c>
      <c r="K34" t="str">
        <f t="shared" si="307"/>
        <v>solarLC0</v>
      </c>
      <c r="L34" t="str">
        <f t="shared" si="305"/>
        <v>solarLC0</v>
      </c>
      <c r="M34" t="str">
        <f t="shared" si="305"/>
        <v>solarLC0</v>
      </c>
      <c r="N34" t="str">
        <f t="shared" ref="N34:O34" si="308">CONCATENATE("solar",UPPER(LEFT(N32,1)), "C",N31)</f>
        <v>solarLC0</v>
      </c>
      <c r="O34" t="str">
        <f t="shared" si="308"/>
        <v>solarLC0</v>
      </c>
      <c r="P34" t="str">
        <f t="shared" si="305"/>
        <v>solarLC0</v>
      </c>
      <c r="Q34" t="str">
        <f t="shared" si="305"/>
        <v>solarLC0</v>
      </c>
      <c r="R34" t="str">
        <f t="shared" si="305"/>
        <v>solarLC0</v>
      </c>
      <c r="S34" t="str">
        <f t="shared" si="305"/>
        <v>solarLC10</v>
      </c>
      <c r="T34" t="str">
        <f t="shared" si="305"/>
        <v>solarLC20</v>
      </c>
      <c r="U34" t="str">
        <f t="shared" si="305"/>
        <v>solarLC30</v>
      </c>
      <c r="V34" t="str">
        <f t="shared" si="305"/>
        <v>solarLC30</v>
      </c>
      <c r="W34" t="str">
        <f t="shared" si="305"/>
        <v>solarLC0</v>
      </c>
      <c r="X34" t="str">
        <f t="shared" si="305"/>
        <v>solarLC0</v>
      </c>
      <c r="Y34" t="str">
        <f t="shared" si="305"/>
        <v>solarLC0</v>
      </c>
      <c r="Z34" t="str">
        <f t="shared" ref="Z34:AE34" si="309">CONCATENATE("solar",UPPER(LEFT(Z32,1)), "C",Z31)</f>
        <v>solarLC0</v>
      </c>
      <c r="AA34" t="str">
        <f t="shared" si="309"/>
        <v>solarLC0</v>
      </c>
      <c r="AB34" t="str">
        <f t="shared" si="309"/>
        <v>solarLC0</v>
      </c>
      <c r="AC34" t="str">
        <f t="shared" si="309"/>
        <v>solarLC0</v>
      </c>
      <c r="AD34" t="str">
        <f t="shared" si="309"/>
        <v>solarLC0</v>
      </c>
      <c r="AE34" t="str">
        <f t="shared" si="309"/>
        <v>solarLC0</v>
      </c>
      <c r="AF34" t="str">
        <f t="shared" ref="AF34:AH34" si="310">CONCATENATE("solar",UPPER(LEFT(AF32,1)), "C",AF31)</f>
        <v>solarLC0</v>
      </c>
      <c r="AG34" t="str">
        <f t="shared" ref="AG34" si="311">CONCATENATE("solar",UPPER(LEFT(AG32,1)), "C",AG31)</f>
        <v>solarLC30</v>
      </c>
      <c r="AH34" t="str">
        <f t="shared" si="310"/>
        <v>solarLC30</v>
      </c>
      <c r="AI34" t="str">
        <f t="shared" ref="AI34:AJ34" si="312">CONCATENATE("solar",UPPER(LEFT(AI32,1)), "C",AI31)</f>
        <v>solarLC0</v>
      </c>
      <c r="AJ34" t="str">
        <f t="shared" si="312"/>
        <v>solarLC0</v>
      </c>
      <c r="AK34" t="str">
        <f t="shared" ref="AK34" si="313">CONCATENATE("solar",UPPER(LEFT(AK32,1)), "C",AK31)</f>
        <v>solarLC30</v>
      </c>
      <c r="AL34" t="str">
        <f t="shared" ref="AL34:AM34" si="314">CONCATENATE("solar",UPPER(LEFT(AL32,1)), "C",AL31)</f>
        <v>solarLC30</v>
      </c>
      <c r="AM34" t="str">
        <f t="shared" si="314"/>
        <v>solarLC30</v>
      </c>
      <c r="AN34" t="str">
        <f t="shared" ref="AN34" si="315">CONCATENATE("solar",UPPER(LEFT(AN32,1)), "C",AN31)</f>
        <v>solarLC0</v>
      </c>
      <c r="AO34" t="str">
        <f t="shared" ref="AO34:AP34" si="316">CONCATENATE("solar",UPPER(LEFT(AO32,1)), "C",AO31)</f>
        <v>solarLC30</v>
      </c>
      <c r="AP34" t="str">
        <f t="shared" si="316"/>
        <v>solarLC30</v>
      </c>
      <c r="AQ34" t="str">
        <f t="shared" ref="AQ34:AV34" si="317">CONCATENATE("solar",UPPER(LEFT(AQ32,1)), "C",AQ31)</f>
        <v>solarLC0</v>
      </c>
      <c r="AR34" t="str">
        <f t="shared" si="317"/>
        <v>solarLC0</v>
      </c>
      <c r="AS34" t="str">
        <f t="shared" ref="AS34:AT34" si="318">CONCATENATE("solar",UPPER(LEFT(AS32,1)), "C",AS31)</f>
        <v>solarLC30</v>
      </c>
      <c r="AT34" t="str">
        <f t="shared" si="318"/>
        <v>solarLC30</v>
      </c>
      <c r="AU34" t="str">
        <f t="shared" ref="AU34" si="319">CONCATENATE("solar",UPPER(LEFT(AU32,1)), "C",AU31)</f>
        <v>solarLC30</v>
      </c>
      <c r="AV34" t="str">
        <f t="shared" si="317"/>
        <v>solarLC0</v>
      </c>
      <c r="AW34" t="str">
        <f t="shared" ref="AW34:AX34" si="320">CONCATENATE("solar",UPPER(LEFT(AW32,1)), "C",AW31)</f>
        <v>solarLC30</v>
      </c>
      <c r="AX34" t="str">
        <f t="shared" si="320"/>
        <v>solarLC30</v>
      </c>
      <c r="AY34" t="str">
        <f>CONCATENATE("solar",UPPER(LEFT(AY32,1)), "C",AY31)</f>
        <v>solarLC0</v>
      </c>
      <c r="AZ34" t="str">
        <f>CONCATENATE("solar",UPPER(LEFT(AZ32,1)), "C",AZ31)</f>
        <v>solarLC0</v>
      </c>
      <c r="BA34" t="str">
        <f>CONCATENATE("solar",UPPER(LEFT(BA32,1)), "C",BA31)</f>
        <v>solarLC0</v>
      </c>
      <c r="BB34" t="str">
        <f>CONCATENATE("solar",UPPER(LEFT(BB32,1)), "C",BB31)</f>
        <v>solarLC0</v>
      </c>
    </row>
    <row r="35" spans="1:54" x14ac:dyDescent="0.2">
      <c r="A35" s="21" t="s">
        <v>273</v>
      </c>
      <c r="B35" s="21" t="s">
        <v>274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80</v>
      </c>
      <c r="U35" s="21">
        <v>80</v>
      </c>
      <c r="V35" s="21">
        <v>80</v>
      </c>
      <c r="W35" s="21">
        <v>120</v>
      </c>
      <c r="X35" s="21">
        <v>80</v>
      </c>
      <c r="Y35" s="21">
        <v>80</v>
      </c>
      <c r="Z35" s="21">
        <v>120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  <c r="AH35" s="21">
        <v>80</v>
      </c>
      <c r="AI35" s="21">
        <v>80</v>
      </c>
      <c r="AJ35" s="21">
        <v>80</v>
      </c>
      <c r="AK35" s="21">
        <v>80</v>
      </c>
      <c r="AL35" s="21">
        <v>80</v>
      </c>
      <c r="AM35" s="21">
        <v>80</v>
      </c>
      <c r="AN35" s="21">
        <v>80</v>
      </c>
      <c r="AO35" s="21">
        <v>80</v>
      </c>
      <c r="AP35" s="21">
        <v>80</v>
      </c>
      <c r="AQ35" s="21">
        <v>80</v>
      </c>
      <c r="AR35" s="21">
        <v>80</v>
      </c>
      <c r="AS35" s="21">
        <v>80</v>
      </c>
      <c r="AT35" s="21">
        <v>80</v>
      </c>
      <c r="AU35" s="21">
        <v>80</v>
      </c>
      <c r="AV35" s="21">
        <v>80</v>
      </c>
      <c r="AW35" s="21">
        <v>80</v>
      </c>
      <c r="AX35" s="21">
        <v>80</v>
      </c>
      <c r="AY35" s="21">
        <v>80</v>
      </c>
      <c r="AZ35" s="21">
        <v>80</v>
      </c>
      <c r="BA35" s="21">
        <v>80</v>
      </c>
      <c r="BB35" s="21">
        <v>80</v>
      </c>
    </row>
    <row r="36" spans="1:54" x14ac:dyDescent="0.2">
      <c r="A36" t="s">
        <v>275</v>
      </c>
      <c r="C36" t="str">
        <f t="shared" ref="C36:Y36" si="321">IF(C35=80,"", CONCATENATE("W",C35))</f>
        <v/>
      </c>
      <c r="D36" t="str">
        <f t="shared" si="321"/>
        <v/>
      </c>
      <c r="E36" t="str">
        <f t="shared" si="321"/>
        <v/>
      </c>
      <c r="F36" t="str">
        <f t="shared" ref="F36" si="322">IF(F35=80,"", CONCATENATE("W",F35))</f>
        <v/>
      </c>
      <c r="G36" t="str">
        <f t="shared" si="321"/>
        <v/>
      </c>
      <c r="H36" t="str">
        <f t="shared" si="321"/>
        <v/>
      </c>
      <c r="I36" t="str">
        <f t="shared" ref="I36:K36" si="323">IF(I35=80,"", CONCATENATE("W",I35))</f>
        <v/>
      </c>
      <c r="J36" t="str">
        <f t="shared" si="321"/>
        <v/>
      </c>
      <c r="K36" t="str">
        <f t="shared" si="323"/>
        <v/>
      </c>
      <c r="L36" t="str">
        <f t="shared" si="321"/>
        <v/>
      </c>
      <c r="M36" t="str">
        <f t="shared" si="321"/>
        <v/>
      </c>
      <c r="N36" t="str">
        <f t="shared" ref="N36:O36" si="324">IF(N35=80,"", CONCATENATE("W",N35))</f>
        <v/>
      </c>
      <c r="O36" t="str">
        <f t="shared" si="324"/>
        <v/>
      </c>
      <c r="P36" t="str">
        <f t="shared" si="321"/>
        <v/>
      </c>
      <c r="Q36" t="str">
        <f t="shared" si="321"/>
        <v/>
      </c>
      <c r="R36" t="str">
        <f t="shared" si="321"/>
        <v/>
      </c>
      <c r="S36" t="str">
        <f t="shared" si="321"/>
        <v/>
      </c>
      <c r="T36" t="str">
        <f t="shared" si="321"/>
        <v/>
      </c>
      <c r="U36" t="str">
        <f t="shared" si="321"/>
        <v/>
      </c>
      <c r="V36" t="str">
        <f t="shared" si="321"/>
        <v/>
      </c>
      <c r="W36" t="str">
        <f t="shared" si="321"/>
        <v>W120</v>
      </c>
      <c r="X36" t="str">
        <f t="shared" si="321"/>
        <v/>
      </c>
      <c r="Y36" t="str">
        <f t="shared" si="321"/>
        <v/>
      </c>
      <c r="Z36" t="str">
        <f t="shared" ref="Z36:AE36" si="325">IF(Z35=80,"", CONCATENATE("W",Z35))</f>
        <v>W120</v>
      </c>
      <c r="AA36" t="str">
        <f t="shared" si="325"/>
        <v/>
      </c>
      <c r="AB36" t="str">
        <f t="shared" si="325"/>
        <v/>
      </c>
      <c r="AC36" t="str">
        <f t="shared" si="325"/>
        <v/>
      </c>
      <c r="AD36" t="str">
        <f t="shared" si="325"/>
        <v/>
      </c>
      <c r="AE36" t="str">
        <f t="shared" si="325"/>
        <v/>
      </c>
      <c r="AF36" t="str">
        <f t="shared" ref="AF36:AH36" si="326">IF(AF35=80,"", CONCATENATE("W",AF35))</f>
        <v/>
      </c>
      <c r="AG36" t="str">
        <f t="shared" ref="AG36" si="327">IF(AG35=80,"", CONCATENATE("W",AG35))</f>
        <v/>
      </c>
      <c r="AH36" t="str">
        <f t="shared" si="326"/>
        <v/>
      </c>
      <c r="AI36" t="str">
        <f t="shared" ref="AI36:AJ36" si="328">IF(AI35=80,"", CONCATENATE("W",AI35))</f>
        <v/>
      </c>
      <c r="AJ36" t="str">
        <f t="shared" si="328"/>
        <v/>
      </c>
      <c r="AK36" t="str">
        <f t="shared" ref="AK36" si="329">IF(AK35=80,"", CONCATENATE("W",AK35))</f>
        <v/>
      </c>
      <c r="AL36" t="str">
        <f t="shared" ref="AL36:AM36" si="330">IF(AL35=80,"", CONCATENATE("W",AL35))</f>
        <v/>
      </c>
      <c r="AM36" t="str">
        <f t="shared" si="330"/>
        <v/>
      </c>
      <c r="AN36" t="str">
        <f t="shared" ref="AN36" si="331">IF(AN35=80,"", CONCATENATE("W",AN35))</f>
        <v/>
      </c>
      <c r="AO36" t="str">
        <f t="shared" ref="AO36:AP36" si="332">IF(AO35=80,"", CONCATENATE("W",AO35))</f>
        <v/>
      </c>
      <c r="AP36" t="str">
        <f t="shared" si="332"/>
        <v/>
      </c>
      <c r="AQ36" t="str">
        <f t="shared" ref="AQ36:AV36" si="333">IF(AQ35=80,"", CONCATENATE("W",AQ35))</f>
        <v/>
      </c>
      <c r="AR36" t="str">
        <f t="shared" si="333"/>
        <v/>
      </c>
      <c r="AS36" t="str">
        <f t="shared" ref="AS36:AT36" si="334">IF(AS35=80,"", CONCATENATE("W",AS35))</f>
        <v/>
      </c>
      <c r="AT36" t="str">
        <f t="shared" si="334"/>
        <v/>
      </c>
      <c r="AU36" t="str">
        <f t="shared" ref="AU36" si="335">IF(AU35=80,"", CONCATENATE("W",AU35))</f>
        <v/>
      </c>
      <c r="AV36" t="str">
        <f t="shared" si="333"/>
        <v/>
      </c>
      <c r="AW36" t="str">
        <f t="shared" ref="AW36:AX36" si="336">IF(AW35=80,"", CONCATENATE("W",AW35))</f>
        <v/>
      </c>
      <c r="AX36" t="str">
        <f t="shared" si="336"/>
        <v/>
      </c>
      <c r="AY36" t="str">
        <f>IF(AY35=80,"", CONCATENATE("W",AY35))</f>
        <v/>
      </c>
      <c r="AZ36" t="str">
        <f>IF(AZ35=80,"", CONCATENATE("W",AZ35))</f>
        <v/>
      </c>
      <c r="BA36" t="str">
        <f>IF(BA35=80,"", CONCATENATE("W",BA35))</f>
        <v/>
      </c>
      <c r="BB36" t="str">
        <f>IF(BB35=80,"", CONCATENATE("W",BB35))</f>
        <v/>
      </c>
    </row>
    <row r="37" spans="1:54" x14ac:dyDescent="0.2">
      <c r="A37" t="s">
        <v>276</v>
      </c>
      <c r="C37" t="str">
        <f t="shared" ref="C37:Y37" si="337">CONCATENATE("W",C35)</f>
        <v>W80</v>
      </c>
      <c r="D37" t="str">
        <f t="shared" si="337"/>
        <v>W80</v>
      </c>
      <c r="E37" t="str">
        <f t="shared" si="337"/>
        <v>W80</v>
      </c>
      <c r="F37" t="str">
        <f t="shared" ref="F37" si="338">CONCATENATE("W",F35)</f>
        <v>W80</v>
      </c>
      <c r="G37" t="str">
        <f t="shared" si="337"/>
        <v>W80</v>
      </c>
      <c r="H37" t="str">
        <f t="shared" si="337"/>
        <v>W80</v>
      </c>
      <c r="I37" t="str">
        <f t="shared" ref="I37:K37" si="339">CONCATENATE("W",I35)</f>
        <v>W80</v>
      </c>
      <c r="J37" t="str">
        <f t="shared" si="337"/>
        <v>W80</v>
      </c>
      <c r="K37" t="str">
        <f t="shared" si="339"/>
        <v>W80</v>
      </c>
      <c r="L37" t="str">
        <f t="shared" si="337"/>
        <v>W80</v>
      </c>
      <c r="M37" t="str">
        <f t="shared" si="337"/>
        <v>W80</v>
      </c>
      <c r="N37" t="str">
        <f t="shared" ref="N37:O37" si="340">CONCATENATE("W",N35)</f>
        <v>W80</v>
      </c>
      <c r="O37" t="str">
        <f t="shared" si="340"/>
        <v>W80</v>
      </c>
      <c r="P37" t="str">
        <f t="shared" si="337"/>
        <v>W80</v>
      </c>
      <c r="Q37" t="str">
        <f t="shared" si="337"/>
        <v>W80</v>
      </c>
      <c r="R37" t="str">
        <f t="shared" si="337"/>
        <v>W80</v>
      </c>
      <c r="S37" t="str">
        <f t="shared" si="337"/>
        <v>W80</v>
      </c>
      <c r="T37" t="str">
        <f t="shared" si="337"/>
        <v>W80</v>
      </c>
      <c r="U37" t="str">
        <f t="shared" si="337"/>
        <v>W80</v>
      </c>
      <c r="V37" t="str">
        <f t="shared" si="337"/>
        <v>W80</v>
      </c>
      <c r="W37" t="str">
        <f t="shared" si="337"/>
        <v>W120</v>
      </c>
      <c r="X37" t="str">
        <f t="shared" si="337"/>
        <v>W80</v>
      </c>
      <c r="Y37" t="str">
        <f t="shared" si="337"/>
        <v>W80</v>
      </c>
      <c r="Z37" t="str">
        <f t="shared" ref="Z37:AE37" si="341">CONCATENATE("W",Z35)</f>
        <v>W120</v>
      </c>
      <c r="AA37" t="str">
        <f t="shared" si="341"/>
        <v>W80</v>
      </c>
      <c r="AB37" t="str">
        <f t="shared" si="341"/>
        <v>W80</v>
      </c>
      <c r="AC37" t="str">
        <f t="shared" si="341"/>
        <v>W80</v>
      </c>
      <c r="AD37" t="str">
        <f t="shared" si="341"/>
        <v>W80</v>
      </c>
      <c r="AE37" t="str">
        <f t="shared" si="341"/>
        <v>W80</v>
      </c>
      <c r="AF37" t="str">
        <f t="shared" ref="AF37:AH37" si="342">CONCATENATE("W",AF35)</f>
        <v>W80</v>
      </c>
      <c r="AG37" t="str">
        <f t="shared" ref="AG37" si="343">CONCATENATE("W",AG35)</f>
        <v>W80</v>
      </c>
      <c r="AH37" t="str">
        <f t="shared" si="342"/>
        <v>W80</v>
      </c>
      <c r="AI37" t="str">
        <f t="shared" ref="AI37:AJ37" si="344">CONCATENATE("W",AI35)</f>
        <v>W80</v>
      </c>
      <c r="AJ37" t="str">
        <f t="shared" si="344"/>
        <v>W80</v>
      </c>
      <c r="AK37" t="str">
        <f t="shared" ref="AK37" si="345">CONCATENATE("W",AK35)</f>
        <v>W80</v>
      </c>
      <c r="AL37" t="str">
        <f t="shared" ref="AL37:AM37" si="346">CONCATENATE("W",AL35)</f>
        <v>W80</v>
      </c>
      <c r="AM37" t="str">
        <f t="shared" si="346"/>
        <v>W80</v>
      </c>
      <c r="AN37" t="str">
        <f t="shared" ref="AN37" si="347">CONCATENATE("W",AN35)</f>
        <v>W80</v>
      </c>
      <c r="AO37" t="str">
        <f t="shared" ref="AO37:AP37" si="348">CONCATENATE("W",AO35)</f>
        <v>W80</v>
      </c>
      <c r="AP37" t="str">
        <f t="shared" si="348"/>
        <v>W80</v>
      </c>
      <c r="AQ37" t="str">
        <f t="shared" ref="AQ37:AV37" si="349">CONCATENATE("W",AQ35)</f>
        <v>W80</v>
      </c>
      <c r="AR37" t="str">
        <f t="shared" si="349"/>
        <v>W80</v>
      </c>
      <c r="AS37" t="str">
        <f t="shared" ref="AS37:AT37" si="350">CONCATENATE("W",AS35)</f>
        <v>W80</v>
      </c>
      <c r="AT37" t="str">
        <f t="shared" si="350"/>
        <v>W80</v>
      </c>
      <c r="AU37" t="str">
        <f t="shared" ref="AU37" si="351">CONCATENATE("W",AU35)</f>
        <v>W80</v>
      </c>
      <c r="AV37" t="str">
        <f t="shared" si="349"/>
        <v>W80</v>
      </c>
      <c r="AW37" t="str">
        <f t="shared" ref="AW37:AX37" si="352">CONCATENATE("W",AW35)</f>
        <v>W80</v>
      </c>
      <c r="AX37" t="str">
        <f t="shared" si="352"/>
        <v>W80</v>
      </c>
      <c r="AY37" t="str">
        <f>CONCATENATE("W",AY35)</f>
        <v>W80</v>
      </c>
      <c r="AZ37" t="str">
        <f>CONCATENATE("W",AZ35)</f>
        <v>W80</v>
      </c>
      <c r="BA37" t="str">
        <f>CONCATENATE("W",BA35)</f>
        <v>W80</v>
      </c>
      <c r="BB37" t="str">
        <f>CONCATENATE("W",BB35)</f>
        <v>W80</v>
      </c>
    </row>
    <row r="38" spans="1:54" x14ac:dyDescent="0.2">
      <c r="A38" s="21" t="s">
        <v>277</v>
      </c>
      <c r="B38" s="21" t="s">
        <v>278</v>
      </c>
      <c r="C38" s="21" t="s">
        <v>279</v>
      </c>
      <c r="D38" s="21" t="s">
        <v>279</v>
      </c>
      <c r="E38" s="21" t="s">
        <v>279</v>
      </c>
      <c r="F38" s="21" t="s">
        <v>279</v>
      </c>
      <c r="G38" s="21" t="s">
        <v>279</v>
      </c>
      <c r="H38" s="21" t="s">
        <v>279</v>
      </c>
      <c r="I38" s="21" t="s">
        <v>279</v>
      </c>
      <c r="J38" s="21" t="s">
        <v>279</v>
      </c>
      <c r="K38" s="21" t="s">
        <v>279</v>
      </c>
      <c r="L38" s="21" t="s">
        <v>279</v>
      </c>
      <c r="M38" s="21" t="s">
        <v>279</v>
      </c>
      <c r="N38" s="21" t="s">
        <v>279</v>
      </c>
      <c r="O38" s="21" t="s">
        <v>279</v>
      </c>
      <c r="P38" s="21" t="s">
        <v>279</v>
      </c>
      <c r="Q38" s="21" t="s">
        <v>279</v>
      </c>
      <c r="R38" s="21" t="s">
        <v>279</v>
      </c>
      <c r="S38" s="21" t="s">
        <v>279</v>
      </c>
      <c r="T38" s="21" t="s">
        <v>279</v>
      </c>
      <c r="U38" s="21" t="s">
        <v>279</v>
      </c>
      <c r="V38" s="21" t="s">
        <v>279</v>
      </c>
      <c r="W38" s="21" t="s">
        <v>279</v>
      </c>
      <c r="X38" s="21" t="s">
        <v>280</v>
      </c>
      <c r="Y38" s="21" t="s">
        <v>281</v>
      </c>
      <c r="Z38" s="21" t="s">
        <v>280</v>
      </c>
      <c r="AA38" s="21" t="s">
        <v>279</v>
      </c>
      <c r="AB38" s="21" t="s">
        <v>279</v>
      </c>
      <c r="AC38" s="21" t="s">
        <v>279</v>
      </c>
      <c r="AD38" s="21" t="s">
        <v>279</v>
      </c>
      <c r="AE38" s="21" t="s">
        <v>279</v>
      </c>
      <c r="AF38" s="21" t="s">
        <v>279</v>
      </c>
      <c r="AG38" s="21" t="s">
        <v>279</v>
      </c>
      <c r="AH38" s="21" t="s">
        <v>279</v>
      </c>
      <c r="AI38" s="21" t="s">
        <v>279</v>
      </c>
      <c r="AJ38" s="21" t="s">
        <v>279</v>
      </c>
      <c r="AK38" s="21" t="s">
        <v>279</v>
      </c>
      <c r="AL38" s="21" t="s">
        <v>279</v>
      </c>
      <c r="AM38" s="21" t="s">
        <v>279</v>
      </c>
      <c r="AN38" s="21" t="s">
        <v>279</v>
      </c>
      <c r="AO38" s="21" t="s">
        <v>279</v>
      </c>
      <c r="AP38" s="21" t="s">
        <v>279</v>
      </c>
      <c r="AQ38" s="21" t="s">
        <v>279</v>
      </c>
      <c r="AR38" s="21" t="s">
        <v>279</v>
      </c>
      <c r="AS38" s="21" t="s">
        <v>279</v>
      </c>
      <c r="AT38" s="21" t="s">
        <v>279</v>
      </c>
      <c r="AU38" s="21" t="s">
        <v>279</v>
      </c>
      <c r="AV38" s="21" t="s">
        <v>279</v>
      </c>
      <c r="AW38" s="21" t="s">
        <v>279</v>
      </c>
      <c r="AX38" s="21" t="s">
        <v>279</v>
      </c>
      <c r="AY38" s="21" t="s">
        <v>279</v>
      </c>
      <c r="AZ38" s="21" t="s">
        <v>279</v>
      </c>
      <c r="BA38" s="21" t="s">
        <v>279</v>
      </c>
      <c r="BB38" s="21" t="s">
        <v>279</v>
      </c>
    </row>
    <row r="39" spans="1:54" x14ac:dyDescent="0.2">
      <c r="A39" t="s">
        <v>282</v>
      </c>
      <c r="C39" t="str">
        <f t="shared" ref="C39:Y39" si="353">IF(C38="0d", "", CONCATENATE("S",C38))</f>
        <v/>
      </c>
      <c r="D39" t="str">
        <f t="shared" si="353"/>
        <v/>
      </c>
      <c r="E39" t="str">
        <f t="shared" si="353"/>
        <v/>
      </c>
      <c r="F39" t="str">
        <f t="shared" ref="F39" si="354">IF(F38="0d", "", CONCATENATE("S",F38))</f>
        <v/>
      </c>
      <c r="G39" t="str">
        <f t="shared" si="353"/>
        <v/>
      </c>
      <c r="H39" t="str">
        <f t="shared" si="353"/>
        <v/>
      </c>
      <c r="I39" t="str">
        <f t="shared" ref="I39:K39" si="355">IF(I38="0d", "", CONCATENATE("S",I38))</f>
        <v/>
      </c>
      <c r="J39" t="str">
        <f t="shared" si="353"/>
        <v/>
      </c>
      <c r="K39" t="str">
        <f t="shared" si="355"/>
        <v/>
      </c>
      <c r="L39" t="str">
        <f t="shared" si="353"/>
        <v/>
      </c>
      <c r="M39" t="str">
        <f t="shared" si="353"/>
        <v/>
      </c>
      <c r="N39" t="str">
        <f t="shared" ref="N39:O39" si="356">IF(N38="0d", "", CONCATENATE("S",N38))</f>
        <v/>
      </c>
      <c r="O39" t="str">
        <f t="shared" si="356"/>
        <v/>
      </c>
      <c r="P39" t="str">
        <f t="shared" si="353"/>
        <v/>
      </c>
      <c r="Q39" t="str">
        <f t="shared" si="353"/>
        <v/>
      </c>
      <c r="R39" t="str">
        <f t="shared" si="353"/>
        <v/>
      </c>
      <c r="S39" t="str">
        <f t="shared" si="353"/>
        <v/>
      </c>
      <c r="T39" t="str">
        <f t="shared" si="353"/>
        <v/>
      </c>
      <c r="U39" t="str">
        <f t="shared" si="353"/>
        <v/>
      </c>
      <c r="V39" t="str">
        <f t="shared" si="353"/>
        <v/>
      </c>
      <c r="W39" t="str">
        <f t="shared" si="353"/>
        <v/>
      </c>
      <c r="X39" t="str">
        <f t="shared" si="353"/>
        <v>S1A</v>
      </c>
      <c r="Y39" t="str">
        <f t="shared" si="353"/>
        <v>S90d</v>
      </c>
      <c r="Z39" t="str">
        <f t="shared" ref="Z39:AE39" si="357">IF(Z38="0d", "", CONCATENATE("S",Z38))</f>
        <v>S1A</v>
      </c>
      <c r="AA39" t="str">
        <f t="shared" si="357"/>
        <v/>
      </c>
      <c r="AB39" t="str">
        <f t="shared" si="357"/>
        <v/>
      </c>
      <c r="AC39" t="str">
        <f t="shared" si="357"/>
        <v/>
      </c>
      <c r="AD39" t="str">
        <f t="shared" si="357"/>
        <v/>
      </c>
      <c r="AE39" t="str">
        <f t="shared" si="357"/>
        <v/>
      </c>
      <c r="AF39" t="str">
        <f t="shared" ref="AF39:AH39" si="358">IF(AF38="0d", "", CONCATENATE("S",AF38))</f>
        <v/>
      </c>
      <c r="AG39" t="str">
        <f t="shared" ref="AG39" si="359">IF(AG38="0d", "", CONCATENATE("S",AG38))</f>
        <v/>
      </c>
      <c r="AH39" t="str">
        <f t="shared" si="358"/>
        <v/>
      </c>
      <c r="AI39" t="str">
        <f t="shared" ref="AI39:AJ39" si="360">IF(AI38="0d", "", CONCATENATE("S",AI38))</f>
        <v/>
      </c>
      <c r="AJ39" t="str">
        <f t="shared" si="360"/>
        <v/>
      </c>
      <c r="AK39" t="str">
        <f t="shared" ref="AK39" si="361">IF(AK38="0d", "", CONCATENATE("S",AK38))</f>
        <v/>
      </c>
      <c r="AL39" t="str">
        <f t="shared" ref="AL39:AM39" si="362">IF(AL38="0d", "", CONCATENATE("S",AL38))</f>
        <v/>
      </c>
      <c r="AM39" t="str">
        <f t="shared" si="362"/>
        <v/>
      </c>
      <c r="AN39" t="str">
        <f t="shared" ref="AN39" si="363">IF(AN38="0d", "", CONCATENATE("S",AN38))</f>
        <v/>
      </c>
      <c r="AO39" t="str">
        <f t="shared" ref="AO39:AP39" si="364">IF(AO38="0d", "", CONCATENATE("S",AO38))</f>
        <v/>
      </c>
      <c r="AP39" t="str">
        <f t="shared" si="364"/>
        <v/>
      </c>
      <c r="AQ39" t="str">
        <f t="shared" ref="AQ39:AV39" si="365">IF(AQ38="0d", "", CONCATENATE("S",AQ38))</f>
        <v/>
      </c>
      <c r="AR39" t="str">
        <f t="shared" si="365"/>
        <v/>
      </c>
      <c r="AS39" t="str">
        <f t="shared" ref="AS39:AT39" si="366">IF(AS38="0d", "", CONCATENATE("S",AS38))</f>
        <v/>
      </c>
      <c r="AT39" t="str">
        <f t="shared" si="366"/>
        <v/>
      </c>
      <c r="AU39" t="str">
        <f t="shared" ref="AU39" si="367">IF(AU38="0d", "", CONCATENATE("S",AU38))</f>
        <v/>
      </c>
      <c r="AV39" t="str">
        <f t="shared" si="365"/>
        <v/>
      </c>
      <c r="AW39" t="str">
        <f t="shared" ref="AW39:AX39" si="368">IF(AW38="0d", "", CONCATENATE("S",AW38))</f>
        <v/>
      </c>
      <c r="AX39" t="str">
        <f t="shared" si="368"/>
        <v/>
      </c>
      <c r="AY39" t="str">
        <f>IF(AY38="0d", "", CONCATENATE("S",AY38))</f>
        <v/>
      </c>
      <c r="AZ39" t="str">
        <f>IF(AZ38="0d", "", CONCATENATE("S",AZ38))</f>
        <v/>
      </c>
      <c r="BA39" t="str">
        <f>IF(BA38="0d", "", CONCATENATE("S",BA38))</f>
        <v/>
      </c>
      <c r="BB39" t="str">
        <f>IF(BB38="0d", "", CONCATENATE("S",BB38))</f>
        <v/>
      </c>
    </row>
    <row r="40" spans="1:54" x14ac:dyDescent="0.2">
      <c r="A40" t="s">
        <v>283</v>
      </c>
      <c r="C40" t="str">
        <f t="shared" ref="C40:Y40" si="369">CONCATENATE("S",C38)</f>
        <v>S0d</v>
      </c>
      <c r="D40" t="str">
        <f t="shared" si="369"/>
        <v>S0d</v>
      </c>
      <c r="E40" t="str">
        <f t="shared" si="369"/>
        <v>S0d</v>
      </c>
      <c r="F40" t="str">
        <f t="shared" ref="F40" si="370">CONCATENATE("S",F38)</f>
        <v>S0d</v>
      </c>
      <c r="G40" t="str">
        <f t="shared" si="369"/>
        <v>S0d</v>
      </c>
      <c r="H40" t="str">
        <f t="shared" si="369"/>
        <v>S0d</v>
      </c>
      <c r="I40" t="str">
        <f t="shared" ref="I40:K40" si="371">CONCATENATE("S",I38)</f>
        <v>S0d</v>
      </c>
      <c r="J40" t="str">
        <f t="shared" si="369"/>
        <v>S0d</v>
      </c>
      <c r="K40" t="str">
        <f t="shared" si="371"/>
        <v>S0d</v>
      </c>
      <c r="L40" t="str">
        <f t="shared" si="369"/>
        <v>S0d</v>
      </c>
      <c r="M40" t="str">
        <f t="shared" si="369"/>
        <v>S0d</v>
      </c>
      <c r="N40" t="str">
        <f t="shared" ref="N40:O40" si="372">CONCATENATE("S",N38)</f>
        <v>S0d</v>
      </c>
      <c r="O40" t="str">
        <f t="shared" si="372"/>
        <v>S0d</v>
      </c>
      <c r="P40" t="str">
        <f t="shared" si="369"/>
        <v>S0d</v>
      </c>
      <c r="Q40" t="str">
        <f t="shared" si="369"/>
        <v>S0d</v>
      </c>
      <c r="R40" t="str">
        <f t="shared" si="369"/>
        <v>S0d</v>
      </c>
      <c r="S40" t="str">
        <f t="shared" si="369"/>
        <v>S0d</v>
      </c>
      <c r="T40" t="str">
        <f t="shared" si="369"/>
        <v>S0d</v>
      </c>
      <c r="U40" t="str">
        <f t="shared" si="369"/>
        <v>S0d</v>
      </c>
      <c r="V40" t="str">
        <f t="shared" si="369"/>
        <v>S0d</v>
      </c>
      <c r="W40" t="str">
        <f t="shared" si="369"/>
        <v>S0d</v>
      </c>
      <c r="X40" t="str">
        <f t="shared" si="369"/>
        <v>S1A</v>
      </c>
      <c r="Y40" t="str">
        <f t="shared" si="369"/>
        <v>S90d</v>
      </c>
      <c r="Z40" t="str">
        <f t="shared" ref="Z40:AE40" si="373">CONCATENATE("S",Z38)</f>
        <v>S1A</v>
      </c>
      <c r="AA40" t="str">
        <f t="shared" si="373"/>
        <v>S0d</v>
      </c>
      <c r="AB40" t="str">
        <f t="shared" si="373"/>
        <v>S0d</v>
      </c>
      <c r="AC40" t="str">
        <f t="shared" si="373"/>
        <v>S0d</v>
      </c>
      <c r="AD40" t="str">
        <f t="shared" si="373"/>
        <v>S0d</v>
      </c>
      <c r="AE40" t="str">
        <f t="shared" si="373"/>
        <v>S0d</v>
      </c>
      <c r="AF40" t="str">
        <f t="shared" ref="AF40:AH40" si="374">CONCATENATE("S",AF38)</f>
        <v>S0d</v>
      </c>
      <c r="AG40" t="str">
        <f t="shared" ref="AG40" si="375">CONCATENATE("S",AG38)</f>
        <v>S0d</v>
      </c>
      <c r="AH40" t="str">
        <f t="shared" si="374"/>
        <v>S0d</v>
      </c>
      <c r="AI40" t="str">
        <f t="shared" ref="AI40:AJ40" si="376">CONCATENATE("S",AI38)</f>
        <v>S0d</v>
      </c>
      <c r="AJ40" t="str">
        <f t="shared" si="376"/>
        <v>S0d</v>
      </c>
      <c r="AK40" t="str">
        <f t="shared" ref="AK40" si="377">CONCATENATE("S",AK38)</f>
        <v>S0d</v>
      </c>
      <c r="AL40" t="str">
        <f t="shared" ref="AL40:AM40" si="378">CONCATENATE("S",AL38)</f>
        <v>S0d</v>
      </c>
      <c r="AM40" t="str">
        <f t="shared" si="378"/>
        <v>S0d</v>
      </c>
      <c r="AN40" t="str">
        <f t="shared" ref="AN40" si="379">CONCATENATE("S",AN38)</f>
        <v>S0d</v>
      </c>
      <c r="AO40" t="str">
        <f t="shared" ref="AO40:AP40" si="380">CONCATENATE("S",AO38)</f>
        <v>S0d</v>
      </c>
      <c r="AP40" t="str">
        <f t="shared" si="380"/>
        <v>S0d</v>
      </c>
      <c r="AQ40" t="str">
        <f t="shared" ref="AQ40:AV40" si="381">CONCATENATE("S",AQ38)</f>
        <v>S0d</v>
      </c>
      <c r="AR40" t="str">
        <f t="shared" si="381"/>
        <v>S0d</v>
      </c>
      <c r="AS40" t="str">
        <f t="shared" ref="AS40:AT40" si="382">CONCATENATE("S",AS38)</f>
        <v>S0d</v>
      </c>
      <c r="AT40" t="str">
        <f t="shared" si="382"/>
        <v>S0d</v>
      </c>
      <c r="AU40" t="str">
        <f t="shared" ref="AU40" si="383">CONCATENATE("S",AU38)</f>
        <v>S0d</v>
      </c>
      <c r="AV40" t="str">
        <f t="shared" si="381"/>
        <v>S0d</v>
      </c>
      <c r="AW40" t="str">
        <f t="shared" ref="AW40:AX40" si="384">CONCATENATE("S",AW38)</f>
        <v>S0d</v>
      </c>
      <c r="AX40" t="str">
        <f t="shared" si="384"/>
        <v>S0d</v>
      </c>
      <c r="AY40" t="str">
        <f>CONCATENATE("S",AY38)</f>
        <v>S0d</v>
      </c>
      <c r="AZ40" t="str">
        <f>CONCATENATE("S",AZ38)</f>
        <v>S0d</v>
      </c>
      <c r="BA40" t="str">
        <f>CONCATENATE("S",BA38)</f>
        <v>S0d</v>
      </c>
      <c r="BB40" t="str">
        <f>CONCATENATE("S",BB38)</f>
        <v>S0d</v>
      </c>
    </row>
    <row r="41" spans="1:54" x14ac:dyDescent="0.2">
      <c r="A41" s="21" t="s">
        <v>284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  <c r="AH41" s="21">
        <v>2014</v>
      </c>
      <c r="AI41" s="21">
        <v>2014</v>
      </c>
      <c r="AJ41" s="21">
        <v>2014</v>
      </c>
      <c r="AK41" s="21">
        <v>2014</v>
      </c>
      <c r="AL41" s="21">
        <v>2014</v>
      </c>
      <c r="AM41" s="21">
        <v>2014</v>
      </c>
      <c r="AN41" s="21">
        <v>2014</v>
      </c>
      <c r="AO41" s="21">
        <v>2014</v>
      </c>
      <c r="AP41" s="21">
        <v>2014</v>
      </c>
      <c r="AQ41" s="21">
        <v>2014</v>
      </c>
      <c r="AR41" s="21">
        <v>2014</v>
      </c>
      <c r="AS41" s="21">
        <v>2014</v>
      </c>
      <c r="AT41" s="21">
        <v>2014</v>
      </c>
      <c r="AU41" s="21">
        <v>2014</v>
      </c>
      <c r="AV41" s="21">
        <v>2014</v>
      </c>
      <c r="AW41" s="21">
        <v>2014</v>
      </c>
      <c r="AX41" s="21">
        <v>2014</v>
      </c>
      <c r="AY41" s="21">
        <v>2014</v>
      </c>
      <c r="AZ41" s="21">
        <v>2014</v>
      </c>
      <c r="BA41" s="21">
        <v>2014</v>
      </c>
      <c r="BB41" s="21">
        <v>2014</v>
      </c>
    </row>
    <row r="42" spans="1:54" x14ac:dyDescent="0.2">
      <c r="A42" t="s">
        <v>285</v>
      </c>
      <c r="C42" t="str">
        <f t="shared" ref="C42:Y42" si="385">IF(C41=2014,"",CONCATENATE("L",C41))</f>
        <v/>
      </c>
      <c r="D42" t="str">
        <f t="shared" si="385"/>
        <v/>
      </c>
      <c r="E42" t="str">
        <f t="shared" si="385"/>
        <v/>
      </c>
      <c r="F42" t="str">
        <f t="shared" ref="F42" si="386">IF(F41=2014,"",CONCATENATE("L",F41))</f>
        <v/>
      </c>
      <c r="G42" t="str">
        <f t="shared" si="385"/>
        <v/>
      </c>
      <c r="H42" t="str">
        <f t="shared" si="385"/>
        <v/>
      </c>
      <c r="I42" t="str">
        <f t="shared" ref="I42:K42" si="387">IF(I41=2014,"",CONCATENATE("L",I41))</f>
        <v/>
      </c>
      <c r="J42" t="str">
        <f t="shared" si="385"/>
        <v/>
      </c>
      <c r="K42" t="str">
        <f t="shared" si="387"/>
        <v/>
      </c>
      <c r="L42" t="str">
        <f t="shared" si="385"/>
        <v/>
      </c>
      <c r="M42" t="str">
        <f t="shared" si="385"/>
        <v/>
      </c>
      <c r="N42" t="str">
        <f t="shared" ref="N42:O42" si="388">IF(N41=2014,"",CONCATENATE("L",N41))</f>
        <v/>
      </c>
      <c r="O42" t="str">
        <f t="shared" si="388"/>
        <v/>
      </c>
      <c r="P42" t="str">
        <f t="shared" si="385"/>
        <v/>
      </c>
      <c r="Q42" t="str">
        <f t="shared" si="385"/>
        <v/>
      </c>
      <c r="R42" t="str">
        <f t="shared" si="385"/>
        <v/>
      </c>
      <c r="S42" t="str">
        <f t="shared" si="385"/>
        <v/>
      </c>
      <c r="T42" t="str">
        <f t="shared" si="385"/>
        <v/>
      </c>
      <c r="U42" t="str">
        <f t="shared" si="385"/>
        <v/>
      </c>
      <c r="V42" t="str">
        <f t="shared" si="385"/>
        <v/>
      </c>
      <c r="W42" t="str">
        <f t="shared" si="385"/>
        <v/>
      </c>
      <c r="X42" t="str">
        <f t="shared" si="385"/>
        <v/>
      </c>
      <c r="Y42" t="str">
        <f t="shared" si="385"/>
        <v/>
      </c>
      <c r="Z42" t="str">
        <f t="shared" ref="Z42:AE42" si="389">IF(Z41=2014,"",CONCATENATE("L",Z41))</f>
        <v/>
      </c>
      <c r="AA42" t="str">
        <f t="shared" si="389"/>
        <v/>
      </c>
      <c r="AB42" t="str">
        <f t="shared" si="389"/>
        <v/>
      </c>
      <c r="AC42" t="str">
        <f t="shared" si="389"/>
        <v/>
      </c>
      <c r="AD42" t="str">
        <f t="shared" si="389"/>
        <v/>
      </c>
      <c r="AE42" t="str">
        <f t="shared" si="389"/>
        <v/>
      </c>
      <c r="AF42" t="str">
        <f t="shared" ref="AF42:AH42" si="390">IF(AF41=2014,"",CONCATENATE("L",AF41))</f>
        <v/>
      </c>
      <c r="AG42" t="str">
        <f t="shared" ref="AG42" si="391">IF(AG41=2014,"",CONCATENATE("L",AG41))</f>
        <v/>
      </c>
      <c r="AH42" t="str">
        <f t="shared" si="390"/>
        <v/>
      </c>
      <c r="AI42" t="str">
        <f t="shared" ref="AI42:AJ42" si="392">IF(AI41=2014,"",CONCATENATE("L",AI41))</f>
        <v/>
      </c>
      <c r="AJ42" t="str">
        <f t="shared" si="392"/>
        <v/>
      </c>
      <c r="AK42" t="str">
        <f t="shared" ref="AK42" si="393">IF(AK41=2014,"",CONCATENATE("L",AK41))</f>
        <v/>
      </c>
      <c r="AL42" t="str">
        <f t="shared" ref="AL42:AM42" si="394">IF(AL41=2014,"",CONCATENATE("L",AL41))</f>
        <v/>
      </c>
      <c r="AM42" t="str">
        <f t="shared" si="394"/>
        <v/>
      </c>
      <c r="AN42" t="str">
        <f t="shared" ref="AN42" si="395">IF(AN41=2014,"",CONCATENATE("L",AN41))</f>
        <v/>
      </c>
      <c r="AO42" t="str">
        <f t="shared" ref="AO42:AP42" si="396">IF(AO41=2014,"",CONCATENATE("L",AO41))</f>
        <v/>
      </c>
      <c r="AP42" t="str">
        <f t="shared" si="396"/>
        <v/>
      </c>
      <c r="AQ42" t="str">
        <f t="shared" ref="AQ42:AV42" si="397">IF(AQ41=2014,"",CONCATENATE("L",AQ41))</f>
        <v/>
      </c>
      <c r="AR42" t="str">
        <f t="shared" si="397"/>
        <v/>
      </c>
      <c r="AS42" t="str">
        <f t="shared" ref="AS42:AT42" si="398">IF(AS41=2014,"",CONCATENATE("L",AS41))</f>
        <v/>
      </c>
      <c r="AT42" t="str">
        <f t="shared" si="398"/>
        <v/>
      </c>
      <c r="AU42" t="str">
        <f t="shared" ref="AU42" si="399">IF(AU41=2014,"",CONCATENATE("L",AU41))</f>
        <v/>
      </c>
      <c r="AV42" t="str">
        <f t="shared" si="397"/>
        <v/>
      </c>
      <c r="AW42" t="str">
        <f t="shared" ref="AW42:AX42" si="400">IF(AW41=2014,"",CONCATENATE("L",AW41))</f>
        <v/>
      </c>
      <c r="AX42" t="str">
        <f t="shared" si="400"/>
        <v/>
      </c>
      <c r="AY42" t="str">
        <f>IF(AY41=2014,"",CONCATENATE("L",AY41))</f>
        <v/>
      </c>
      <c r="AZ42" t="str">
        <f>IF(AZ41=2014,"",CONCATENATE("L",AZ41))</f>
        <v/>
      </c>
      <c r="BA42" t="str">
        <f>IF(BA41=2014,"",CONCATENATE("L",BA41))</f>
        <v/>
      </c>
      <c r="BB42" t="str">
        <f>IF(BB41=2014,"",CONCATENATE("L",BB41))</f>
        <v/>
      </c>
    </row>
    <row r="43" spans="1:54" x14ac:dyDescent="0.2">
      <c r="A43" s="21" t="s">
        <v>286</v>
      </c>
      <c r="B43" s="21" t="s">
        <v>287</v>
      </c>
      <c r="C43" s="21" t="s">
        <v>288</v>
      </c>
      <c r="D43" s="21" t="s">
        <v>288</v>
      </c>
      <c r="E43" s="21" t="s">
        <v>288</v>
      </c>
      <c r="F43" s="21" t="s">
        <v>288</v>
      </c>
      <c r="G43" s="21" t="s">
        <v>288</v>
      </c>
      <c r="H43" s="21" t="s">
        <v>288</v>
      </c>
      <c r="I43" s="21" t="s">
        <v>288</v>
      </c>
      <c r="J43" s="21" t="s">
        <v>288</v>
      </c>
      <c r="K43" s="21" t="s">
        <v>288</v>
      </c>
      <c r="L43" s="21" t="s">
        <v>288</v>
      </c>
      <c r="M43" s="21" t="s">
        <v>288</v>
      </c>
      <c r="N43" s="21" t="s">
        <v>288</v>
      </c>
      <c r="O43" s="21" t="s">
        <v>288</v>
      </c>
      <c r="P43" s="21" t="s">
        <v>288</v>
      </c>
      <c r="Q43" s="21" t="s">
        <v>288</v>
      </c>
      <c r="R43" s="21" t="s">
        <v>288</v>
      </c>
      <c r="S43" s="21" t="s">
        <v>288</v>
      </c>
      <c r="T43" s="21" t="s">
        <v>288</v>
      </c>
      <c r="U43" s="21" t="s">
        <v>288</v>
      </c>
      <c r="V43" s="21" t="s">
        <v>288</v>
      </c>
      <c r="W43" s="21" t="s">
        <v>288</v>
      </c>
      <c r="X43" s="21" t="s">
        <v>288</v>
      </c>
      <c r="Y43" s="21" t="s">
        <v>288</v>
      </c>
      <c r="Z43" s="21" t="s">
        <v>288</v>
      </c>
      <c r="AA43" s="21" t="s">
        <v>288</v>
      </c>
      <c r="AB43" s="21" t="s">
        <v>288</v>
      </c>
      <c r="AC43" s="21" t="s">
        <v>288</v>
      </c>
      <c r="AD43" s="21" t="s">
        <v>288</v>
      </c>
      <c r="AE43" s="21" t="s">
        <v>288</v>
      </c>
      <c r="AF43" s="21" t="s">
        <v>288</v>
      </c>
      <c r="AG43" s="21" t="s">
        <v>288</v>
      </c>
      <c r="AH43" s="21" t="s">
        <v>288</v>
      </c>
      <c r="AI43" s="21" t="s">
        <v>288</v>
      </c>
      <c r="AJ43" s="21" t="s">
        <v>288</v>
      </c>
      <c r="AK43" s="21" t="s">
        <v>288</v>
      </c>
      <c r="AL43" s="21" t="s">
        <v>288</v>
      </c>
      <c r="AM43" s="21" t="s">
        <v>288</v>
      </c>
      <c r="AN43" s="21" t="s">
        <v>288</v>
      </c>
      <c r="AO43" s="21" t="s">
        <v>288</v>
      </c>
      <c r="AP43" s="21" t="s">
        <v>288</v>
      </c>
      <c r="AQ43" s="21" t="s">
        <v>288</v>
      </c>
      <c r="AR43" s="21" t="s">
        <v>288</v>
      </c>
      <c r="AS43" s="21" t="s">
        <v>288</v>
      </c>
      <c r="AT43" s="21" t="s">
        <v>288</v>
      </c>
      <c r="AU43" s="21" t="s">
        <v>288</v>
      </c>
      <c r="AV43" s="21" t="s">
        <v>288</v>
      </c>
      <c r="AW43" s="21" t="s">
        <v>288</v>
      </c>
      <c r="AX43" s="21" t="s">
        <v>288</v>
      </c>
      <c r="AY43" s="21" t="s">
        <v>459</v>
      </c>
      <c r="AZ43" s="21" t="s">
        <v>462</v>
      </c>
      <c r="BA43" s="21" t="s">
        <v>463</v>
      </c>
      <c r="BB43" s="21" t="s">
        <v>520</v>
      </c>
    </row>
    <row r="44" spans="1:54" x14ac:dyDescent="0.2">
      <c r="A44" t="s">
        <v>289</v>
      </c>
      <c r="C44" t="str">
        <f t="shared" ref="C44:Y44" si="401">IF(C43="none","",CONCATENATE("L",C43))</f>
        <v/>
      </c>
      <c r="D44" t="str">
        <f t="shared" si="401"/>
        <v/>
      </c>
      <c r="E44" t="str">
        <f t="shared" si="401"/>
        <v/>
      </c>
      <c r="F44" t="str">
        <f t="shared" ref="F44" si="402">IF(F43="none","",CONCATENATE("L",F43))</f>
        <v/>
      </c>
      <c r="G44" t="str">
        <f t="shared" si="401"/>
        <v/>
      </c>
      <c r="H44" t="str">
        <f t="shared" si="401"/>
        <v/>
      </c>
      <c r="I44" t="str">
        <f t="shared" ref="I44:K44" si="403">IF(I43="none","",CONCATENATE("L",I43))</f>
        <v/>
      </c>
      <c r="J44" t="str">
        <f t="shared" si="401"/>
        <v/>
      </c>
      <c r="K44" t="str">
        <f t="shared" si="403"/>
        <v/>
      </c>
      <c r="L44" t="str">
        <f t="shared" si="401"/>
        <v/>
      </c>
      <c r="M44" t="str">
        <f t="shared" si="401"/>
        <v/>
      </c>
      <c r="N44" t="str">
        <f t="shared" ref="N44:O44" si="404">IF(N43="none","",CONCATENATE("L",N43))</f>
        <v/>
      </c>
      <c r="O44" t="str">
        <f t="shared" si="404"/>
        <v/>
      </c>
      <c r="P44" t="str">
        <f t="shared" si="401"/>
        <v/>
      </c>
      <c r="Q44" t="str">
        <f t="shared" si="401"/>
        <v/>
      </c>
      <c r="R44" t="str">
        <f t="shared" si="401"/>
        <v/>
      </c>
      <c r="S44" t="str">
        <f t="shared" si="401"/>
        <v/>
      </c>
      <c r="T44" t="str">
        <f t="shared" si="401"/>
        <v/>
      </c>
      <c r="U44" t="str">
        <f t="shared" si="401"/>
        <v/>
      </c>
      <c r="V44" t="str">
        <f t="shared" si="401"/>
        <v/>
      </c>
      <c r="W44" t="str">
        <f t="shared" si="401"/>
        <v/>
      </c>
      <c r="X44" t="str">
        <f t="shared" si="401"/>
        <v/>
      </c>
      <c r="Y44" t="str">
        <f t="shared" si="401"/>
        <v/>
      </c>
      <c r="Z44" t="str">
        <f t="shared" ref="Z44:AE44" si="405">IF(Z43="none","",CONCATENATE("L",Z43))</f>
        <v/>
      </c>
      <c r="AA44" t="str">
        <f t="shared" si="405"/>
        <v/>
      </c>
      <c r="AB44" t="str">
        <f t="shared" si="405"/>
        <v/>
      </c>
      <c r="AC44" t="str">
        <f t="shared" si="405"/>
        <v/>
      </c>
      <c r="AD44" t="str">
        <f t="shared" si="405"/>
        <v/>
      </c>
      <c r="AE44" t="str">
        <f t="shared" si="405"/>
        <v/>
      </c>
      <c r="AF44" t="str">
        <f t="shared" ref="AF44:AH44" si="406">IF(AF43="none","",CONCATENATE("L",AF43))</f>
        <v/>
      </c>
      <c r="AG44" t="str">
        <f t="shared" ref="AG44" si="407">IF(AG43="none","",CONCATENATE("L",AG43))</f>
        <v/>
      </c>
      <c r="AH44" t="str">
        <f t="shared" si="406"/>
        <v/>
      </c>
      <c r="AI44" t="str">
        <f t="shared" ref="AI44:AJ44" si="408">IF(AI43="none","",CONCATENATE("L",AI43))</f>
        <v/>
      </c>
      <c r="AJ44" t="str">
        <f t="shared" si="408"/>
        <v/>
      </c>
      <c r="AK44" t="str">
        <f t="shared" ref="AK44" si="409">IF(AK43="none","",CONCATENATE("L",AK43))</f>
        <v/>
      </c>
      <c r="AL44" t="str">
        <f t="shared" ref="AL44:AM44" si="410">IF(AL43="none","",CONCATENATE("L",AL43))</f>
        <v/>
      </c>
      <c r="AM44" t="str">
        <f t="shared" si="410"/>
        <v/>
      </c>
      <c r="AN44" t="str">
        <f t="shared" ref="AN44" si="411">IF(AN43="none","",CONCATENATE("L",AN43))</f>
        <v/>
      </c>
      <c r="AO44" t="str">
        <f t="shared" ref="AO44:AP44" si="412">IF(AO43="none","",CONCATENATE("L",AO43))</f>
        <v/>
      </c>
      <c r="AP44" t="str">
        <f t="shared" si="412"/>
        <v/>
      </c>
      <c r="AQ44" t="str">
        <f t="shared" ref="AQ44:AV44" si="413">IF(AQ43="none","",CONCATENATE("L",AQ43))</f>
        <v/>
      </c>
      <c r="AR44" t="str">
        <f t="shared" si="413"/>
        <v/>
      </c>
      <c r="AS44" t="str">
        <f t="shared" ref="AS44:AT44" si="414">IF(AS43="none","",CONCATENATE("L",AS43))</f>
        <v/>
      </c>
      <c r="AT44" t="str">
        <f t="shared" si="414"/>
        <v/>
      </c>
      <c r="AU44" t="str">
        <f t="shared" ref="AU44" si="415">IF(AU43="none","",CONCATENATE("L",AU43))</f>
        <v/>
      </c>
      <c r="AV44" t="str">
        <f t="shared" si="413"/>
        <v/>
      </c>
      <c r="AW44" t="str">
        <f t="shared" ref="AW44:AX44" si="416">IF(AW43="none","",CONCATENATE("L",AW43))</f>
        <v/>
      </c>
      <c r="AX44" t="str">
        <f t="shared" si="416"/>
        <v/>
      </c>
      <c r="AY44" t="str">
        <f>IF(AY43="none","",CONCATENATE("L",AY43))</f>
        <v>Lmod_D0_M0_energyOnly</v>
      </c>
      <c r="AZ44" t="str">
        <f>IF(AZ43="none","",CONCATENATE("L",AZ43))</f>
        <v>Lmod_D50_M0_energyOnly</v>
      </c>
      <c r="BA44" t="str">
        <f>IF(BA43="none","",CONCATENATE("L",BA43))</f>
        <v>Lmod_D25_M25_energyOnly</v>
      </c>
      <c r="BB44" t="str">
        <f>IF(BB43="none","",CONCATENATE("L",BB43))</f>
        <v>Lmod_low15pc_energyOnly</v>
      </c>
    </row>
    <row r="45" spans="1:54" x14ac:dyDescent="0.2">
      <c r="A45" s="21" t="s">
        <v>290</v>
      </c>
      <c r="B45" s="21" t="s">
        <v>291</v>
      </c>
      <c r="C45" s="21" t="s">
        <v>292</v>
      </c>
      <c r="D45" s="21" t="s">
        <v>292</v>
      </c>
      <c r="E45" s="21" t="s">
        <v>292</v>
      </c>
      <c r="F45" s="21" t="s">
        <v>292</v>
      </c>
      <c r="G45" s="21" t="s">
        <v>292</v>
      </c>
      <c r="H45" s="21" t="s">
        <v>292</v>
      </c>
      <c r="I45" s="21" t="s">
        <v>292</v>
      </c>
      <c r="J45" s="21" t="s">
        <v>292</v>
      </c>
      <c r="K45" s="21" t="s">
        <v>292</v>
      </c>
      <c r="L45" s="21" t="s">
        <v>292</v>
      </c>
      <c r="M45" s="21" t="s">
        <v>292</v>
      </c>
      <c r="N45" s="21" t="s">
        <v>292</v>
      </c>
      <c r="O45" s="21" t="s">
        <v>292</v>
      </c>
      <c r="P45" s="21" t="s">
        <v>292</v>
      </c>
      <c r="Q45" s="21" t="s">
        <v>292</v>
      </c>
      <c r="R45" s="21" t="s">
        <v>292</v>
      </c>
      <c r="S45" s="21" t="s">
        <v>292</v>
      </c>
      <c r="T45" s="21" t="s">
        <v>292</v>
      </c>
      <c r="U45" s="21" t="s">
        <v>292</v>
      </c>
      <c r="V45" s="21" t="s">
        <v>292</v>
      </c>
      <c r="W45" s="21" t="s">
        <v>292</v>
      </c>
      <c r="X45" s="21" t="s">
        <v>292</v>
      </c>
      <c r="Y45" s="21" t="s">
        <v>292</v>
      </c>
      <c r="Z45" s="21" t="s">
        <v>292</v>
      </c>
      <c r="AA45" s="21" t="s">
        <v>292</v>
      </c>
      <c r="AB45" s="21" t="s">
        <v>292</v>
      </c>
      <c r="AC45" s="21" t="s">
        <v>292</v>
      </c>
      <c r="AD45" s="21" t="s">
        <v>292</v>
      </c>
      <c r="AE45" s="21" t="s">
        <v>292</v>
      </c>
      <c r="AF45" s="21" t="s">
        <v>292</v>
      </c>
      <c r="AG45" s="21" t="s">
        <v>292</v>
      </c>
      <c r="AH45" s="21" t="s">
        <v>292</v>
      </c>
      <c r="AI45" s="21" t="s">
        <v>292</v>
      </c>
      <c r="AJ45" s="21" t="s">
        <v>292</v>
      </c>
      <c r="AK45" s="21" t="s">
        <v>292</v>
      </c>
      <c r="AL45" s="21" t="s">
        <v>292</v>
      </c>
      <c r="AM45" s="21" t="s">
        <v>292</v>
      </c>
      <c r="AN45" s="21" t="s">
        <v>292</v>
      </c>
      <c r="AO45" s="21" t="s">
        <v>292</v>
      </c>
      <c r="AP45" s="21" t="s">
        <v>292</v>
      </c>
      <c r="AQ45" s="21" t="s">
        <v>292</v>
      </c>
      <c r="AR45" s="21" t="s">
        <v>292</v>
      </c>
      <c r="AS45" s="21" t="s">
        <v>292</v>
      </c>
      <c r="AT45" s="21" t="s">
        <v>292</v>
      </c>
      <c r="AU45" s="21" t="s">
        <v>292</v>
      </c>
      <c r="AV45" s="21" t="s">
        <v>292</v>
      </c>
      <c r="AW45" s="21" t="s">
        <v>292</v>
      </c>
      <c r="AX45" s="21" t="s">
        <v>292</v>
      </c>
      <c r="AY45" s="21" t="s">
        <v>292</v>
      </c>
      <c r="AZ45" s="21" t="s">
        <v>292</v>
      </c>
      <c r="BA45" s="21" t="s">
        <v>292</v>
      </c>
      <c r="BB45" s="21" t="s">
        <v>292</v>
      </c>
    </row>
    <row r="46" spans="1:54" x14ac:dyDescent="0.2">
      <c r="A46" t="s">
        <v>293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">
      <c r="A47" t="s">
        <v>294</v>
      </c>
      <c r="C47" t="str">
        <f t="shared" ref="C47:Y47" si="417">IF(C45="RT","",CONCATENATE(C45,C46))</f>
        <v/>
      </c>
      <c r="D47" t="str">
        <f t="shared" si="417"/>
        <v/>
      </c>
      <c r="E47" t="str">
        <f t="shared" si="417"/>
        <v/>
      </c>
      <c r="F47" t="str">
        <f t="shared" ref="F47" si="418">IF(F45="RT","",CONCATENATE(F45,F46))</f>
        <v/>
      </c>
      <c r="G47" t="str">
        <f t="shared" si="417"/>
        <v/>
      </c>
      <c r="H47" t="str">
        <f t="shared" si="417"/>
        <v/>
      </c>
      <c r="I47" t="str">
        <f t="shared" ref="I47:K47" si="419">IF(I45="RT","",CONCATENATE(I45,I46))</f>
        <v/>
      </c>
      <c r="J47" t="str">
        <f t="shared" si="417"/>
        <v/>
      </c>
      <c r="K47" t="str">
        <f t="shared" si="419"/>
        <v/>
      </c>
      <c r="L47" t="str">
        <f t="shared" si="417"/>
        <v/>
      </c>
      <c r="M47" t="str">
        <f t="shared" si="417"/>
        <v/>
      </c>
      <c r="N47" t="str">
        <f t="shared" ref="N47:O47" si="420">IF(N45="RT","",CONCATENATE(N45,N46))</f>
        <v/>
      </c>
      <c r="O47" t="str">
        <f t="shared" si="420"/>
        <v/>
      </c>
      <c r="P47" t="str">
        <f t="shared" si="417"/>
        <v/>
      </c>
      <c r="Q47" t="str">
        <f t="shared" si="417"/>
        <v/>
      </c>
      <c r="R47" t="str">
        <f t="shared" si="417"/>
        <v/>
      </c>
      <c r="S47" t="str">
        <f t="shared" si="417"/>
        <v/>
      </c>
      <c r="T47" t="str">
        <f t="shared" si="417"/>
        <v/>
      </c>
      <c r="U47" t="str">
        <f t="shared" si="417"/>
        <v/>
      </c>
      <c r="V47" t="str">
        <f t="shared" si="417"/>
        <v/>
      </c>
      <c r="W47" t="str">
        <f t="shared" si="417"/>
        <v/>
      </c>
      <c r="X47" t="str">
        <f t="shared" si="417"/>
        <v/>
      </c>
      <c r="Y47" t="str">
        <f t="shared" si="417"/>
        <v/>
      </c>
      <c r="Z47" t="str">
        <f t="shared" ref="Z47:AE47" si="421">IF(Z45="RT","",CONCATENATE(Z45,Z46))</f>
        <v/>
      </c>
      <c r="AA47" t="str">
        <f t="shared" si="421"/>
        <v/>
      </c>
      <c r="AB47" t="str">
        <f t="shared" si="421"/>
        <v/>
      </c>
      <c r="AC47" t="str">
        <f t="shared" si="421"/>
        <v/>
      </c>
      <c r="AD47" t="str">
        <f t="shared" si="421"/>
        <v/>
      </c>
      <c r="AE47" t="str">
        <f t="shared" si="421"/>
        <v/>
      </c>
      <c r="AF47" t="str">
        <f t="shared" ref="AF47:AH47" si="422">IF(AF45="RT","",CONCATENATE(AF45,AF46))</f>
        <v/>
      </c>
      <c r="AG47" t="str">
        <f t="shared" ref="AG47" si="423">IF(AG45="RT","",CONCATENATE(AG45,AG46))</f>
        <v/>
      </c>
      <c r="AH47" t="str">
        <f t="shared" si="422"/>
        <v/>
      </c>
      <c r="AI47" t="str">
        <f t="shared" ref="AI47:AJ47" si="424">IF(AI45="RT","",CONCATENATE(AI45,AI46))</f>
        <v/>
      </c>
      <c r="AJ47" t="str">
        <f t="shared" si="424"/>
        <v/>
      </c>
      <c r="AK47" t="str">
        <f t="shared" ref="AK47" si="425">IF(AK45="RT","",CONCATENATE(AK45,AK46))</f>
        <v/>
      </c>
      <c r="AL47" t="str">
        <f t="shared" ref="AL47:AM47" si="426">IF(AL45="RT","",CONCATENATE(AL45,AL46))</f>
        <v/>
      </c>
      <c r="AM47" t="str">
        <f t="shared" si="426"/>
        <v/>
      </c>
      <c r="AN47" t="str">
        <f t="shared" ref="AN47" si="427">IF(AN45="RT","",CONCATENATE(AN45,AN46))</f>
        <v/>
      </c>
      <c r="AO47" t="str">
        <f t="shared" ref="AO47:AP47" si="428">IF(AO45="RT","",CONCATENATE(AO45,AO46))</f>
        <v/>
      </c>
      <c r="AP47" t="str">
        <f t="shared" si="428"/>
        <v/>
      </c>
      <c r="AQ47" t="str">
        <f t="shared" ref="AQ47:AV47" si="429">IF(AQ45="RT","",CONCATENATE(AQ45,AQ46))</f>
        <v/>
      </c>
      <c r="AR47" t="str">
        <f t="shared" si="429"/>
        <v/>
      </c>
      <c r="AS47" t="str">
        <f t="shared" ref="AS47:AT47" si="430">IF(AS45="RT","",CONCATENATE(AS45,AS46))</f>
        <v/>
      </c>
      <c r="AT47" t="str">
        <f t="shared" si="430"/>
        <v/>
      </c>
      <c r="AU47" t="str">
        <f t="shared" ref="AU47" si="431">IF(AU45="RT","",CONCATENATE(AU45,AU46))</f>
        <v/>
      </c>
      <c r="AV47" t="str">
        <f t="shared" si="429"/>
        <v/>
      </c>
      <c r="AW47" t="str">
        <f t="shared" ref="AW47:AX47" si="432">IF(AW45="RT","",CONCATENATE(AW45,AW46))</f>
        <v/>
      </c>
      <c r="AX47" t="str">
        <f t="shared" si="432"/>
        <v/>
      </c>
      <c r="AY47" t="str">
        <f>IF(AY45="RT","",CONCATENATE(AY45,AY46))</f>
        <v/>
      </c>
      <c r="AZ47" t="str">
        <f>IF(AZ45="RT","",CONCATENATE(AZ45,AZ46))</f>
        <v/>
      </c>
      <c r="BA47" t="str">
        <f>IF(BA45="RT","",CONCATENATE(BA45,BA46))</f>
        <v/>
      </c>
      <c r="BB47" t="str">
        <f>IF(BB45="RT","",CONCATENATE(BB45,BB46))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98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79</v>
      </c>
      <c r="G3" s="7" t="s">
        <v>80</v>
      </c>
      <c r="H3" s="7" t="s">
        <v>68</v>
      </c>
    </row>
    <row r="4" spans="1:8" x14ac:dyDescent="0.2">
      <c r="A4" s="7" t="s">
        <v>77</v>
      </c>
    </row>
    <row r="5" spans="1:8" x14ac:dyDescent="0.2">
      <c r="A5" t="s">
        <v>114</v>
      </c>
      <c r="B5">
        <v>678</v>
      </c>
      <c r="C5">
        <v>978</v>
      </c>
      <c r="D5">
        <v>3636</v>
      </c>
      <c r="F5">
        <v>5945</v>
      </c>
      <c r="H5" t="s">
        <v>78</v>
      </c>
    </row>
    <row r="6" spans="1:8" x14ac:dyDescent="0.2">
      <c r="A6" t="s">
        <v>124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126</v>
      </c>
    </row>
    <row r="7" spans="1:8" x14ac:dyDescent="0.2">
      <c r="A7" t="s">
        <v>84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88</v>
      </c>
    </row>
    <row r="8" spans="1:8" x14ac:dyDescent="0.2">
      <c r="A8" t="s">
        <v>124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125</v>
      </c>
    </row>
    <row r="9" spans="1:8" x14ac:dyDescent="0.2">
      <c r="A9" t="s">
        <v>96</v>
      </c>
      <c r="B9">
        <v>358.7</v>
      </c>
      <c r="C9">
        <v>358.7</v>
      </c>
      <c r="D9">
        <v>525</v>
      </c>
      <c r="E9">
        <v>475</v>
      </c>
      <c r="H9" t="s">
        <v>99</v>
      </c>
    </row>
    <row r="10" spans="1:8" x14ac:dyDescent="0.2">
      <c r="A10" t="s">
        <v>107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109</v>
      </c>
    </row>
    <row r="11" spans="1:8" x14ac:dyDescent="0.2">
      <c r="A11" t="s">
        <v>110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97</v>
      </c>
    </row>
    <row r="12" spans="1:8" x14ac:dyDescent="0.2">
      <c r="A12" t="s">
        <v>101</v>
      </c>
      <c r="B12">
        <v>420</v>
      </c>
      <c r="C12">
        <v>480</v>
      </c>
      <c r="D12">
        <v>537</v>
      </c>
      <c r="E12">
        <v>508</v>
      </c>
      <c r="H12" t="s">
        <v>100</v>
      </c>
    </row>
    <row r="13" spans="1:8" x14ac:dyDescent="0.2">
      <c r="A13" t="s">
        <v>107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112</v>
      </c>
    </row>
    <row r="14" spans="1:8" x14ac:dyDescent="0.2">
      <c r="A14" t="s">
        <v>113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100</v>
      </c>
    </row>
    <row r="15" spans="1:8" x14ac:dyDescent="0.2">
      <c r="A15" t="s">
        <v>96</v>
      </c>
      <c r="B15" s="5"/>
      <c r="C15" s="5"/>
      <c r="D15" s="5">
        <v>484</v>
      </c>
      <c r="E15" s="5">
        <v>468</v>
      </c>
      <c r="H15" t="s">
        <v>102</v>
      </c>
    </row>
    <row r="16" spans="1:8" x14ac:dyDescent="0.2">
      <c r="A16" t="s">
        <v>107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111</v>
      </c>
    </row>
    <row r="17" spans="1:8" x14ac:dyDescent="0.2">
      <c r="A17" t="s">
        <v>113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111</v>
      </c>
    </row>
    <row r="18" spans="1:8" x14ac:dyDescent="0.2">
      <c r="A18" t="s">
        <v>426</v>
      </c>
      <c r="B18" s="5"/>
      <c r="C18" s="5"/>
      <c r="D18" s="15">
        <v>1077</v>
      </c>
      <c r="E18" s="5"/>
      <c r="H18" t="s">
        <v>425</v>
      </c>
    </row>
    <row r="19" spans="1:8" x14ac:dyDescent="0.2">
      <c r="A19" t="s">
        <v>426</v>
      </c>
      <c r="B19" s="5"/>
      <c r="C19" s="5"/>
      <c r="D19" s="14">
        <f>1077 + 63</f>
        <v>1140</v>
      </c>
      <c r="E19" s="5"/>
      <c r="H19" t="s">
        <v>427</v>
      </c>
    </row>
    <row r="21" spans="1:8" x14ac:dyDescent="0.2">
      <c r="A21" s="7" t="s">
        <v>65</v>
      </c>
    </row>
    <row r="22" spans="1:8" x14ac:dyDescent="0.2">
      <c r="A22" t="s">
        <v>128</v>
      </c>
      <c r="B22">
        <v>3813</v>
      </c>
      <c r="C22">
        <v>1657</v>
      </c>
      <c r="D22">
        <v>1627</v>
      </c>
      <c r="E22">
        <v>1808</v>
      </c>
      <c r="H22" t="s">
        <v>116</v>
      </c>
    </row>
    <row r="23" spans="1:8" x14ac:dyDescent="0.2">
      <c r="A23" t="s">
        <v>115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123</v>
      </c>
    </row>
    <row r="24" spans="1:8" x14ac:dyDescent="0.2">
      <c r="A24" t="s">
        <v>129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127</v>
      </c>
    </row>
    <row r="25" spans="1:8" x14ac:dyDescent="0.2">
      <c r="A25" t="s">
        <v>130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127</v>
      </c>
    </row>
    <row r="26" spans="1:8" x14ac:dyDescent="0.2">
      <c r="A26" t="s">
        <v>81</v>
      </c>
      <c r="B26" s="7">
        <v>6.8</v>
      </c>
      <c r="C26" s="7">
        <v>11</v>
      </c>
      <c r="D26" s="7">
        <v>42.1</v>
      </c>
      <c r="F26">
        <v>5945</v>
      </c>
      <c r="H26" t="s">
        <v>90</v>
      </c>
    </row>
    <row r="27" spans="1:8" x14ac:dyDescent="0.2">
      <c r="A27" t="s">
        <v>87</v>
      </c>
      <c r="B27">
        <v>10.7</v>
      </c>
      <c r="C27">
        <v>3.5</v>
      </c>
      <c r="D27">
        <v>4.5999999999999996</v>
      </c>
      <c r="H27" t="s">
        <v>91</v>
      </c>
    </row>
    <row r="28" spans="1:8" x14ac:dyDescent="0.2">
      <c r="A28" t="s">
        <v>117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85</v>
      </c>
    </row>
    <row r="29" spans="1:8" x14ac:dyDescent="0.2">
      <c r="A29" t="s">
        <v>118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86</v>
      </c>
    </row>
    <row r="30" spans="1:8" x14ac:dyDescent="0.2">
      <c r="A30" t="s">
        <v>121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85</v>
      </c>
    </row>
    <row r="31" spans="1:8" x14ac:dyDescent="0.2">
      <c r="A31" t="s">
        <v>122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86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93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92</v>
      </c>
    </row>
    <row r="37" spans="1:8" x14ac:dyDescent="0.2">
      <c r="A37" t="s">
        <v>82</v>
      </c>
      <c r="B37">
        <v>9800</v>
      </c>
      <c r="C37">
        <v>6600</v>
      </c>
      <c r="D37">
        <v>8800</v>
      </c>
      <c r="H37" t="s">
        <v>89</v>
      </c>
    </row>
    <row r="38" spans="1:8" x14ac:dyDescent="0.2">
      <c r="A38" t="s">
        <v>94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89</v>
      </c>
    </row>
    <row r="39" spans="1:8" x14ac:dyDescent="0.2">
      <c r="A39" t="s">
        <v>82</v>
      </c>
      <c r="B39">
        <v>10390</v>
      </c>
      <c r="C39">
        <v>6705</v>
      </c>
      <c r="D39">
        <v>9370</v>
      </c>
      <c r="F39">
        <v>9720</v>
      </c>
      <c r="H39" t="s">
        <v>83</v>
      </c>
    </row>
    <row r="40" spans="1:8" x14ac:dyDescent="0.2">
      <c r="A40" t="s">
        <v>94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83</v>
      </c>
    </row>
    <row r="42" spans="1:8" x14ac:dyDescent="0.2">
      <c r="A42" s="7" t="s">
        <v>131</v>
      </c>
    </row>
    <row r="45" spans="1:8" x14ac:dyDescent="0.2">
      <c r="A45" s="7" t="s">
        <v>132</v>
      </c>
    </row>
    <row r="46" spans="1:8" x14ac:dyDescent="0.2">
      <c r="A46" t="s">
        <v>133</v>
      </c>
      <c r="B46" s="8">
        <v>6.25E-2</v>
      </c>
      <c r="C46" t="s">
        <v>134</v>
      </c>
    </row>
    <row r="47" spans="1:8" x14ac:dyDescent="0.2">
      <c r="B47" s="8">
        <v>0.108</v>
      </c>
      <c r="C47" t="s">
        <v>135</v>
      </c>
    </row>
    <row r="49" spans="1:4" x14ac:dyDescent="0.2">
      <c r="A49" s="7" t="s">
        <v>137</v>
      </c>
    </row>
    <row r="50" spans="1:4" x14ac:dyDescent="0.2">
      <c r="A50" t="s">
        <v>138</v>
      </c>
      <c r="B50">
        <v>10.7</v>
      </c>
      <c r="C50" t="s">
        <v>140</v>
      </c>
    </row>
    <row r="51" spans="1:4" x14ac:dyDescent="0.2">
      <c r="B51">
        <v>8.5</v>
      </c>
      <c r="C51" t="s">
        <v>141</v>
      </c>
    </row>
    <row r="52" spans="1:4" x14ac:dyDescent="0.2">
      <c r="B52" s="7">
        <v>10</v>
      </c>
      <c r="C52" t="s">
        <v>139</v>
      </c>
    </row>
    <row r="53" spans="1:4" x14ac:dyDescent="0.2">
      <c r="B53">
        <v>5.5</v>
      </c>
      <c r="C53" t="s">
        <v>142</v>
      </c>
    </row>
    <row r="54" spans="1:4" x14ac:dyDescent="0.2">
      <c r="C54" t="s">
        <v>161</v>
      </c>
    </row>
    <row r="56" spans="1:4" x14ac:dyDescent="0.2">
      <c r="A56" s="7" t="s">
        <v>143</v>
      </c>
    </row>
    <row r="59" spans="1:4" x14ac:dyDescent="0.2">
      <c r="A59" s="7" t="s">
        <v>147</v>
      </c>
      <c r="B59" t="s">
        <v>156</v>
      </c>
      <c r="C59" t="s">
        <v>157</v>
      </c>
    </row>
    <row r="60" spans="1:4" x14ac:dyDescent="0.2">
      <c r="A60" t="s">
        <v>148</v>
      </c>
      <c r="B60">
        <f>'Screening curves'!E1</f>
        <v>65</v>
      </c>
      <c r="C60">
        <f>B60</f>
        <v>65</v>
      </c>
    </row>
    <row r="61" spans="1:4" x14ac:dyDescent="0.2">
      <c r="A61" t="s">
        <v>149</v>
      </c>
      <c r="B61" s="17">
        <v>1100</v>
      </c>
      <c r="C61" s="17">
        <v>800</v>
      </c>
      <c r="D61" s="17"/>
    </row>
    <row r="62" spans="1:4" x14ac:dyDescent="0.2">
      <c r="A62" t="s">
        <v>159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153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154</v>
      </c>
      <c r="B66" s="16">
        <v>15</v>
      </c>
      <c r="C66" s="16">
        <v>10</v>
      </c>
      <c r="D66" s="16"/>
    </row>
    <row r="67" spans="1:4" ht="16" x14ac:dyDescent="0.2">
      <c r="A67" t="s">
        <v>155</v>
      </c>
      <c r="B67" s="16">
        <v>0</v>
      </c>
      <c r="C67" s="16">
        <v>0</v>
      </c>
      <c r="D67" s="16"/>
    </row>
    <row r="68" spans="1:4" x14ac:dyDescent="0.2">
      <c r="A68" t="s">
        <v>151</v>
      </c>
      <c r="B68" s="1">
        <v>0.25</v>
      </c>
      <c r="C68" s="1">
        <v>0.19700000000000001</v>
      </c>
      <c r="D68" s="1" t="s">
        <v>158</v>
      </c>
    </row>
    <row r="69" spans="1:4" x14ac:dyDescent="0.2">
      <c r="A69" t="s">
        <v>150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152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2"/>
  <sheetViews>
    <sheetView topLeftCell="A7" workbookViewId="0">
      <selection activeCell="Q23" sqref="Q23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  <col min="18" max="18" width="11.83203125" bestFit="1" customWidth="1"/>
  </cols>
  <sheetData>
    <row r="1" spans="1:12" x14ac:dyDescent="0.2">
      <c r="A1" t="s">
        <v>103</v>
      </c>
    </row>
    <row r="2" spans="1:12" x14ac:dyDescent="0.2">
      <c r="A2" t="s">
        <v>105</v>
      </c>
    </row>
    <row r="3" spans="1:12" x14ac:dyDescent="0.2">
      <c r="A3" t="s">
        <v>104</v>
      </c>
    </row>
    <row r="5" spans="1:12" x14ac:dyDescent="0.2">
      <c r="A5" t="s">
        <v>119</v>
      </c>
    </row>
    <row r="6" spans="1:12" x14ac:dyDescent="0.2">
      <c r="A6" t="s">
        <v>108</v>
      </c>
    </row>
    <row r="7" spans="1:12" ht="30" customHeight="1" x14ac:dyDescent="0.2">
      <c r="B7" s="13" t="s">
        <v>106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9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19" spans="1:19" x14ac:dyDescent="0.2">
      <c r="Q19" s="1">
        <v>0.03</v>
      </c>
      <c r="R19">
        <f>1423/((1+Q19)^10)</f>
        <v>1058.8456408980398</v>
      </c>
    </row>
    <row r="20" spans="1:19" x14ac:dyDescent="0.2">
      <c r="A20" t="s">
        <v>120</v>
      </c>
    </row>
    <row r="21" spans="1:19" x14ac:dyDescent="0.2">
      <c r="A21" t="s">
        <v>108</v>
      </c>
      <c r="P21">
        <v>0</v>
      </c>
      <c r="Q21" s="1">
        <v>0.03</v>
      </c>
      <c r="R21">
        <f>(1+Q21)^P21</f>
        <v>1</v>
      </c>
      <c r="S21">
        <v>6.5</v>
      </c>
    </row>
    <row r="22" spans="1:19" ht="32" x14ac:dyDescent="0.2">
      <c r="B22" s="13" t="s">
        <v>106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  <c r="P22">
        <v>5</v>
      </c>
      <c r="Q22" s="1">
        <v>3.5000000000000003E-2</v>
      </c>
      <c r="R22">
        <f>(1+Q22)^P22</f>
        <v>1.1876863056468745</v>
      </c>
      <c r="S22">
        <f>S21*R22</f>
        <v>7.7199609867046846</v>
      </c>
    </row>
    <row r="23" spans="1:19" x14ac:dyDescent="0.2">
      <c r="A23">
        <v>2008</v>
      </c>
      <c r="B23" s="8">
        <v>3.85E-2</v>
      </c>
      <c r="C23">
        <v>1</v>
      </c>
      <c r="D23" s="2"/>
      <c r="P23">
        <v>10</v>
      </c>
      <c r="Q23" s="1">
        <v>3.5000000000000003E-2</v>
      </c>
      <c r="R23">
        <f>(1+Q23)^P23</f>
        <v>1.410598760621121</v>
      </c>
      <c r="S23">
        <f>S21*R23</f>
        <v>9.168891944037286</v>
      </c>
    </row>
    <row r="24" spans="1:19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9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9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9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9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9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9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9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9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C9" sqref="C9"/>
    </sheetView>
  </sheetViews>
  <sheetFormatPr baseColWidth="10" defaultColWidth="11.5" defaultRowHeight="15" x14ac:dyDescent="0.2"/>
  <cols>
    <col min="1" max="1" width="24.6640625" bestFit="1" customWidth="1"/>
  </cols>
  <sheetData>
    <row r="1" spans="1:4" x14ac:dyDescent="0.2">
      <c r="A1" t="s">
        <v>478</v>
      </c>
    </row>
    <row r="2" spans="1:4" x14ac:dyDescent="0.2">
      <c r="A2" t="s">
        <v>479</v>
      </c>
    </row>
    <row r="3" spans="1:4" x14ac:dyDescent="0.2">
      <c r="C3">
        <v>70</v>
      </c>
      <c r="D3" t="s">
        <v>483</v>
      </c>
    </row>
    <row r="5" spans="1:4" x14ac:dyDescent="0.2">
      <c r="A5" t="s">
        <v>480</v>
      </c>
      <c r="B5" t="s">
        <v>481</v>
      </c>
      <c r="C5" t="s">
        <v>482</v>
      </c>
    </row>
    <row r="6" spans="1:4" x14ac:dyDescent="0.2">
      <c r="A6">
        <v>210</v>
      </c>
      <c r="B6">
        <v>4500000</v>
      </c>
      <c r="C6" s="5">
        <f>B6/$C$3</f>
        <v>64285.714285714283</v>
      </c>
    </row>
    <row r="7" spans="1:4" x14ac:dyDescent="0.2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">
      <c r="A8">
        <v>300</v>
      </c>
      <c r="B8">
        <v>4350000</v>
      </c>
      <c r="C8" s="5">
        <f t="shared" si="0"/>
        <v>62142.857142857145</v>
      </c>
    </row>
    <row r="9" spans="1:4" x14ac:dyDescent="0.2">
      <c r="A9">
        <v>500</v>
      </c>
      <c r="B9">
        <v>4050000</v>
      </c>
      <c r="C9" s="5">
        <f t="shared" si="0"/>
        <v>57857.142857142855</v>
      </c>
    </row>
    <row r="10" spans="1:4" x14ac:dyDescent="0.2">
      <c r="A10">
        <v>525</v>
      </c>
      <c r="B10">
        <v>4050000</v>
      </c>
      <c r="C10" s="5">
        <f t="shared" si="0"/>
        <v>57857.142857142855</v>
      </c>
    </row>
    <row r="11" spans="1:4" x14ac:dyDescent="0.2">
      <c r="A11">
        <v>600</v>
      </c>
      <c r="B11">
        <v>3700000</v>
      </c>
      <c r="C11" s="5">
        <f t="shared" si="0"/>
        <v>52857.142857142855</v>
      </c>
    </row>
    <row r="12" spans="1:4" x14ac:dyDescent="0.2">
      <c r="A12">
        <v>660</v>
      </c>
      <c r="B12">
        <v>3700000</v>
      </c>
      <c r="C12" s="5">
        <f t="shared" si="0"/>
        <v>52857.142857142855</v>
      </c>
    </row>
    <row r="13" spans="1:4" x14ac:dyDescent="0.2">
      <c r="A13">
        <v>800</v>
      </c>
      <c r="B13">
        <v>3000000</v>
      </c>
      <c r="C13" s="5">
        <f t="shared" si="0"/>
        <v>42857.142857142855</v>
      </c>
    </row>
    <row r="14" spans="1:4" x14ac:dyDescent="0.2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398</v>
      </c>
    </row>
    <row r="4" spans="1:9" x14ac:dyDescent="0.2">
      <c r="A4" s="7" t="s">
        <v>397</v>
      </c>
      <c r="B4" s="7" t="s">
        <v>396</v>
      </c>
      <c r="C4" s="7" t="s">
        <v>395</v>
      </c>
      <c r="D4" s="7" t="s">
        <v>394</v>
      </c>
      <c r="E4" s="7" t="s">
        <v>393</v>
      </c>
      <c r="F4" s="7" t="s">
        <v>392</v>
      </c>
      <c r="G4" s="7" t="s">
        <v>391</v>
      </c>
      <c r="H4" s="7" t="s">
        <v>390</v>
      </c>
      <c r="I4" s="7" t="s">
        <v>223</v>
      </c>
    </row>
    <row r="5" spans="1:9" x14ac:dyDescent="0.2">
      <c r="A5" t="s">
        <v>389</v>
      </c>
      <c r="B5">
        <v>0</v>
      </c>
      <c r="C5" t="s">
        <v>388</v>
      </c>
    </row>
    <row r="6" spans="1:9" x14ac:dyDescent="0.2">
      <c r="B6">
        <v>200</v>
      </c>
      <c r="C6" t="s">
        <v>387</v>
      </c>
    </row>
    <row r="7" spans="1:9" x14ac:dyDescent="0.2">
      <c r="B7">
        <v>200</v>
      </c>
      <c r="C7" t="s">
        <v>386</v>
      </c>
    </row>
    <row r="8" spans="1:9" x14ac:dyDescent="0.2">
      <c r="B8">
        <v>200</v>
      </c>
      <c r="C8" t="s">
        <v>385</v>
      </c>
    </row>
    <row r="9" spans="1:9" x14ac:dyDescent="0.2">
      <c r="B9">
        <v>200</v>
      </c>
      <c r="C9" t="s">
        <v>384</v>
      </c>
    </row>
    <row r="10" spans="1:9" x14ac:dyDescent="0.2">
      <c r="B10">
        <v>200</v>
      </c>
      <c r="C10" t="s">
        <v>383</v>
      </c>
    </row>
    <row r="11" spans="1:9" x14ac:dyDescent="0.2">
      <c r="B11">
        <v>300</v>
      </c>
      <c r="C11" t="s">
        <v>387</v>
      </c>
    </row>
    <row r="12" spans="1:9" x14ac:dyDescent="0.2">
      <c r="B12">
        <v>300</v>
      </c>
      <c r="C12" t="s">
        <v>386</v>
      </c>
    </row>
    <row r="13" spans="1:9" x14ac:dyDescent="0.2">
      <c r="B13">
        <v>300</v>
      </c>
      <c r="C13" t="s">
        <v>385</v>
      </c>
    </row>
    <row r="14" spans="1:9" x14ac:dyDescent="0.2">
      <c r="B14">
        <v>300</v>
      </c>
      <c r="C14" t="s">
        <v>384</v>
      </c>
    </row>
    <row r="15" spans="1:9" x14ac:dyDescent="0.2">
      <c r="B15">
        <v>300</v>
      </c>
      <c r="C15" t="s">
        <v>383</v>
      </c>
    </row>
    <row r="16" spans="1:9" x14ac:dyDescent="0.2">
      <c r="B16">
        <v>400</v>
      </c>
      <c r="C16" t="s">
        <v>387</v>
      </c>
    </row>
    <row r="17" spans="1:9" x14ac:dyDescent="0.2">
      <c r="B17">
        <v>400</v>
      </c>
      <c r="C17" t="s">
        <v>386</v>
      </c>
    </row>
    <row r="18" spans="1:9" x14ac:dyDescent="0.2">
      <c r="B18">
        <v>400</v>
      </c>
      <c r="C18" t="s">
        <v>385</v>
      </c>
    </row>
    <row r="19" spans="1:9" x14ac:dyDescent="0.2">
      <c r="B19">
        <v>400</v>
      </c>
      <c r="C19" t="s">
        <v>384</v>
      </c>
    </row>
    <row r="20" spans="1:9" x14ac:dyDescent="0.2">
      <c r="B20">
        <v>400</v>
      </c>
      <c r="C20" t="s">
        <v>383</v>
      </c>
    </row>
    <row r="22" spans="1:9" x14ac:dyDescent="0.2">
      <c r="A22" s="7" t="s">
        <v>382</v>
      </c>
    </row>
    <row r="23" spans="1:9" ht="16" x14ac:dyDescent="0.2">
      <c r="A23" t="s">
        <v>381</v>
      </c>
      <c r="D23" s="13" t="s">
        <v>380</v>
      </c>
    </row>
    <row r="24" spans="1:9" x14ac:dyDescent="0.2">
      <c r="D24" s="7" t="s">
        <v>379</v>
      </c>
      <c r="G24" t="s">
        <v>378</v>
      </c>
    </row>
    <row r="25" spans="1:9" x14ac:dyDescent="0.2">
      <c r="D25" s="7" t="s">
        <v>377</v>
      </c>
      <c r="G25" t="s">
        <v>376</v>
      </c>
      <c r="H25" t="s">
        <v>430</v>
      </c>
      <c r="I25" t="s">
        <v>431</v>
      </c>
    </row>
    <row r="26" spans="1:9" x14ac:dyDescent="0.2">
      <c r="E26" s="7" t="s">
        <v>375</v>
      </c>
      <c r="G26" t="s">
        <v>374</v>
      </c>
      <c r="H26" t="s">
        <v>305</v>
      </c>
    </row>
    <row r="27" spans="1:9" x14ac:dyDescent="0.2">
      <c r="F27" t="s">
        <v>373</v>
      </c>
      <c r="G27" t="s">
        <v>372</v>
      </c>
      <c r="H27" t="s">
        <v>365</v>
      </c>
    </row>
    <row r="28" spans="1:9" x14ac:dyDescent="0.2">
      <c r="F28" t="s">
        <v>371</v>
      </c>
      <c r="G28" t="s">
        <v>370</v>
      </c>
      <c r="H28" t="s">
        <v>365</v>
      </c>
    </row>
    <row r="29" spans="1:9" x14ac:dyDescent="0.2">
      <c r="F29" t="s">
        <v>369</v>
      </c>
      <c r="G29" t="s">
        <v>368</v>
      </c>
      <c r="H29" t="s">
        <v>365</v>
      </c>
    </row>
    <row r="30" spans="1:9" x14ac:dyDescent="0.2">
      <c r="F30" t="s">
        <v>367</v>
      </c>
      <c r="G30" t="s">
        <v>366</v>
      </c>
      <c r="H30" t="s">
        <v>365</v>
      </c>
    </row>
    <row r="31" spans="1:9" x14ac:dyDescent="0.2">
      <c r="D31" s="7" t="s">
        <v>364</v>
      </c>
      <c r="G31" t="s">
        <v>363</v>
      </c>
      <c r="H31" t="s">
        <v>346</v>
      </c>
      <c r="I31" t="s">
        <v>362</v>
      </c>
    </row>
    <row r="32" spans="1:9" x14ac:dyDescent="0.2">
      <c r="D32" s="7" t="s">
        <v>361</v>
      </c>
      <c r="G32" t="s">
        <v>360</v>
      </c>
      <c r="H32" t="s">
        <v>346</v>
      </c>
      <c r="I32" t="s">
        <v>359</v>
      </c>
    </row>
    <row r="33" spans="4:9" x14ac:dyDescent="0.2">
      <c r="D33" s="7" t="s">
        <v>358</v>
      </c>
      <c r="G33" t="s">
        <v>357</v>
      </c>
      <c r="I33" t="s">
        <v>356</v>
      </c>
    </row>
    <row r="34" spans="4:9" x14ac:dyDescent="0.2">
      <c r="D34" s="22" t="s">
        <v>355</v>
      </c>
      <c r="G34" t="s">
        <v>354</v>
      </c>
      <c r="H34" t="s">
        <v>346</v>
      </c>
      <c r="I34" t="s">
        <v>332</v>
      </c>
    </row>
    <row r="35" spans="4:9" x14ac:dyDescent="0.2">
      <c r="D35" s="7" t="s">
        <v>353</v>
      </c>
      <c r="G35" t="s">
        <v>352</v>
      </c>
      <c r="H35" t="s">
        <v>346</v>
      </c>
      <c r="I35" t="s">
        <v>351</v>
      </c>
    </row>
    <row r="36" spans="4:9" x14ac:dyDescent="0.2">
      <c r="D36" s="22" t="s">
        <v>350</v>
      </c>
      <c r="G36" t="s">
        <v>349</v>
      </c>
      <c r="H36" t="s">
        <v>346</v>
      </c>
      <c r="I36" t="s">
        <v>332</v>
      </c>
    </row>
    <row r="37" spans="4:9" x14ac:dyDescent="0.2">
      <c r="D37" s="7" t="s">
        <v>348</v>
      </c>
      <c r="G37" t="s">
        <v>347</v>
      </c>
      <c r="H37" t="s">
        <v>346</v>
      </c>
      <c r="I37" t="s">
        <v>345</v>
      </c>
    </row>
    <row r="38" spans="4:9" x14ac:dyDescent="0.2">
      <c r="D38" t="s">
        <v>344</v>
      </c>
      <c r="I38" t="s">
        <v>342</v>
      </c>
    </row>
    <row r="39" spans="4:9" x14ac:dyDescent="0.2">
      <c r="D39" t="s">
        <v>343</v>
      </c>
      <c r="I39" t="s">
        <v>342</v>
      </c>
    </row>
    <row r="40" spans="4:9" x14ac:dyDescent="0.2">
      <c r="D40" t="s">
        <v>341</v>
      </c>
      <c r="F40" t="s">
        <v>340</v>
      </c>
      <c r="I40" t="s">
        <v>337</v>
      </c>
    </row>
    <row r="41" spans="4:9" x14ac:dyDescent="0.2">
      <c r="D41" t="s">
        <v>339</v>
      </c>
      <c r="F41" t="s">
        <v>338</v>
      </c>
      <c r="I41" t="s">
        <v>337</v>
      </c>
    </row>
    <row r="42" spans="4:9" x14ac:dyDescent="0.2">
      <c r="D42" s="7" t="s">
        <v>336</v>
      </c>
      <c r="G42" t="s">
        <v>335</v>
      </c>
    </row>
    <row r="43" spans="4:9" x14ac:dyDescent="0.2">
      <c r="D43" t="s">
        <v>334</v>
      </c>
      <c r="I43" t="s">
        <v>332</v>
      </c>
    </row>
    <row r="44" spans="4:9" x14ac:dyDescent="0.2">
      <c r="D44" t="s">
        <v>333</v>
      </c>
      <c r="I44" t="s">
        <v>332</v>
      </c>
    </row>
    <row r="45" spans="4:9" x14ac:dyDescent="0.2">
      <c r="D45" t="s">
        <v>331</v>
      </c>
      <c r="G45" t="s">
        <v>330</v>
      </c>
    </row>
    <row r="46" spans="4:9" x14ac:dyDescent="0.2">
      <c r="D46" s="7" t="s">
        <v>329</v>
      </c>
      <c r="G46" t="s">
        <v>328</v>
      </c>
    </row>
    <row r="47" spans="4:9" x14ac:dyDescent="0.2">
      <c r="D47" s="7" t="s">
        <v>327</v>
      </c>
      <c r="G47" t="s">
        <v>238</v>
      </c>
    </row>
    <row r="48" spans="4:9" x14ac:dyDescent="0.2">
      <c r="D48" t="s">
        <v>326</v>
      </c>
      <c r="G48" t="s">
        <v>325</v>
      </c>
    </row>
    <row r="49" spans="4:7" x14ac:dyDescent="0.2">
      <c r="D49" t="s">
        <v>324</v>
      </c>
      <c r="G49" t="s">
        <v>239</v>
      </c>
    </row>
    <row r="54" spans="4:7" x14ac:dyDescent="0.2">
      <c r="D54" t="s">
        <v>323</v>
      </c>
      <c r="E54" t="s">
        <v>322</v>
      </c>
      <c r="F54" t="s">
        <v>305</v>
      </c>
      <c r="G54" t="s">
        <v>321</v>
      </c>
    </row>
    <row r="55" spans="4:7" x14ac:dyDescent="0.2">
      <c r="D55" t="s">
        <v>316</v>
      </c>
      <c r="E55" t="s">
        <v>309</v>
      </c>
      <c r="F55" t="s">
        <v>307</v>
      </c>
      <c r="G55" t="s">
        <v>317</v>
      </c>
    </row>
    <row r="56" spans="4:7" x14ac:dyDescent="0.2">
      <c r="D56" t="s">
        <v>314</v>
      </c>
      <c r="E56" t="s">
        <v>308</v>
      </c>
      <c r="G56" t="s">
        <v>315</v>
      </c>
    </row>
    <row r="57" spans="4:7" x14ac:dyDescent="0.2">
      <c r="D57" t="s">
        <v>313</v>
      </c>
    </row>
    <row r="58" spans="4:7" x14ac:dyDescent="0.2">
      <c r="D58" t="s">
        <v>312</v>
      </c>
    </row>
    <row r="59" spans="4:7" x14ac:dyDescent="0.2">
      <c r="D59" t="s">
        <v>311</v>
      </c>
    </row>
    <row r="60" spans="4:7" x14ac:dyDescent="0.2">
      <c r="D60" t="s">
        <v>310</v>
      </c>
    </row>
    <row r="63" spans="4:7" x14ac:dyDescent="0.2">
      <c r="D63" t="s">
        <v>320</v>
      </c>
      <c r="E63" t="s">
        <v>319</v>
      </c>
      <c r="F63" t="s">
        <v>318</v>
      </c>
    </row>
    <row r="64" spans="4:7" x14ac:dyDescent="0.2">
      <c r="D64" t="s">
        <v>317</v>
      </c>
      <c r="E64" t="s">
        <v>316</v>
      </c>
      <c r="F64" t="s">
        <v>316</v>
      </c>
    </row>
    <row r="65" spans="4:6" x14ac:dyDescent="0.2">
      <c r="D65" t="s">
        <v>315</v>
      </c>
      <c r="E65" t="s">
        <v>314</v>
      </c>
      <c r="F65" t="s">
        <v>314</v>
      </c>
    </row>
    <row r="66" spans="4:6" x14ac:dyDescent="0.2">
      <c r="D66" t="s">
        <v>310</v>
      </c>
      <c r="E66" t="s">
        <v>313</v>
      </c>
      <c r="F66" t="s">
        <v>313</v>
      </c>
    </row>
    <row r="67" spans="4:6" x14ac:dyDescent="0.2">
      <c r="E67" t="s">
        <v>312</v>
      </c>
      <c r="F67" t="s">
        <v>312</v>
      </c>
    </row>
    <row r="68" spans="4:6" x14ac:dyDescent="0.2">
      <c r="E68" t="s">
        <v>311</v>
      </c>
      <c r="F68" t="s">
        <v>311</v>
      </c>
    </row>
    <row r="69" spans="4:6" x14ac:dyDescent="0.2">
      <c r="E69" t="s">
        <v>310</v>
      </c>
      <c r="F69" t="s">
        <v>310</v>
      </c>
    </row>
    <row r="70" spans="4:6" x14ac:dyDescent="0.2">
      <c r="E70" t="s">
        <v>309</v>
      </c>
      <c r="F70" t="s">
        <v>309</v>
      </c>
    </row>
    <row r="71" spans="4:6" x14ac:dyDescent="0.2">
      <c r="E71" t="s">
        <v>308</v>
      </c>
      <c r="F71" t="s">
        <v>308</v>
      </c>
    </row>
    <row r="72" spans="4:6" x14ac:dyDescent="0.2">
      <c r="F72" t="s">
        <v>307</v>
      </c>
    </row>
  </sheetData>
  <pageMargins left="0.7" right="0.7" top="0.75" bottom="0.75" header="0.3" footer="0.3"/>
  <pageSetup orientation="portrait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306</v>
      </c>
      <c r="D1" t="s">
        <v>305</v>
      </c>
      <c r="H1" t="s">
        <v>304</v>
      </c>
    </row>
    <row r="2" spans="1:8" x14ac:dyDescent="0.2">
      <c r="A2" t="s">
        <v>303</v>
      </c>
      <c r="D2" t="s">
        <v>302</v>
      </c>
      <c r="E2" t="s">
        <v>301</v>
      </c>
      <c r="F2" t="s">
        <v>300</v>
      </c>
      <c r="H2" t="s">
        <v>299</v>
      </c>
    </row>
    <row r="3" spans="1:8" x14ac:dyDescent="0.2">
      <c r="A3" t="s">
        <v>297</v>
      </c>
      <c r="B3" t="s">
        <v>229</v>
      </c>
      <c r="C3" t="s">
        <v>298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297</v>
      </c>
      <c r="B4" t="s">
        <v>229</v>
      </c>
      <c r="C4" t="s">
        <v>295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297</v>
      </c>
      <c r="B5" t="s">
        <v>296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297</v>
      </c>
      <c r="B6" t="s">
        <v>296</v>
      </c>
      <c r="C6" t="s">
        <v>295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217</v>
      </c>
      <c r="C1" t="s">
        <v>224</v>
      </c>
      <c r="D1" t="s">
        <v>406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474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408</v>
      </c>
      <c r="V1" t="s">
        <v>413</v>
      </c>
      <c r="W1" t="s">
        <v>414</v>
      </c>
      <c r="X1" t="s">
        <v>415</v>
      </c>
      <c r="Y1" t="s">
        <v>416</v>
      </c>
      <c r="Z1" t="s">
        <v>475</v>
      </c>
      <c r="AA1" t="s">
        <v>432</v>
      </c>
      <c r="AB1" t="s">
        <v>458</v>
      </c>
      <c r="AC1" t="s">
        <v>460</v>
      </c>
      <c r="AD1" t="s">
        <v>461</v>
      </c>
    </row>
    <row r="2" spans="1:30" x14ac:dyDescent="0.2">
      <c r="B2" t="s">
        <v>433</v>
      </c>
      <c r="C2" t="s">
        <v>434</v>
      </c>
      <c r="D2" t="s">
        <v>435</v>
      </c>
      <c r="E2" t="s">
        <v>436</v>
      </c>
      <c r="F2" t="s">
        <v>437</v>
      </c>
      <c r="G2" t="s">
        <v>438</v>
      </c>
      <c r="H2" t="s">
        <v>439</v>
      </c>
      <c r="I2" t="s">
        <v>440</v>
      </c>
      <c r="J2" t="s">
        <v>476</v>
      </c>
      <c r="K2" t="s">
        <v>441</v>
      </c>
      <c r="L2" t="s">
        <v>442</v>
      </c>
      <c r="M2" t="s">
        <v>443</v>
      </c>
      <c r="N2" t="s">
        <v>444</v>
      </c>
      <c r="O2" t="s">
        <v>445</v>
      </c>
      <c r="P2" t="s">
        <v>446</v>
      </c>
      <c r="Q2" t="s">
        <v>447</v>
      </c>
      <c r="R2" t="s">
        <v>448</v>
      </c>
      <c r="S2" t="s">
        <v>449</v>
      </c>
      <c r="T2" t="s">
        <v>450</v>
      </c>
      <c r="U2" t="s">
        <v>451</v>
      </c>
      <c r="V2" t="s">
        <v>452</v>
      </c>
      <c r="W2" t="s">
        <v>453</v>
      </c>
      <c r="X2" t="s">
        <v>454</v>
      </c>
      <c r="Y2" t="s">
        <v>455</v>
      </c>
      <c r="Z2" t="s">
        <v>477</v>
      </c>
      <c r="AA2" t="s">
        <v>456</v>
      </c>
      <c r="AB2" t="s">
        <v>464</v>
      </c>
      <c r="AC2" t="s">
        <v>465</v>
      </c>
      <c r="AD2" t="s">
        <v>466</v>
      </c>
    </row>
    <row r="3" spans="1:30" x14ac:dyDescent="0.2">
      <c r="A3" t="s">
        <v>403</v>
      </c>
      <c r="B3" t="s">
        <v>405</v>
      </c>
      <c r="C3" t="s">
        <v>405</v>
      </c>
      <c r="D3" t="s">
        <v>405</v>
      </c>
      <c r="E3" t="s">
        <v>405</v>
      </c>
      <c r="F3" t="s">
        <v>405</v>
      </c>
      <c r="G3" t="s">
        <v>405</v>
      </c>
      <c r="H3" t="s">
        <v>405</v>
      </c>
      <c r="I3" t="s">
        <v>405</v>
      </c>
      <c r="K3" t="s">
        <v>405</v>
      </c>
      <c r="L3" t="s">
        <v>405</v>
      </c>
      <c r="M3" t="s">
        <v>405</v>
      </c>
      <c r="N3" t="s">
        <v>405</v>
      </c>
      <c r="O3" t="s">
        <v>405</v>
      </c>
      <c r="P3" t="s">
        <v>405</v>
      </c>
      <c r="Q3" t="s">
        <v>405</v>
      </c>
      <c r="R3" t="s">
        <v>405</v>
      </c>
      <c r="S3" t="s">
        <v>405</v>
      </c>
      <c r="T3" t="s">
        <v>405</v>
      </c>
      <c r="U3" t="s">
        <v>405</v>
      </c>
      <c r="V3" t="s">
        <v>405</v>
      </c>
      <c r="W3" t="s">
        <v>405</v>
      </c>
      <c r="X3" t="s">
        <v>405</v>
      </c>
      <c r="Y3" t="s">
        <v>405</v>
      </c>
      <c r="AA3" t="s">
        <v>405</v>
      </c>
      <c r="AB3" t="s">
        <v>405</v>
      </c>
      <c r="AC3" t="s">
        <v>405</v>
      </c>
      <c r="AD3" t="s">
        <v>405</v>
      </c>
    </row>
    <row r="4" spans="1:30" x14ac:dyDescent="0.2">
      <c r="A4" t="s">
        <v>404</v>
      </c>
      <c r="B4" t="s">
        <v>405</v>
      </c>
      <c r="C4" t="s">
        <v>405</v>
      </c>
      <c r="D4" t="s">
        <v>405</v>
      </c>
      <c r="E4" t="s">
        <v>405</v>
      </c>
      <c r="F4" t="s">
        <v>405</v>
      </c>
      <c r="G4" t="s">
        <v>405</v>
      </c>
      <c r="H4" t="s">
        <v>405</v>
      </c>
      <c r="I4" t="s">
        <v>405</v>
      </c>
      <c r="K4" t="s">
        <v>405</v>
      </c>
      <c r="L4" t="s">
        <v>405</v>
      </c>
      <c r="M4" t="s">
        <v>405</v>
      </c>
      <c r="N4" t="s">
        <v>405</v>
      </c>
      <c r="O4" t="s">
        <v>405</v>
      </c>
      <c r="P4" t="s">
        <v>405</v>
      </c>
      <c r="Q4" t="s">
        <v>405</v>
      </c>
      <c r="R4" t="s">
        <v>405</v>
      </c>
      <c r="S4" t="s">
        <v>405</v>
      </c>
      <c r="T4" t="s">
        <v>405</v>
      </c>
      <c r="U4" t="s">
        <v>405</v>
      </c>
      <c r="V4" t="s">
        <v>405</v>
      </c>
      <c r="W4" t="s">
        <v>405</v>
      </c>
      <c r="X4" t="s">
        <v>405</v>
      </c>
      <c r="Y4" t="s">
        <v>405</v>
      </c>
      <c r="AA4" t="s">
        <v>405</v>
      </c>
      <c r="AB4" t="s">
        <v>405</v>
      </c>
      <c r="AC4" t="s">
        <v>405</v>
      </c>
      <c r="AD4" t="s">
        <v>405</v>
      </c>
    </row>
    <row r="5" spans="1:30" x14ac:dyDescent="0.2">
      <c r="A5" t="s">
        <v>400</v>
      </c>
      <c r="B5" t="s">
        <v>405</v>
      </c>
      <c r="C5" t="s">
        <v>405</v>
      </c>
      <c r="D5" t="s">
        <v>405</v>
      </c>
      <c r="H5" t="s">
        <v>405</v>
      </c>
      <c r="I5" t="s">
        <v>405</v>
      </c>
      <c r="K5" t="s">
        <v>405</v>
      </c>
      <c r="L5" t="s">
        <v>405</v>
      </c>
      <c r="M5" t="s">
        <v>405</v>
      </c>
      <c r="N5" t="s">
        <v>405</v>
      </c>
      <c r="O5" t="s">
        <v>405</v>
      </c>
      <c r="P5" t="s">
        <v>405</v>
      </c>
      <c r="Q5" t="s">
        <v>405</v>
      </c>
      <c r="R5" t="s">
        <v>405</v>
      </c>
      <c r="S5" t="s">
        <v>405</v>
      </c>
      <c r="U5" t="s">
        <v>405</v>
      </c>
      <c r="W5" t="s">
        <v>405</v>
      </c>
      <c r="Y5" t="s">
        <v>405</v>
      </c>
      <c r="AA5" t="s">
        <v>405</v>
      </c>
    </row>
    <row r="6" spans="1:30" x14ac:dyDescent="0.2">
      <c r="A6" t="s">
        <v>401</v>
      </c>
      <c r="B6" t="s">
        <v>405</v>
      </c>
      <c r="C6" t="s">
        <v>457</v>
      </c>
      <c r="D6" t="s">
        <v>405</v>
      </c>
      <c r="H6" t="s">
        <v>405</v>
      </c>
      <c r="I6" t="s">
        <v>405</v>
      </c>
      <c r="K6" t="s">
        <v>405</v>
      </c>
      <c r="L6" t="s">
        <v>405</v>
      </c>
      <c r="M6" t="s">
        <v>405</v>
      </c>
      <c r="N6" t="s">
        <v>405</v>
      </c>
      <c r="O6" t="s">
        <v>405</v>
      </c>
      <c r="P6" t="s">
        <v>405</v>
      </c>
      <c r="Q6" t="s">
        <v>405</v>
      </c>
      <c r="R6" t="s">
        <v>405</v>
      </c>
      <c r="S6" t="s">
        <v>405</v>
      </c>
      <c r="U6" t="s">
        <v>405</v>
      </c>
      <c r="W6" t="s">
        <v>405</v>
      </c>
      <c r="Y6" t="s">
        <v>405</v>
      </c>
      <c r="AA6" t="s">
        <v>405</v>
      </c>
    </row>
    <row r="7" spans="1:30" x14ac:dyDescent="0.2">
      <c r="A7" t="s">
        <v>402</v>
      </c>
      <c r="B7" t="s">
        <v>405</v>
      </c>
      <c r="C7" t="s">
        <v>457</v>
      </c>
      <c r="D7" t="s">
        <v>405</v>
      </c>
      <c r="H7" t="s">
        <v>405</v>
      </c>
      <c r="I7" t="s">
        <v>405</v>
      </c>
      <c r="K7" t="s">
        <v>405</v>
      </c>
      <c r="L7" t="s">
        <v>405</v>
      </c>
      <c r="M7" t="s">
        <v>405</v>
      </c>
      <c r="N7" t="s">
        <v>405</v>
      </c>
      <c r="O7" t="s">
        <v>405</v>
      </c>
      <c r="P7" t="s">
        <v>405</v>
      </c>
      <c r="Q7" t="s">
        <v>405</v>
      </c>
      <c r="R7" t="s">
        <v>405</v>
      </c>
      <c r="S7" t="s">
        <v>405</v>
      </c>
      <c r="U7" t="s">
        <v>405</v>
      </c>
      <c r="W7" t="s">
        <v>405</v>
      </c>
      <c r="Y7" t="s">
        <v>405</v>
      </c>
      <c r="AA7" t="s">
        <v>405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4"/>
  <sheetViews>
    <sheetView tabSelected="1" topLeftCell="A11" workbookViewId="0">
      <selection activeCell="C39" sqref="C39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18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221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182</v>
      </c>
      <c r="S3" t="s">
        <v>19</v>
      </c>
      <c r="U3" t="s">
        <v>165</v>
      </c>
      <c r="W3" t="s">
        <v>167</v>
      </c>
      <c r="Y3" t="s">
        <v>170</v>
      </c>
      <c r="AA3" t="s">
        <v>177</v>
      </c>
      <c r="AC3" t="s">
        <v>171</v>
      </c>
      <c r="AE3" t="s">
        <v>206</v>
      </c>
      <c r="AF3" t="s">
        <v>215</v>
      </c>
      <c r="AH3" t="s">
        <v>210</v>
      </c>
      <c r="AI3" t="s">
        <v>214</v>
      </c>
      <c r="AK3" t="s">
        <v>218</v>
      </c>
      <c r="AL3" t="s">
        <v>220</v>
      </c>
    </row>
    <row r="4" spans="1:38" x14ac:dyDescent="0.2">
      <c r="D4" t="s">
        <v>54</v>
      </c>
      <c r="E4">
        <v>3.9656699999999998</v>
      </c>
      <c r="Q4" t="s">
        <v>185</v>
      </c>
      <c r="R4" s="11">
        <v>0.04</v>
      </c>
      <c r="S4" s="2">
        <f>(R4*(1+R4)^$D$50)/(((1+R4)^$D$50)-1)</f>
        <v>6.4011962786454574E-2</v>
      </c>
      <c r="T4" t="s">
        <v>166</v>
      </c>
      <c r="U4" s="5">
        <f>'Data and sources'!D19</f>
        <v>1140</v>
      </c>
      <c r="V4" t="s">
        <v>169</v>
      </c>
      <c r="W4" s="4">
        <f>B7</f>
        <v>2.4615384615384617</v>
      </c>
      <c r="X4" t="s">
        <v>172</v>
      </c>
      <c r="Y4" s="5">
        <f>'Data and sources'!B14</f>
        <v>678.26769230769241</v>
      </c>
      <c r="Z4" t="s">
        <v>174</v>
      </c>
      <c r="AA4" s="5">
        <f>'Data and sources'!C14</f>
        <v>775.16307692307703</v>
      </c>
      <c r="AB4" t="s">
        <v>176</v>
      </c>
      <c r="AC4" s="4">
        <f>B17</f>
        <v>3.6923076923076925</v>
      </c>
      <c r="AD4" t="s">
        <v>217</v>
      </c>
      <c r="AE4">
        <f>B69</f>
        <v>1250</v>
      </c>
      <c r="AF4">
        <f>B70</f>
        <v>15</v>
      </c>
      <c r="AG4" t="s">
        <v>217</v>
      </c>
      <c r="AH4">
        <f>C69</f>
        <v>850</v>
      </c>
      <c r="AI4">
        <f>C70</f>
        <v>10</v>
      </c>
      <c r="AJ4" t="s">
        <v>217</v>
      </c>
      <c r="AK4">
        <v>1200</v>
      </c>
      <c r="AL4">
        <v>76</v>
      </c>
    </row>
    <row r="5" spans="1:38" x14ac:dyDescent="0.2">
      <c r="A5" t="s">
        <v>25</v>
      </c>
      <c r="Q5" t="s">
        <v>183</v>
      </c>
      <c r="R5" s="11">
        <v>7.0000000000000007E-2</v>
      </c>
      <c r="S5" s="2">
        <f>(R5*(1+R5)^$D$50)/(((1+R5)^$D$50)-1)</f>
        <v>8.5810517220665614E-2</v>
      </c>
      <c r="T5" t="s">
        <v>164</v>
      </c>
      <c r="U5" s="5">
        <f>'Data and sources'!D17</f>
        <v>976.42784318082204</v>
      </c>
      <c r="V5" t="s">
        <v>168</v>
      </c>
      <c r="W5">
        <f>$B$15</f>
        <v>3.7</v>
      </c>
      <c r="X5" t="s">
        <v>173</v>
      </c>
      <c r="Z5" t="s">
        <v>175</v>
      </c>
      <c r="AB5" t="s">
        <v>178</v>
      </c>
      <c r="AC5">
        <f>'Data and sources'!B52</f>
        <v>10</v>
      </c>
      <c r="AD5" t="s">
        <v>207</v>
      </c>
      <c r="AE5">
        <f>AE$4*0.9</f>
        <v>1125</v>
      </c>
      <c r="AF5">
        <f>AF4</f>
        <v>15</v>
      </c>
      <c r="AG5" t="s">
        <v>211</v>
      </c>
      <c r="AH5">
        <f>AH$4*0.9</f>
        <v>765</v>
      </c>
      <c r="AI5">
        <f>AI4</f>
        <v>10</v>
      </c>
      <c r="AJ5" t="s">
        <v>417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160</v>
      </c>
      <c r="Q6" t="s">
        <v>184</v>
      </c>
      <c r="R6" s="11">
        <v>0.1</v>
      </c>
      <c r="S6" s="2">
        <f>(R6*(1+R6)^$D$50)/(((1+R6)^$D$50)-1)</f>
        <v>0.11016807219002084</v>
      </c>
      <c r="AD6" t="s">
        <v>208</v>
      </c>
      <c r="AE6">
        <f>AE$4*0.8</f>
        <v>1000</v>
      </c>
      <c r="AF6">
        <f>AF5</f>
        <v>15</v>
      </c>
      <c r="AG6" t="s">
        <v>212</v>
      </c>
      <c r="AH6">
        <f>AH$4*0.8</f>
        <v>680</v>
      </c>
      <c r="AI6">
        <f>AI5</f>
        <v>10</v>
      </c>
      <c r="AJ6" t="s">
        <v>418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2.4615384615384617</v>
      </c>
      <c r="AD7" t="s">
        <v>209</v>
      </c>
      <c r="AE7">
        <f>AE$4*0.7</f>
        <v>875</v>
      </c>
      <c r="AF7">
        <f>AF6</f>
        <v>15</v>
      </c>
      <c r="AG7" t="s">
        <v>213</v>
      </c>
      <c r="AH7">
        <f>AH$4*0.7</f>
        <v>595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399</v>
      </c>
    </row>
    <row r="9" spans="1:38" x14ac:dyDescent="0.2">
      <c r="A9" t="s">
        <v>30</v>
      </c>
      <c r="B9" s="3">
        <f>B8*4.184*10^-3</f>
        <v>16.317600000000002</v>
      </c>
      <c r="R9" t="s">
        <v>179</v>
      </c>
      <c r="S9" t="str">
        <f t="shared" ref="S9:AF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si="0"/>
        <v>coallcW30lcB50lc</v>
      </c>
      <c r="AE9" t="str">
        <f t="shared" si="0"/>
        <v>coallcS30lcB50lc</v>
      </c>
      <c r="AF9" t="str">
        <f t="shared" si="0"/>
        <v>coallcW30lcS30lcB50lc</v>
      </c>
      <c r="AG9" t="str">
        <f>CONCATENATE(AG10,IF(AG11="base", "", AG11),IF(AG12="base", "", AG12), IF(AG13="base", "", AG13))</f>
        <v>coalhcB50lc</v>
      </c>
      <c r="AH9" t="str">
        <f>CONCATENATE(AH10,IF(AH11="base", "", AH11),IF(AH12="base", "", AH12), IF(AH13="base", "", AH13))</f>
        <v>coalhcW30lcB50lc</v>
      </c>
      <c r="AI9" t="str">
        <f>CONCATENATE(AI10,IF(AI11="base", "", AI11),IF(AI12="base", "", AI12), IF(AI13="base", "", AI13))</f>
        <v>coalhcS30lcB50lc</v>
      </c>
      <c r="AJ9" t="str">
        <f>CONCATENATE(AJ10,IF(AJ11="base", "", AJ11),IF(AJ12="base", "", AJ12), IF(AJ13="base", "", AJ13))</f>
        <v>coalhcW30lcS30lcB50lc</v>
      </c>
      <c r="AK9" t="str">
        <f>CONCATENATE(AK10,IF(AK11="base", "", AK11),IF(AK12="base", "", AK12), IF(AK13="base", "", AK13))</f>
        <v>coalhcW30lcS30lc</v>
      </c>
    </row>
    <row r="10" spans="1:38" x14ac:dyDescent="0.2">
      <c r="A10" t="s">
        <v>29</v>
      </c>
      <c r="B10" s="5">
        <f>B6*B9</f>
        <v>2610.8160000000003</v>
      </c>
      <c r="R10" t="s">
        <v>216</v>
      </c>
      <c r="S10" t="s">
        <v>164</v>
      </c>
      <c r="T10" t="s">
        <v>166</v>
      </c>
      <c r="U10" t="s">
        <v>164</v>
      </c>
      <c r="V10" t="s">
        <v>164</v>
      </c>
      <c r="W10" t="s">
        <v>164</v>
      </c>
      <c r="X10" t="s">
        <v>164</v>
      </c>
      <c r="Y10" t="s">
        <v>164</v>
      </c>
      <c r="Z10" t="s">
        <v>164</v>
      </c>
      <c r="AA10" t="s">
        <v>164</v>
      </c>
      <c r="AB10" t="s">
        <v>164</v>
      </c>
      <c r="AC10" t="s">
        <v>164</v>
      </c>
      <c r="AD10" t="s">
        <v>164</v>
      </c>
      <c r="AE10" t="s">
        <v>164</v>
      </c>
      <c r="AF10" t="s">
        <v>164</v>
      </c>
      <c r="AG10" t="s">
        <v>166</v>
      </c>
      <c r="AH10" t="s">
        <v>166</v>
      </c>
      <c r="AI10" t="s">
        <v>166</v>
      </c>
      <c r="AJ10" t="s">
        <v>166</v>
      </c>
      <c r="AK10" t="s">
        <v>166</v>
      </c>
    </row>
    <row r="11" spans="1:38" x14ac:dyDescent="0.2">
      <c r="A11" t="s">
        <v>31</v>
      </c>
      <c r="B11" s="4">
        <f>B10/E1</f>
        <v>40.166400000000003</v>
      </c>
      <c r="R11" t="s">
        <v>471</v>
      </c>
      <c r="S11" t="s">
        <v>217</v>
      </c>
      <c r="T11" t="s">
        <v>217</v>
      </c>
      <c r="U11" t="s">
        <v>207</v>
      </c>
      <c r="V11" t="s">
        <v>208</v>
      </c>
      <c r="W11" t="s">
        <v>209</v>
      </c>
      <c r="X11" t="s">
        <v>217</v>
      </c>
      <c r="Y11" t="s">
        <v>217</v>
      </c>
      <c r="Z11" t="s">
        <v>217</v>
      </c>
      <c r="AA11" t="s">
        <v>209</v>
      </c>
      <c r="AB11" t="s">
        <v>217</v>
      </c>
      <c r="AC11" t="s">
        <v>217</v>
      </c>
      <c r="AD11" t="s">
        <v>209</v>
      </c>
      <c r="AE11" t="s">
        <v>217</v>
      </c>
      <c r="AF11" t="s">
        <v>209</v>
      </c>
      <c r="AG11" t="s">
        <v>217</v>
      </c>
      <c r="AH11" t="s">
        <v>209</v>
      </c>
      <c r="AI11" t="s">
        <v>217</v>
      </c>
      <c r="AJ11" t="s">
        <v>209</v>
      </c>
      <c r="AK11" t="s">
        <v>209</v>
      </c>
    </row>
    <row r="12" spans="1:38" x14ac:dyDescent="0.2">
      <c r="A12" t="s">
        <v>95</v>
      </c>
      <c r="B12" s="4">
        <f>D35/B8</f>
        <v>0.60641025641025637</v>
      </c>
      <c r="R12" t="s">
        <v>472</v>
      </c>
      <c r="S12" t="s">
        <v>217</v>
      </c>
      <c r="T12" t="s">
        <v>217</v>
      </c>
      <c r="U12" t="s">
        <v>217</v>
      </c>
      <c r="V12" t="s">
        <v>217</v>
      </c>
      <c r="W12" t="s">
        <v>217</v>
      </c>
      <c r="X12" t="s">
        <v>211</v>
      </c>
      <c r="Y12" t="s">
        <v>212</v>
      </c>
      <c r="Z12" t="s">
        <v>213</v>
      </c>
      <c r="AA12" t="s">
        <v>213</v>
      </c>
      <c r="AB12" t="s">
        <v>217</v>
      </c>
      <c r="AC12" t="s">
        <v>217</v>
      </c>
      <c r="AD12" t="s">
        <v>217</v>
      </c>
      <c r="AE12" t="s">
        <v>213</v>
      </c>
      <c r="AF12" t="s">
        <v>213</v>
      </c>
      <c r="AG12" t="s">
        <v>217</v>
      </c>
      <c r="AH12" t="s">
        <v>217</v>
      </c>
      <c r="AI12" t="s">
        <v>213</v>
      </c>
      <c r="AJ12" t="s">
        <v>213</v>
      </c>
      <c r="AK12" t="s">
        <v>213</v>
      </c>
    </row>
    <row r="13" spans="1:38" x14ac:dyDescent="0.2">
      <c r="A13" t="s">
        <v>40</v>
      </c>
      <c r="B13" s="3">
        <f>D34*E3/B9/10^3</f>
        <v>0.60637863872444475</v>
      </c>
      <c r="C13" t="s">
        <v>59</v>
      </c>
      <c r="R13" t="s">
        <v>473</v>
      </c>
      <c r="S13" t="s">
        <v>217</v>
      </c>
      <c r="T13" t="s">
        <v>217</v>
      </c>
      <c r="U13" t="s">
        <v>217</v>
      </c>
      <c r="V13" t="s">
        <v>217</v>
      </c>
      <c r="W13" t="s">
        <v>217</v>
      </c>
      <c r="X13" t="s">
        <v>217</v>
      </c>
      <c r="Y13" t="s">
        <v>217</v>
      </c>
      <c r="Z13" t="s">
        <v>217</v>
      </c>
      <c r="AA13" t="s">
        <v>217</v>
      </c>
      <c r="AB13" t="s">
        <v>417</v>
      </c>
      <c r="AC13" t="s">
        <v>418</v>
      </c>
      <c r="AD13" t="s">
        <v>418</v>
      </c>
      <c r="AE13" t="s">
        <v>418</v>
      </c>
      <c r="AF13" t="s">
        <v>418</v>
      </c>
      <c r="AG13" t="s">
        <v>418</v>
      </c>
      <c r="AH13" t="s">
        <v>418</v>
      </c>
      <c r="AI13" t="s">
        <v>418</v>
      </c>
      <c r="AJ13" t="s">
        <v>418</v>
      </c>
      <c r="AK13" t="s">
        <v>217</v>
      </c>
    </row>
    <row r="14" spans="1:38" x14ac:dyDescent="0.2">
      <c r="A14" t="s">
        <v>46</v>
      </c>
      <c r="B14" s="5">
        <v>2375</v>
      </c>
      <c r="C14" t="s">
        <v>529</v>
      </c>
      <c r="R14" t="s">
        <v>181</v>
      </c>
      <c r="S14" s="1">
        <f t="shared" ref="S14:AK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  <c r="AD14" s="1">
        <f t="shared" si="1"/>
        <v>7.0000000000000007E-2</v>
      </c>
      <c r="AE14" s="1">
        <f t="shared" si="1"/>
        <v>7.0000000000000007E-2</v>
      </c>
      <c r="AF14" s="1">
        <f t="shared" si="1"/>
        <v>7.0000000000000007E-2</v>
      </c>
      <c r="AG14" s="1">
        <f t="shared" si="1"/>
        <v>7.0000000000000007E-2</v>
      </c>
      <c r="AH14" s="1">
        <f t="shared" si="1"/>
        <v>7.0000000000000007E-2</v>
      </c>
      <c r="AI14" s="1">
        <f t="shared" si="1"/>
        <v>7.0000000000000007E-2</v>
      </c>
      <c r="AJ14" s="1">
        <f t="shared" si="1"/>
        <v>7.0000000000000007E-2</v>
      </c>
      <c r="AK14" s="1">
        <f t="shared" si="1"/>
        <v>7.0000000000000007E-2</v>
      </c>
    </row>
    <row r="15" spans="1:38" x14ac:dyDescent="0.2">
      <c r="A15" t="s">
        <v>428</v>
      </c>
      <c r="B15">
        <v>3.7</v>
      </c>
      <c r="C15" t="s">
        <v>429</v>
      </c>
      <c r="R15" t="s">
        <v>186</v>
      </c>
      <c r="S15" s="2">
        <f t="shared" ref="S15:AK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  <c r="AD15" s="2">
        <f t="shared" si="2"/>
        <v>8.5810517220665614E-2</v>
      </c>
      <c r="AE15" s="2">
        <f t="shared" si="2"/>
        <v>8.5810517220665614E-2</v>
      </c>
      <c r="AF15" s="2">
        <f t="shared" si="2"/>
        <v>8.5810517220665614E-2</v>
      </c>
      <c r="AG15" s="2">
        <f t="shared" si="2"/>
        <v>8.5810517220665614E-2</v>
      </c>
      <c r="AH15" s="2">
        <f t="shared" si="2"/>
        <v>8.5810517220665614E-2</v>
      </c>
      <c r="AI15" s="2">
        <f t="shared" si="2"/>
        <v>8.5810517220665614E-2</v>
      </c>
      <c r="AJ15" s="2">
        <f t="shared" si="2"/>
        <v>8.5810517220665614E-2</v>
      </c>
      <c r="AK15" s="2">
        <f t="shared" si="2"/>
        <v>8.5810517220665614E-2</v>
      </c>
    </row>
    <row r="16" spans="1:38" x14ac:dyDescent="0.2">
      <c r="A16" t="s">
        <v>27</v>
      </c>
      <c r="B16">
        <v>240</v>
      </c>
      <c r="R16" s="7" t="s">
        <v>1</v>
      </c>
    </row>
    <row r="17" spans="1:37" x14ac:dyDescent="0.2">
      <c r="A17" t="s">
        <v>38</v>
      </c>
      <c r="B17" s="4">
        <f>B16/E1</f>
        <v>3.6923076923076925</v>
      </c>
      <c r="Q17" t="s">
        <v>204</v>
      </c>
      <c r="R17" t="s">
        <v>60</v>
      </c>
      <c r="S17" s="5">
        <f t="shared" ref="S17:AK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  <c r="AD17" s="5">
        <f t="shared" si="3"/>
        <v>678.26769230769241</v>
      </c>
      <c r="AE17" s="5">
        <f t="shared" si="3"/>
        <v>678.26769230769241</v>
      </c>
      <c r="AF17" s="5">
        <f t="shared" si="3"/>
        <v>678.26769230769241</v>
      </c>
      <c r="AG17" s="5">
        <f t="shared" si="3"/>
        <v>678.26769230769241</v>
      </c>
      <c r="AH17" s="5">
        <f t="shared" si="3"/>
        <v>678.26769230769241</v>
      </c>
      <c r="AI17" s="5">
        <f t="shared" si="3"/>
        <v>678.26769230769241</v>
      </c>
      <c r="AJ17" s="5">
        <f t="shared" si="3"/>
        <v>678.26769230769241</v>
      </c>
      <c r="AK17" s="5">
        <f t="shared" si="3"/>
        <v>678.26769230769241</v>
      </c>
    </row>
    <row r="18" spans="1:37" x14ac:dyDescent="0.2">
      <c r="A18" t="s">
        <v>160</v>
      </c>
      <c r="B18" s="4">
        <f>'Data and sources'!B52</f>
        <v>10</v>
      </c>
      <c r="Q18" t="s">
        <v>205</v>
      </c>
      <c r="R18" t="s">
        <v>58</v>
      </c>
      <c r="S18">
        <f t="shared" ref="S18:AK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  <c r="AD18">
        <f t="shared" si="4"/>
        <v>10</v>
      </c>
      <c r="AE18">
        <f t="shared" si="4"/>
        <v>10</v>
      </c>
      <c r="AF18">
        <f t="shared" si="4"/>
        <v>10</v>
      </c>
      <c r="AG18">
        <f t="shared" si="4"/>
        <v>10</v>
      </c>
      <c r="AH18">
        <f t="shared" si="4"/>
        <v>10</v>
      </c>
      <c r="AI18">
        <f t="shared" si="4"/>
        <v>10</v>
      </c>
      <c r="AJ18">
        <f t="shared" si="4"/>
        <v>10</v>
      </c>
      <c r="AK18">
        <f t="shared" si="4"/>
        <v>10</v>
      </c>
    </row>
    <row r="19" spans="1:37" x14ac:dyDescent="0.2">
      <c r="A19" t="s">
        <v>162</v>
      </c>
      <c r="B19" s="4">
        <f>B18/E3</f>
        <v>9.4786729857819907</v>
      </c>
      <c r="R19" t="s">
        <v>20</v>
      </c>
      <c r="S19" s="5">
        <f t="shared" ref="S19:AF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  <c r="AD19" s="5">
        <f t="shared" si="5"/>
        <v>65.002501490990369</v>
      </c>
      <c r="AE19" s="5">
        <f t="shared" si="5"/>
        <v>65.002501490990369</v>
      </c>
      <c r="AF19" s="5">
        <f t="shared" si="5"/>
        <v>65.002501490990369</v>
      </c>
      <c r="AG19" s="5">
        <f>AG$17*AG$15+$B$32</f>
        <v>65.002501490990369</v>
      </c>
      <c r="AH19" s="5">
        <f>AH$17*AH$15+$B$32</f>
        <v>65.002501490990369</v>
      </c>
      <c r="AI19" s="5">
        <f>AI$17*AI$15+$B$32</f>
        <v>65.002501490990369</v>
      </c>
      <c r="AJ19" s="5">
        <f>AJ$17*AJ$15+$B$32</f>
        <v>65.002501490990369</v>
      </c>
      <c r="AK19" s="5">
        <f>AK$17*AK$15+$B$32</f>
        <v>65.002501490990369</v>
      </c>
    </row>
    <row r="20" spans="1:37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>($B$34*S$18*10^-3 + $B$33)/(1-$B$47)</f>
        <v>126.97417171717171</v>
      </c>
      <c r="T20" s="5">
        <f>($B$34*T$18*10^-3 + $B$33)/(1-$B$47)</f>
        <v>126.97417171717171</v>
      </c>
      <c r="U20" s="5">
        <f>($B$34*U$18*10^-3 + $B$33)/(1-$B$47)</f>
        <v>126.97417171717171</v>
      </c>
      <c r="V20" s="5">
        <f>($B$34*V$18*10^-3 + $B$33)/(1-$B$47)</f>
        <v>126.97417171717171</v>
      </c>
      <c r="W20" s="5">
        <f>($B$34*W$18*10^-3 + $B$33)/(1-$B$47)</f>
        <v>126.97417171717171</v>
      </c>
      <c r="X20" s="5">
        <f>($B$34*X$18*10^-3 + $B$33)/(1-$B$47)</f>
        <v>126.97417171717171</v>
      </c>
      <c r="Y20" s="5">
        <f>($B$34*Y$18*10^-3 + $B$33)/(1-$B$47)</f>
        <v>126.97417171717171</v>
      </c>
      <c r="Z20" s="5">
        <f>($B$34*Z$18*10^-3 + $B$33)/(1-$B$47)</f>
        <v>126.97417171717171</v>
      </c>
      <c r="AA20" s="5">
        <f>($B$34*AA$18*10^-3 + $B$33)/(1-$B$47)</f>
        <v>126.97417171717171</v>
      </c>
      <c r="AB20" s="5">
        <f>($B$34*AB$18*10^-3 + $B$33)/(1-$B$47)</f>
        <v>126.97417171717171</v>
      </c>
      <c r="AC20" s="5">
        <f>($B$34*AC$18*10^-3 + $B$33)/(1-$B$47)</f>
        <v>126.97417171717171</v>
      </c>
      <c r="AD20" s="5">
        <f>($B$34*AD$18*10^-3 + $B$33)/(1-$B$47)</f>
        <v>126.97417171717171</v>
      </c>
      <c r="AE20" s="5">
        <f>($B$34*AE$18*10^-3 + $B$33)/(1-$B$47)</f>
        <v>126.97417171717171</v>
      </c>
      <c r="AF20" s="5">
        <f>($B$34*AF$18*10^-3 + $B$33)/(1-$B$47)</f>
        <v>126.97417171717171</v>
      </c>
      <c r="AG20" s="5">
        <f>($B$34*AG$18*10^-3 + $B$33)/(1-$B$47)</f>
        <v>126.97417171717171</v>
      </c>
      <c r="AH20" s="5">
        <f>($B$34*AH$18*10^-3 + $B$33)/(1-$B$47)</f>
        <v>126.97417171717171</v>
      </c>
      <c r="AI20" s="5">
        <f>($B$34*AI$18*10^-3 + $B$33)/(1-$B$47)</f>
        <v>126.97417171717171</v>
      </c>
      <c r="AJ20" s="5">
        <f>($B$34*AJ$18*10^-3 + $B$33)/(1-$B$47)</f>
        <v>126.97417171717171</v>
      </c>
      <c r="AK20" s="5">
        <f>($B$34*AK$18*10^-3 + $B$33)/(1-$B$47)</f>
        <v>126.97417171717171</v>
      </c>
    </row>
    <row r="21" spans="1:37" x14ac:dyDescent="0.2">
      <c r="A21" t="s">
        <v>49</v>
      </c>
      <c r="B21">
        <f>'Data and sources'!C35</f>
        <v>2071</v>
      </c>
      <c r="C21" t="s">
        <v>48</v>
      </c>
    </row>
    <row r="22" spans="1:37" x14ac:dyDescent="0.2">
      <c r="A22" t="s">
        <v>47</v>
      </c>
      <c r="B22">
        <f>'Data and sources'!B36</f>
        <v>2900</v>
      </c>
      <c r="C22" t="s">
        <v>530</v>
      </c>
      <c r="R22" s="7" t="s">
        <v>2</v>
      </c>
    </row>
    <row r="23" spans="1:37" x14ac:dyDescent="0.2">
      <c r="A23" t="s">
        <v>49</v>
      </c>
      <c r="B23">
        <f>'Data and sources'!C36</f>
        <v>2000</v>
      </c>
      <c r="C23" t="s">
        <v>530</v>
      </c>
      <c r="Q23" t="s">
        <v>204</v>
      </c>
      <c r="R23" t="s">
        <v>61</v>
      </c>
      <c r="S23" s="5">
        <f t="shared" ref="S23:AK23" si="6">$AA$4</f>
        <v>775.16307692307703</v>
      </c>
      <c r="T23" s="5">
        <f t="shared" si="6"/>
        <v>775.16307692307703</v>
      </c>
      <c r="U23" s="5">
        <f t="shared" si="6"/>
        <v>775.16307692307703</v>
      </c>
      <c r="V23" s="5">
        <f t="shared" si="6"/>
        <v>775.16307692307703</v>
      </c>
      <c r="W23" s="5">
        <f t="shared" si="6"/>
        <v>775.16307692307703</v>
      </c>
      <c r="X23" s="5">
        <f t="shared" si="6"/>
        <v>775.16307692307703</v>
      </c>
      <c r="Y23" s="5">
        <f t="shared" si="6"/>
        <v>775.16307692307703</v>
      </c>
      <c r="Z23" s="5">
        <f t="shared" si="6"/>
        <v>775.16307692307703</v>
      </c>
      <c r="AA23" s="5">
        <f t="shared" si="6"/>
        <v>775.16307692307703</v>
      </c>
      <c r="AB23" s="5">
        <f t="shared" si="6"/>
        <v>775.16307692307703</v>
      </c>
      <c r="AC23" s="5">
        <f t="shared" si="6"/>
        <v>775.16307692307703</v>
      </c>
      <c r="AD23" s="5">
        <f t="shared" si="6"/>
        <v>775.16307692307703</v>
      </c>
      <c r="AE23" s="5">
        <f t="shared" si="6"/>
        <v>775.16307692307703</v>
      </c>
      <c r="AF23" s="5">
        <f t="shared" si="6"/>
        <v>775.16307692307703</v>
      </c>
      <c r="AG23" s="5">
        <f t="shared" si="6"/>
        <v>775.16307692307703</v>
      </c>
      <c r="AH23" s="5">
        <f t="shared" si="6"/>
        <v>775.16307692307703</v>
      </c>
      <c r="AI23" s="5">
        <f t="shared" si="6"/>
        <v>775.16307692307703</v>
      </c>
      <c r="AJ23" s="5">
        <f t="shared" si="6"/>
        <v>775.16307692307703</v>
      </c>
      <c r="AK23" s="5">
        <f t="shared" si="6"/>
        <v>775.16307692307703</v>
      </c>
    </row>
    <row r="24" spans="1:37" x14ac:dyDescent="0.2">
      <c r="A24" t="s">
        <v>532</v>
      </c>
      <c r="B24">
        <v>2250</v>
      </c>
      <c r="C24" t="s">
        <v>530</v>
      </c>
      <c r="R24" t="s">
        <v>20</v>
      </c>
      <c r="S24" s="5">
        <f t="shared" ref="S24:AF24" si="7">S$23*S$15+$C$32</f>
        <v>77.517144561131843</v>
      </c>
      <c r="T24" s="5">
        <f t="shared" si="7"/>
        <v>77.517144561131843</v>
      </c>
      <c r="U24" s="5">
        <f t="shared" si="7"/>
        <v>77.517144561131843</v>
      </c>
      <c r="V24" s="5">
        <f t="shared" si="7"/>
        <v>77.517144561131843</v>
      </c>
      <c r="W24" s="5">
        <f t="shared" si="7"/>
        <v>77.517144561131843</v>
      </c>
      <c r="X24" s="5">
        <f t="shared" si="7"/>
        <v>77.517144561131843</v>
      </c>
      <c r="Y24" s="5">
        <f t="shared" si="7"/>
        <v>77.517144561131843</v>
      </c>
      <c r="Z24" s="5">
        <f t="shared" si="7"/>
        <v>77.517144561131843</v>
      </c>
      <c r="AA24" s="5">
        <f t="shared" si="7"/>
        <v>77.517144561131843</v>
      </c>
      <c r="AB24" s="5">
        <f t="shared" si="7"/>
        <v>77.517144561131843</v>
      </c>
      <c r="AC24" s="5">
        <f t="shared" si="7"/>
        <v>77.517144561131843</v>
      </c>
      <c r="AD24" s="5">
        <f t="shared" si="7"/>
        <v>77.517144561131843</v>
      </c>
      <c r="AE24" s="5">
        <f t="shared" si="7"/>
        <v>77.517144561131843</v>
      </c>
      <c r="AF24" s="5">
        <f t="shared" si="7"/>
        <v>77.517144561131843</v>
      </c>
      <c r="AG24" s="5">
        <f>AG$23*AG$15+$C$32</f>
        <v>77.517144561131843</v>
      </c>
      <c r="AH24" s="5">
        <f>AH$23*AH$15+$C$32</f>
        <v>77.517144561131843</v>
      </c>
      <c r="AI24" s="5">
        <f>AI$23*AI$15+$C$32</f>
        <v>77.517144561131843</v>
      </c>
      <c r="AJ24" s="5">
        <f>AJ$23*AJ$15+$C$32</f>
        <v>77.517144561131843</v>
      </c>
      <c r="AK24" s="5">
        <f>AK$23*AK$15+$C$32</f>
        <v>77.517144561131843</v>
      </c>
    </row>
    <row r="25" spans="1:37" x14ac:dyDescent="0.2">
      <c r="A25" t="s">
        <v>531</v>
      </c>
      <c r="B25">
        <v>2365</v>
      </c>
      <c r="C25" t="s">
        <v>530</v>
      </c>
      <c r="R25" t="s">
        <v>32</v>
      </c>
      <c r="S25" s="5">
        <f>($C$34*S$18*10^-3 + $C$33)/(1-$C$47)</f>
        <v>84.936820512820518</v>
      </c>
      <c r="T25" s="5">
        <f>($C$34*T$18*10^-3 + $C$33)/(1-$C$47)</f>
        <v>84.936820512820518</v>
      </c>
      <c r="U25" s="5">
        <f>($C$34*U$18*10^-3 + $C$33)/(1-$C$47)</f>
        <v>84.936820512820518</v>
      </c>
      <c r="V25" s="5">
        <f>($C$34*V$18*10^-3 + $C$33)/(1-$C$47)</f>
        <v>84.936820512820518</v>
      </c>
      <c r="W25" s="5">
        <f>($C$34*W$18*10^-3 + $C$33)/(1-$C$47)</f>
        <v>84.936820512820518</v>
      </c>
      <c r="X25" s="5">
        <f>($C$34*X$18*10^-3 + $C$33)/(1-$C$47)</f>
        <v>84.936820512820518</v>
      </c>
      <c r="Y25" s="5">
        <f>($C$34*Y$18*10^-3 + $C$33)/(1-$C$47)</f>
        <v>84.936820512820518</v>
      </c>
      <c r="Z25" s="5">
        <f>($C$34*Z$18*10^-3 + $C$33)/(1-$C$47)</f>
        <v>84.936820512820518</v>
      </c>
      <c r="AA25" s="5">
        <f>($C$34*AA$18*10^-3 + $C$33)/(1-$C$47)</f>
        <v>84.936820512820518</v>
      </c>
      <c r="AB25" s="5">
        <f>($C$34*AB$18*10^-3 + $C$33)/(1-$C$47)</f>
        <v>84.936820512820518</v>
      </c>
      <c r="AC25" s="5">
        <f>($C$34*AC$18*10^-3 + $C$33)/(1-$C$47)</f>
        <v>84.936820512820518</v>
      </c>
      <c r="AD25" s="5">
        <f>($C$34*AD$18*10^-3 + $C$33)/(1-$C$47)</f>
        <v>84.936820512820518</v>
      </c>
      <c r="AE25" s="5">
        <f>($C$34*AE$18*10^-3 + $C$33)/(1-$C$47)</f>
        <v>84.936820512820518</v>
      </c>
      <c r="AF25" s="5">
        <f>($C$34*AF$18*10^-3 + $C$33)/(1-$C$47)</f>
        <v>84.936820512820518</v>
      </c>
      <c r="AG25" s="5">
        <f>($C$34*AG$18*10^-3 + $C$33)/(1-$C$47)</f>
        <v>84.936820512820518</v>
      </c>
      <c r="AH25" s="5">
        <f>($C$34*AH$18*10^-3 + $C$33)/(1-$C$47)</f>
        <v>84.936820512820518</v>
      </c>
      <c r="AI25" s="5">
        <f>($C$34*AI$18*10^-3 + $C$33)/(1-$C$47)</f>
        <v>84.936820512820518</v>
      </c>
      <c r="AJ25" s="5">
        <f>($C$34*AJ$18*10^-3 + $C$33)/(1-$C$47)</f>
        <v>84.936820512820518</v>
      </c>
      <c r="AK25" s="5">
        <f>($C$34*AK$18*10^-3 + $C$33)/(1-$C$47)</f>
        <v>84.936820512820518</v>
      </c>
    </row>
    <row r="26" spans="1:37" x14ac:dyDescent="0.2">
      <c r="A26" t="s">
        <v>52</v>
      </c>
      <c r="B26">
        <v>10390</v>
      </c>
      <c r="C26" t="s">
        <v>51</v>
      </c>
    </row>
    <row r="27" spans="1:37" x14ac:dyDescent="0.2">
      <c r="A27" t="s">
        <v>53</v>
      </c>
      <c r="B27">
        <v>6705</v>
      </c>
      <c r="C27" t="s">
        <v>51</v>
      </c>
      <c r="R27" s="7" t="s">
        <v>3</v>
      </c>
    </row>
    <row r="28" spans="1:37" x14ac:dyDescent="0.2">
      <c r="A28" t="s">
        <v>43</v>
      </c>
      <c r="Q28" t="s">
        <v>204</v>
      </c>
      <c r="R28" t="s">
        <v>62</v>
      </c>
      <c r="S28" s="5">
        <f>INDEX($T$4:$U$5, MATCH(S10,$T$4:$T$5),2)</f>
        <v>976.42784318082204</v>
      </c>
      <c r="T28" s="5">
        <f t="shared" ref="T28:AA28" si="8">INDEX($T$4:$U$5, MATCH(T10,$T$4:$T$5),2)</f>
        <v>1140</v>
      </c>
      <c r="U28" s="5">
        <f t="shared" si="8"/>
        <v>976.42784318082204</v>
      </c>
      <c r="V28" s="5">
        <f t="shared" si="8"/>
        <v>976.42784318082204</v>
      </c>
      <c r="W28" s="5">
        <f t="shared" si="8"/>
        <v>976.42784318082204</v>
      </c>
      <c r="X28" s="5">
        <f t="shared" si="8"/>
        <v>976.42784318082204</v>
      </c>
      <c r="Y28" s="5">
        <f t="shared" si="8"/>
        <v>976.42784318082204</v>
      </c>
      <c r="Z28" s="5">
        <f t="shared" si="8"/>
        <v>976.42784318082204</v>
      </c>
      <c r="AA28" s="5">
        <f t="shared" si="8"/>
        <v>976.42784318082204</v>
      </c>
      <c r="AB28" s="5">
        <f t="shared" ref="AB28:AK28" si="9">INDEX($T$4:$U$5, MATCH(AB10,$T$4:$T$5),2)</f>
        <v>976.42784318082204</v>
      </c>
      <c r="AC28" s="5">
        <f t="shared" si="9"/>
        <v>976.42784318082204</v>
      </c>
      <c r="AD28" s="5">
        <f t="shared" si="9"/>
        <v>976.42784318082204</v>
      </c>
      <c r="AE28" s="5">
        <f t="shared" si="9"/>
        <v>976.42784318082204</v>
      </c>
      <c r="AF28" s="5">
        <f t="shared" si="9"/>
        <v>976.42784318082204</v>
      </c>
      <c r="AG28" s="5">
        <f t="shared" si="9"/>
        <v>1140</v>
      </c>
      <c r="AH28" s="5">
        <f t="shared" si="9"/>
        <v>1140</v>
      </c>
      <c r="AI28" s="5">
        <f t="shared" si="9"/>
        <v>1140</v>
      </c>
      <c r="AJ28" s="5">
        <f t="shared" si="9"/>
        <v>1140</v>
      </c>
      <c r="AK28" s="5">
        <f t="shared" si="9"/>
        <v>1140</v>
      </c>
    </row>
    <row r="29" spans="1:37" x14ac:dyDescent="0.2">
      <c r="A29" s="7" t="s">
        <v>16</v>
      </c>
      <c r="Q29" t="s">
        <v>205</v>
      </c>
      <c r="R29" t="s">
        <v>180</v>
      </c>
      <c r="S29" s="4">
        <f t="shared" ref="S29:AF29" si="10">$W$4</f>
        <v>2.4615384615384617</v>
      </c>
      <c r="T29" s="4">
        <f>$W$5</f>
        <v>3.7</v>
      </c>
      <c r="U29" s="4">
        <f t="shared" si="10"/>
        <v>2.4615384615384617</v>
      </c>
      <c r="V29" s="4">
        <f t="shared" si="10"/>
        <v>2.4615384615384617</v>
      </c>
      <c r="W29" s="4">
        <f t="shared" si="10"/>
        <v>2.4615384615384617</v>
      </c>
      <c r="X29" s="4">
        <f t="shared" si="10"/>
        <v>2.4615384615384617</v>
      </c>
      <c r="Y29" s="4">
        <f t="shared" si="10"/>
        <v>2.4615384615384617</v>
      </c>
      <c r="Z29" s="4">
        <f t="shared" si="10"/>
        <v>2.4615384615384617</v>
      </c>
      <c r="AA29" s="4">
        <f t="shared" si="10"/>
        <v>2.4615384615384617</v>
      </c>
      <c r="AB29" s="4">
        <f t="shared" si="10"/>
        <v>2.4615384615384617</v>
      </c>
      <c r="AC29" s="4">
        <f t="shared" si="10"/>
        <v>2.4615384615384617</v>
      </c>
      <c r="AD29" s="4">
        <f t="shared" si="10"/>
        <v>2.4615384615384617</v>
      </c>
      <c r="AE29" s="4">
        <f t="shared" si="10"/>
        <v>2.4615384615384617</v>
      </c>
      <c r="AF29" s="4">
        <f t="shared" si="10"/>
        <v>2.4615384615384617</v>
      </c>
      <c r="AG29" s="4">
        <f>$W$5</f>
        <v>3.7</v>
      </c>
      <c r="AH29" s="4">
        <f>$W$5</f>
        <v>3.7</v>
      </c>
      <c r="AI29" s="4">
        <f>$W$5</f>
        <v>3.7</v>
      </c>
      <c r="AJ29" s="4">
        <f>$W$5</f>
        <v>3.7</v>
      </c>
      <c r="AK29" s="4">
        <f>$W$5</f>
        <v>3.7</v>
      </c>
    </row>
    <row r="30" spans="1:37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F30" si="11">S$28*S$15+$D$32</f>
        <v>125.88777825200532</v>
      </c>
      <c r="T30" s="5">
        <f t="shared" si="11"/>
        <v>139.92398963155881</v>
      </c>
      <c r="U30" s="5">
        <f t="shared" si="11"/>
        <v>125.88777825200532</v>
      </c>
      <c r="V30" s="5">
        <f t="shared" si="11"/>
        <v>125.88777825200532</v>
      </c>
      <c r="W30" s="5">
        <f t="shared" si="11"/>
        <v>125.88777825200532</v>
      </c>
      <c r="X30" s="5">
        <f t="shared" si="11"/>
        <v>125.88777825200532</v>
      </c>
      <c r="Y30" s="5">
        <f t="shared" si="11"/>
        <v>125.88777825200532</v>
      </c>
      <c r="Z30" s="5">
        <f t="shared" si="11"/>
        <v>125.88777825200532</v>
      </c>
      <c r="AA30" s="5">
        <f t="shared" si="11"/>
        <v>125.88777825200532</v>
      </c>
      <c r="AB30" s="5">
        <f t="shared" si="11"/>
        <v>125.88777825200532</v>
      </c>
      <c r="AC30" s="5">
        <f t="shared" si="11"/>
        <v>125.88777825200532</v>
      </c>
      <c r="AD30" s="5">
        <f t="shared" si="11"/>
        <v>125.88777825200532</v>
      </c>
      <c r="AE30" s="5">
        <f t="shared" si="11"/>
        <v>125.88777825200532</v>
      </c>
      <c r="AF30" s="5">
        <f t="shared" si="11"/>
        <v>125.88777825200532</v>
      </c>
      <c r="AG30" s="5">
        <f>AG$28*AG$15+$D$32</f>
        <v>139.92398963155881</v>
      </c>
      <c r="AH30" s="5">
        <f>AH$28*AH$15+$D$32</f>
        <v>139.92398963155881</v>
      </c>
      <c r="AI30" s="5">
        <f>AI$28*AI$15+$D$32</f>
        <v>139.92398963155881</v>
      </c>
      <c r="AJ30" s="5">
        <f>AJ$28*AJ$15+$D$32</f>
        <v>139.92398963155881</v>
      </c>
      <c r="AK30" s="5">
        <f>AK$28*AK$15+$D$32</f>
        <v>139.92398963155881</v>
      </c>
    </row>
    <row r="31" spans="1:37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2">B31*$E$1</f>
        <v>44087.400000000009</v>
      </c>
      <c r="I31">
        <f t="shared" si="12"/>
        <v>50385.600000000006</v>
      </c>
      <c r="J31">
        <f t="shared" si="12"/>
        <v>63467.80980675343</v>
      </c>
      <c r="R31" t="s">
        <v>32</v>
      </c>
      <c r="S31" s="5">
        <f>($D$34*S$29*$E$3*10^-3 + $D$33)/(1-$D$47)</f>
        <v>32.17338550495726</v>
      </c>
      <c r="T31" s="5">
        <f>($D$34*T$29*$E$3*10^-3 + $D$33)/(1-$D$47)</f>
        <v>45.789092309361109</v>
      </c>
      <c r="U31" s="5">
        <f>($D$34*U$29*$E$3*10^-3 + $D$33)/(1-$D$47)</f>
        <v>32.17338550495726</v>
      </c>
      <c r="V31" s="5">
        <f>($D$34*V$29*$E$3*10^-3 + $D$33)/(1-$D$47)</f>
        <v>32.17338550495726</v>
      </c>
      <c r="W31" s="5">
        <f>($D$34*W$29*$E$3*10^-3 + $D$33)/(1-$D$47)</f>
        <v>32.17338550495726</v>
      </c>
      <c r="X31" s="5">
        <f>($D$34*X$29*$E$3*10^-3 + $D$33)/(1-$D$47)</f>
        <v>32.17338550495726</v>
      </c>
      <c r="Y31" s="5">
        <f>($D$34*Y$29*$E$3*10^-3 + $D$33)/(1-$D$47)</f>
        <v>32.17338550495726</v>
      </c>
      <c r="Z31" s="5">
        <f>($D$34*Z$29*$E$3*10^-3 + $D$33)/(1-$D$47)</f>
        <v>32.17338550495726</v>
      </c>
      <c r="AA31" s="5">
        <f>($D$34*AA$29*$E$3*10^-3 + $D$33)/(1-$D$47)</f>
        <v>32.17338550495726</v>
      </c>
      <c r="AB31" s="5">
        <f>($D$34*AB$29*$E$3*10^-3 + $D$33)/(1-$D$47)</f>
        <v>32.17338550495726</v>
      </c>
      <c r="AC31" s="5">
        <f>($D$34*AC$29*$E$3*10^-3 + $D$33)/(1-$D$47)</f>
        <v>32.17338550495726</v>
      </c>
      <c r="AD31" s="5">
        <f>($D$34*AD$29*$E$3*10^-3 + $D$33)/(1-$D$47)</f>
        <v>32.17338550495726</v>
      </c>
      <c r="AE31" s="5">
        <f>($D$34*AE$29*$E$3*10^-3 + $D$33)/(1-$D$47)</f>
        <v>32.17338550495726</v>
      </c>
      <c r="AF31" s="5">
        <f>($D$34*AF$29*$E$3*10^-3 + $D$33)/(1-$D$47)</f>
        <v>32.17338550495726</v>
      </c>
      <c r="AG31" s="5">
        <f>($D$34*AG$29*$E$3*10^-3 + $D$33)/(1-$D$47)</f>
        <v>45.789092309361109</v>
      </c>
      <c r="AH31" s="5">
        <f>($D$34*AH$29*$E$3*10^-3 + $D$33)/(1-$D$47)</f>
        <v>45.789092309361109</v>
      </c>
      <c r="AI31" s="5">
        <f>($D$34*AI$29*$E$3*10^-3 + $D$33)/(1-$D$47)</f>
        <v>45.789092309361109</v>
      </c>
      <c r="AJ31" s="5">
        <f>($D$34*AJ$29*$E$3*10^-3 + $D$33)/(1-$D$47)</f>
        <v>45.789092309361109</v>
      </c>
      <c r="AK31" s="5">
        <f>($D$34*AK$29*$E$3*10^-3 + $D$33)/(1-$D$47)</f>
        <v>45.789092309361109</v>
      </c>
    </row>
    <row r="32" spans="1:37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2"/>
        <v>442</v>
      </c>
      <c r="I32" s="5">
        <f t="shared" si="12"/>
        <v>715</v>
      </c>
      <c r="J32" s="5">
        <f t="shared" si="12"/>
        <v>2736.5</v>
      </c>
    </row>
    <row r="33" spans="1:37" x14ac:dyDescent="0.2">
      <c r="A33" t="s">
        <v>7</v>
      </c>
      <c r="B33" s="4">
        <f>'Data and sources'!B27</f>
        <v>10.7</v>
      </c>
      <c r="C33" s="4">
        <f>'Data and sources'!C27</f>
        <v>3.5</v>
      </c>
      <c r="D33" s="4">
        <f>'Data and sources'!D27</f>
        <v>4.5999999999999996</v>
      </c>
      <c r="G33" t="s">
        <v>15</v>
      </c>
      <c r="H33" s="5">
        <f t="shared" si="12"/>
        <v>695.5</v>
      </c>
      <c r="I33" s="5">
        <f t="shared" si="12"/>
        <v>227.5</v>
      </c>
      <c r="J33" s="5">
        <f t="shared" si="12"/>
        <v>299</v>
      </c>
      <c r="P33" s="5"/>
      <c r="R33" s="7" t="s">
        <v>187</v>
      </c>
    </row>
    <row r="34" spans="1:37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B25*E4</f>
        <v>9378.8095499999999</v>
      </c>
      <c r="E34" t="s">
        <v>75</v>
      </c>
      <c r="F34" t="s">
        <v>74</v>
      </c>
      <c r="Q34" t="s">
        <v>222</v>
      </c>
      <c r="R34" t="s">
        <v>55</v>
      </c>
      <c r="S34" s="2">
        <f t="shared" ref="S34:AC34" si="13">(S24-S19)*1000/(S20-S25)/8760</f>
        <v>3.3984353954038309E-2</v>
      </c>
      <c r="T34" s="2">
        <f t="shared" si="13"/>
        <v>3.3984353954038309E-2</v>
      </c>
      <c r="U34" s="2">
        <f t="shared" si="13"/>
        <v>3.3984353954038309E-2</v>
      </c>
      <c r="V34" s="2">
        <f t="shared" si="13"/>
        <v>3.3984353954038309E-2</v>
      </c>
      <c r="W34" s="2">
        <f t="shared" si="13"/>
        <v>3.3984353954038309E-2</v>
      </c>
      <c r="X34" s="2">
        <f t="shared" si="13"/>
        <v>3.3984353954038309E-2</v>
      </c>
      <c r="Y34" s="2">
        <f t="shared" si="13"/>
        <v>3.3984353954038309E-2</v>
      </c>
      <c r="Z34" s="2">
        <f t="shared" si="13"/>
        <v>3.3984353954038309E-2</v>
      </c>
      <c r="AA34" s="2">
        <f t="shared" si="13"/>
        <v>3.3984353954038309E-2</v>
      </c>
      <c r="AB34" s="2">
        <f t="shared" si="13"/>
        <v>3.3984353954038309E-2</v>
      </c>
      <c r="AC34" s="2">
        <f t="shared" si="13"/>
        <v>3.3984353954038309E-2</v>
      </c>
      <c r="AD34" s="2">
        <f t="shared" ref="AD34:AF34" si="14">(AD24-AD19)*1000/(AD20-AD25)/8760</f>
        <v>3.3984353954038309E-2</v>
      </c>
      <c r="AE34" s="2">
        <f t="shared" si="14"/>
        <v>3.3984353954038309E-2</v>
      </c>
      <c r="AF34" s="2">
        <f t="shared" si="14"/>
        <v>3.3984353954038309E-2</v>
      </c>
      <c r="AG34" s="2">
        <f>(AG24-AG19)*1000/(AG20-AG25)/8760</f>
        <v>3.3984353954038309E-2</v>
      </c>
      <c r="AH34" s="2">
        <f>(AH24-AH19)*1000/(AH20-AH25)/8760</f>
        <v>3.3984353954038309E-2</v>
      </c>
      <c r="AI34" s="2">
        <f>(AI24-AI19)*1000/(AI20-AI25)/8760</f>
        <v>3.3984353954038309E-2</v>
      </c>
      <c r="AJ34" s="2">
        <f>(AJ24-AJ19)*1000/(AJ20-AJ25)/8760</f>
        <v>3.3984353954038309E-2</v>
      </c>
      <c r="AK34" s="2">
        <f>(AK24-AK19)*1000/(AK20-AK25)/8760</f>
        <v>3.3984353954038309E-2</v>
      </c>
    </row>
    <row r="35" spans="1:37" x14ac:dyDescent="0.2">
      <c r="A35" t="s">
        <v>73</v>
      </c>
      <c r="B35">
        <f>B34/$E$4</f>
        <v>2900</v>
      </c>
      <c r="C35">
        <f>C34/$E$4</f>
        <v>2000</v>
      </c>
      <c r="D35" s="5">
        <f>D34/$E$4</f>
        <v>2365</v>
      </c>
      <c r="F35" t="s">
        <v>76</v>
      </c>
      <c r="R35" t="s">
        <v>56</v>
      </c>
      <c r="S35" s="2">
        <f t="shared" ref="S35:AC35" si="15">(S30-S24)*1000/(S25-S31)/8760</f>
        <v>0.1046512956564485</v>
      </c>
      <c r="T35" s="2">
        <f t="shared" si="15"/>
        <v>0.18197911855679555</v>
      </c>
      <c r="U35" s="2">
        <f t="shared" si="15"/>
        <v>0.1046512956564485</v>
      </c>
      <c r="V35" s="2">
        <f t="shared" si="15"/>
        <v>0.1046512956564485</v>
      </c>
      <c r="W35" s="2">
        <f t="shared" si="15"/>
        <v>0.1046512956564485</v>
      </c>
      <c r="X35" s="2">
        <f t="shared" si="15"/>
        <v>0.1046512956564485</v>
      </c>
      <c r="Y35" s="2">
        <f t="shared" si="15"/>
        <v>0.1046512956564485</v>
      </c>
      <c r="Z35" s="2">
        <f t="shared" si="15"/>
        <v>0.1046512956564485</v>
      </c>
      <c r="AA35" s="2">
        <f t="shared" si="15"/>
        <v>0.1046512956564485</v>
      </c>
      <c r="AB35" s="2">
        <f t="shared" si="15"/>
        <v>0.1046512956564485</v>
      </c>
      <c r="AC35" s="2">
        <f t="shared" si="15"/>
        <v>0.1046512956564485</v>
      </c>
      <c r="AD35" s="2">
        <f t="shared" ref="AD35:AF35" si="16">(AD30-AD24)*1000/(AD25-AD31)/8760</f>
        <v>0.1046512956564485</v>
      </c>
      <c r="AE35" s="2">
        <f t="shared" si="16"/>
        <v>0.1046512956564485</v>
      </c>
      <c r="AF35" s="2">
        <f t="shared" si="16"/>
        <v>0.1046512956564485</v>
      </c>
      <c r="AG35" s="2">
        <f>(AG30-AG24)*1000/(AG25-AG31)/8760</f>
        <v>0.18197911855679555</v>
      </c>
      <c r="AH35" s="2">
        <f>(AH30-AH24)*1000/(AH25-AH31)/8760</f>
        <v>0.18197911855679555</v>
      </c>
      <c r="AI35" s="2">
        <f>(AI30-AI24)*1000/(AI25-AI31)/8760</f>
        <v>0.18197911855679555</v>
      </c>
      <c r="AJ35" s="2">
        <f>(AJ30-AJ24)*1000/(AJ25-AJ31)/8760</f>
        <v>0.18197911855679555</v>
      </c>
      <c r="AK35" s="2">
        <f>(AK30-AK24)*1000/(AK25-AK31)/8760</f>
        <v>0.18197911855679555</v>
      </c>
    </row>
    <row r="36" spans="1:37" x14ac:dyDescent="0.2">
      <c r="A36" t="s">
        <v>163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9.8946440752499996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1:37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C37" si="17">S18</f>
        <v>10</v>
      </c>
      <c r="T37">
        <f t="shared" si="17"/>
        <v>10</v>
      </c>
      <c r="U37">
        <f t="shared" si="17"/>
        <v>10</v>
      </c>
      <c r="V37">
        <f t="shared" si="17"/>
        <v>10</v>
      </c>
      <c r="W37">
        <f t="shared" si="17"/>
        <v>10</v>
      </c>
      <c r="X37">
        <f t="shared" si="17"/>
        <v>10</v>
      </c>
      <c r="Y37">
        <f t="shared" si="17"/>
        <v>10</v>
      </c>
      <c r="Z37">
        <f t="shared" si="17"/>
        <v>10</v>
      </c>
      <c r="AA37">
        <f t="shared" si="17"/>
        <v>10</v>
      </c>
      <c r="AB37">
        <f t="shared" si="17"/>
        <v>10</v>
      </c>
      <c r="AC37">
        <f t="shared" si="17"/>
        <v>10</v>
      </c>
      <c r="AD37">
        <f t="shared" ref="AD37:AF37" si="18">AD18</f>
        <v>10</v>
      </c>
      <c r="AE37">
        <f t="shared" si="18"/>
        <v>10</v>
      </c>
      <c r="AF37">
        <f t="shared" si="18"/>
        <v>10</v>
      </c>
      <c r="AG37">
        <f t="shared" ref="AG37:AH37" si="19">AG18</f>
        <v>10</v>
      </c>
      <c r="AH37">
        <f t="shared" si="19"/>
        <v>10</v>
      </c>
      <c r="AI37">
        <f t="shared" ref="AI37:AJ37" si="20">AI18</f>
        <v>10</v>
      </c>
      <c r="AJ37">
        <f t="shared" si="20"/>
        <v>10</v>
      </c>
      <c r="AK37">
        <f>AK18</f>
        <v>10</v>
      </c>
    </row>
    <row r="38" spans="1:37" x14ac:dyDescent="0.2">
      <c r="A38" t="s">
        <v>535</v>
      </c>
      <c r="B38" s="2">
        <f>B39/$E$2/($E$3*10^3)</f>
        <v>5.0409306333476948E-2</v>
      </c>
      <c r="C38" s="2">
        <f t="shared" ref="C38:D38" si="21">C39/$E$2/($E$3*10^3)</f>
        <v>5.0409306333476948E-2</v>
      </c>
      <c r="D38" s="2">
        <f t="shared" si="21"/>
        <v>9.2632485997414901E-2</v>
      </c>
      <c r="R38" t="str">
        <f>R17</f>
        <v>cap_cost_ct</v>
      </c>
      <c r="S38" s="5">
        <f t="shared" ref="S38:AC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ref="AD38:AF38" si="23">AD17</f>
        <v>678.26769230769241</v>
      </c>
      <c r="AE38" s="5">
        <f t="shared" si="23"/>
        <v>678.26769230769241</v>
      </c>
      <c r="AF38" s="5">
        <f t="shared" si="23"/>
        <v>678.26769230769241</v>
      </c>
      <c r="AG38" s="5">
        <f t="shared" ref="AG38:AH38" si="24">AG17</f>
        <v>678.26769230769241</v>
      </c>
      <c r="AH38" s="5">
        <f t="shared" si="24"/>
        <v>678.26769230769241</v>
      </c>
      <c r="AI38" s="5">
        <f t="shared" ref="AI38:AJ38" si="25">AI17</f>
        <v>678.26769230769241</v>
      </c>
      <c r="AJ38" s="5">
        <f t="shared" si="25"/>
        <v>678.26769230769241</v>
      </c>
      <c r="AK38" s="5">
        <f>AK17</f>
        <v>678.26769230769241</v>
      </c>
    </row>
    <row r="39" spans="1:37" x14ac:dyDescent="0.2">
      <c r="A39" t="s">
        <v>10</v>
      </c>
      <c r="B39">
        <v>117</v>
      </c>
      <c r="C39">
        <v>117</v>
      </c>
      <c r="D39">
        <v>215</v>
      </c>
      <c r="E39" t="s">
        <v>533</v>
      </c>
      <c r="R39" t="str">
        <f>R23</f>
        <v>cap_cost_ccgt</v>
      </c>
      <c r="S39" s="5">
        <f t="shared" ref="S39:AC39" si="26">S23</f>
        <v>775.16307692307703</v>
      </c>
      <c r="T39" s="5">
        <f t="shared" si="26"/>
        <v>775.16307692307703</v>
      </c>
      <c r="U39" s="5">
        <f t="shared" si="26"/>
        <v>775.16307692307703</v>
      </c>
      <c r="V39" s="5">
        <f t="shared" si="26"/>
        <v>775.16307692307703</v>
      </c>
      <c r="W39" s="5">
        <f t="shared" si="26"/>
        <v>775.16307692307703</v>
      </c>
      <c r="X39" s="5">
        <f t="shared" si="26"/>
        <v>775.16307692307703</v>
      </c>
      <c r="Y39" s="5">
        <f t="shared" si="26"/>
        <v>775.16307692307703</v>
      </c>
      <c r="Z39" s="5">
        <f t="shared" si="26"/>
        <v>775.16307692307703</v>
      </c>
      <c r="AA39" s="5">
        <f t="shared" si="26"/>
        <v>775.16307692307703</v>
      </c>
      <c r="AB39" s="5">
        <f t="shared" si="26"/>
        <v>775.16307692307703</v>
      </c>
      <c r="AC39" s="5">
        <f t="shared" si="26"/>
        <v>775.16307692307703</v>
      </c>
      <c r="AD39" s="5">
        <f t="shared" ref="AD39:AF39" si="27">AD23</f>
        <v>775.16307692307703</v>
      </c>
      <c r="AE39" s="5">
        <f t="shared" si="27"/>
        <v>775.16307692307703</v>
      </c>
      <c r="AF39" s="5">
        <f t="shared" si="27"/>
        <v>775.16307692307703</v>
      </c>
      <c r="AG39" s="5">
        <f t="shared" ref="AG39:AH39" si="28">AG23</f>
        <v>775.16307692307703</v>
      </c>
      <c r="AH39" s="5">
        <f t="shared" si="28"/>
        <v>775.16307692307703</v>
      </c>
      <c r="AI39" s="5">
        <f t="shared" ref="AI39:AJ39" si="29">AI23</f>
        <v>775.16307692307703</v>
      </c>
      <c r="AJ39" s="5">
        <f t="shared" si="29"/>
        <v>775.16307692307703</v>
      </c>
      <c r="AK39" s="5">
        <f>AK23</f>
        <v>775.16307692307703</v>
      </c>
    </row>
    <row r="40" spans="1:37" x14ac:dyDescent="0.2">
      <c r="A40" t="s">
        <v>11</v>
      </c>
      <c r="B40">
        <v>2.0000000000000001E-4</v>
      </c>
      <c r="C40">
        <v>2.0000000000000001E-4</v>
      </c>
      <c r="D40">
        <v>5.5E-2</v>
      </c>
      <c r="E40" t="s">
        <v>45</v>
      </c>
      <c r="R40" t="str">
        <f>R28</f>
        <v>cap_cost_coal</v>
      </c>
      <c r="S40" s="5">
        <f t="shared" ref="S40:AC40" si="30">S28</f>
        <v>976.42784318082204</v>
      </c>
      <c r="T40" s="5">
        <f t="shared" si="30"/>
        <v>1140</v>
      </c>
      <c r="U40" s="5">
        <f t="shared" si="30"/>
        <v>976.42784318082204</v>
      </c>
      <c r="V40" s="5">
        <f t="shared" si="30"/>
        <v>976.42784318082204</v>
      </c>
      <c r="W40" s="5">
        <f t="shared" si="30"/>
        <v>976.42784318082204</v>
      </c>
      <c r="X40" s="5">
        <f t="shared" si="30"/>
        <v>976.42784318082204</v>
      </c>
      <c r="Y40" s="5">
        <f t="shared" si="30"/>
        <v>976.42784318082204</v>
      </c>
      <c r="Z40" s="5">
        <f t="shared" si="30"/>
        <v>976.42784318082204</v>
      </c>
      <c r="AA40" s="5">
        <f t="shared" si="30"/>
        <v>976.42784318082204</v>
      </c>
      <c r="AB40" s="5">
        <f t="shared" si="30"/>
        <v>976.42784318082204</v>
      </c>
      <c r="AC40" s="5">
        <f t="shared" si="30"/>
        <v>976.42784318082204</v>
      </c>
      <c r="AD40" s="5">
        <f t="shared" ref="AD40:AF40" si="31">AD28</f>
        <v>976.42784318082204</v>
      </c>
      <c r="AE40" s="5">
        <f t="shared" si="31"/>
        <v>976.42784318082204</v>
      </c>
      <c r="AF40" s="5">
        <f t="shared" si="31"/>
        <v>976.42784318082204</v>
      </c>
      <c r="AG40" s="5">
        <f t="shared" ref="AG40:AH40" si="32">AG28</f>
        <v>1140</v>
      </c>
      <c r="AH40" s="5">
        <f t="shared" si="32"/>
        <v>1140</v>
      </c>
      <c r="AI40" s="5">
        <f t="shared" ref="AI40:AJ40" si="33">AI28</f>
        <v>1140</v>
      </c>
      <c r="AJ40" s="5">
        <f t="shared" si="33"/>
        <v>1140</v>
      </c>
      <c r="AK40" s="5">
        <f>AK28</f>
        <v>1140</v>
      </c>
    </row>
    <row r="41" spans="1:37" x14ac:dyDescent="0.2">
      <c r="A41" t="s">
        <v>12</v>
      </c>
      <c r="B41">
        <v>3.3000000000000002E-2</v>
      </c>
      <c r="C41">
        <v>7.3000000000000001E-3</v>
      </c>
      <c r="D41">
        <v>0.05</v>
      </c>
      <c r="E41" t="s">
        <v>45</v>
      </c>
      <c r="G41">
        <f>52500/65</f>
        <v>807.69230769230774</v>
      </c>
    </row>
    <row r="42" spans="1:37" x14ac:dyDescent="0.2">
      <c r="A42" t="s">
        <v>13</v>
      </c>
      <c r="B42">
        <v>6.0000000000000001E-3</v>
      </c>
      <c r="C42">
        <v>5.7999999999999996E-3</v>
      </c>
      <c r="D42">
        <v>1.0999999999999999E-2</v>
      </c>
      <c r="E42" t="s">
        <v>45</v>
      </c>
      <c r="G42">
        <f>35860/65</f>
        <v>551.69230769230774</v>
      </c>
      <c r="R42" s="7" t="s">
        <v>189</v>
      </c>
    </row>
    <row r="43" spans="1:37" x14ac:dyDescent="0.2">
      <c r="A43" t="s">
        <v>21</v>
      </c>
      <c r="B43" s="3">
        <f>B39*B$34*10^-6/$E$2</f>
        <v>0.61161446863636348</v>
      </c>
      <c r="C43" s="3">
        <f>C39*C$34*10^-6/$E$2</f>
        <v>0.42180308181818171</v>
      </c>
      <c r="D43" s="3">
        <f>D39*D$34*10^-6/$E$2</f>
        <v>0.91656547874999983</v>
      </c>
      <c r="F43" t="s">
        <v>64</v>
      </c>
      <c r="Q43" t="s">
        <v>191</v>
      </c>
      <c r="R43" t="s">
        <v>190</v>
      </c>
    </row>
    <row r="44" spans="1:37" x14ac:dyDescent="0.2">
      <c r="A44" t="s">
        <v>22</v>
      </c>
      <c r="B44" s="6">
        <f>B40*B$34*10^-3/$E$2</f>
        <v>1.0454948181818182E-3</v>
      </c>
      <c r="C44" s="6">
        <f>C40*C$34*10^-3/$E$2</f>
        <v>7.2103090909090911E-4</v>
      </c>
      <c r="D44" s="6">
        <f>D40*D$34*10^-3/$E$2</f>
        <v>0.23447023874999995</v>
      </c>
      <c r="Q44">
        <v>0</v>
      </c>
      <c r="R44" t="s">
        <v>192</v>
      </c>
      <c r="S44" s="5">
        <f t="shared" ref="S44:AC44" si="34">S19</f>
        <v>65.002501490990369</v>
      </c>
      <c r="T44" s="5">
        <f t="shared" si="34"/>
        <v>65.002501490990369</v>
      </c>
      <c r="U44" s="5">
        <f t="shared" si="34"/>
        <v>65.002501490990369</v>
      </c>
      <c r="V44" s="5">
        <f t="shared" si="34"/>
        <v>65.002501490990369</v>
      </c>
      <c r="W44" s="5">
        <f t="shared" si="34"/>
        <v>65.002501490990369</v>
      </c>
      <c r="X44" s="5">
        <f t="shared" si="34"/>
        <v>65.002501490990369</v>
      </c>
      <c r="Y44" s="5">
        <f t="shared" si="34"/>
        <v>65.002501490990369</v>
      </c>
      <c r="Z44" s="5">
        <f t="shared" si="34"/>
        <v>65.002501490990369</v>
      </c>
      <c r="AA44" s="5">
        <f t="shared" si="34"/>
        <v>65.002501490990369</v>
      </c>
      <c r="AB44" s="5">
        <f t="shared" si="34"/>
        <v>65.002501490990369</v>
      </c>
      <c r="AC44" s="5">
        <f t="shared" si="34"/>
        <v>65.002501490990369</v>
      </c>
      <c r="AD44" s="5">
        <f t="shared" ref="AD44:AF44" si="35">AD19</f>
        <v>65.002501490990369</v>
      </c>
      <c r="AE44" s="5">
        <f t="shared" si="35"/>
        <v>65.002501490990369</v>
      </c>
      <c r="AF44" s="5">
        <f t="shared" si="35"/>
        <v>65.002501490990369</v>
      </c>
      <c r="AG44" s="5">
        <f t="shared" ref="AG44:AH44" si="36">AG19</f>
        <v>65.002501490990369</v>
      </c>
      <c r="AH44" s="5">
        <f t="shared" si="36"/>
        <v>65.002501490990369</v>
      </c>
      <c r="AI44" s="5">
        <f t="shared" ref="AI44:AJ44" si="37">AI19</f>
        <v>65.002501490990369</v>
      </c>
      <c r="AJ44" s="5">
        <f t="shared" si="37"/>
        <v>65.002501490990369</v>
      </c>
      <c r="AK44" s="5">
        <f>AK19</f>
        <v>65.002501490990369</v>
      </c>
    </row>
    <row r="45" spans="1:37" x14ac:dyDescent="0.2">
      <c r="A45" t="s">
        <v>23</v>
      </c>
      <c r="B45" s="3">
        <f>B41*B$34*10^-3/$E$2</f>
        <v>0.17250664499999999</v>
      </c>
      <c r="C45" s="3">
        <f>C41*C$34*10^-3/$E$2</f>
        <v>2.6317628181818178E-2</v>
      </c>
      <c r="D45" s="3">
        <f>D41*D$34*10^-3/$E$2</f>
        <v>0.21315476250000001</v>
      </c>
      <c r="Q45">
        <v>8760</v>
      </c>
      <c r="R45" t="s">
        <v>192</v>
      </c>
      <c r="S45" s="5">
        <f t="shared" ref="S45:AC45" si="38">S44+S20*$Q$45/1000</f>
        <v>1177.2962457334145</v>
      </c>
      <c r="T45" s="5">
        <f t="shared" si="38"/>
        <v>1177.2962457334145</v>
      </c>
      <c r="U45" s="5">
        <f t="shared" si="38"/>
        <v>1177.2962457334145</v>
      </c>
      <c r="V45" s="5">
        <f t="shared" si="38"/>
        <v>1177.2962457334145</v>
      </c>
      <c r="W45" s="5">
        <f t="shared" si="38"/>
        <v>1177.2962457334145</v>
      </c>
      <c r="X45" s="5">
        <f t="shared" si="38"/>
        <v>1177.2962457334145</v>
      </c>
      <c r="Y45" s="5">
        <f t="shared" si="38"/>
        <v>1177.2962457334145</v>
      </c>
      <c r="Z45" s="5">
        <f t="shared" si="38"/>
        <v>1177.2962457334145</v>
      </c>
      <c r="AA45" s="5">
        <f t="shared" si="38"/>
        <v>1177.2962457334145</v>
      </c>
      <c r="AB45" s="5">
        <f t="shared" si="38"/>
        <v>1177.2962457334145</v>
      </c>
      <c r="AC45" s="5">
        <f t="shared" si="38"/>
        <v>1177.2962457334145</v>
      </c>
      <c r="AD45" s="5">
        <f t="shared" ref="AD45:AF45" si="39">AD44+AD20*$Q$45/1000</f>
        <v>1177.2962457334145</v>
      </c>
      <c r="AE45" s="5">
        <f t="shared" si="39"/>
        <v>1177.2962457334145</v>
      </c>
      <c r="AF45" s="5">
        <f t="shared" si="39"/>
        <v>1177.2962457334145</v>
      </c>
      <c r="AG45" s="5">
        <f t="shared" ref="AG45:AH45" si="40">AG44+AG20*$Q$45/1000</f>
        <v>1177.2962457334145</v>
      </c>
      <c r="AH45" s="5">
        <f t="shared" si="40"/>
        <v>1177.2962457334145</v>
      </c>
      <c r="AI45" s="5">
        <f t="shared" ref="AI45:AJ45" si="41">AI44+AI20*$Q$45/1000</f>
        <v>1177.2962457334145</v>
      </c>
      <c r="AJ45" s="5">
        <f t="shared" si="41"/>
        <v>1177.2962457334145</v>
      </c>
      <c r="AK45" s="5">
        <f>AK44+AK20*$Q$45/1000</f>
        <v>1177.2962457334145</v>
      </c>
    </row>
    <row r="46" spans="1:37" x14ac:dyDescent="0.2">
      <c r="A46" t="s">
        <v>24</v>
      </c>
      <c r="B46" s="2">
        <f>B42*B$34*10^-3/$E$2</f>
        <v>3.1364844545454539E-2</v>
      </c>
      <c r="C46" s="2">
        <f>C42*C$34*10^-3/$E$2</f>
        <v>2.0909896363636361E-2</v>
      </c>
      <c r="D46" s="2">
        <f>D42*D$34*10^-3/$E$2</f>
        <v>4.6894047749999994E-2</v>
      </c>
      <c r="Q46">
        <v>0</v>
      </c>
      <c r="R46" t="s">
        <v>193</v>
      </c>
      <c r="S46" s="5">
        <f t="shared" ref="S46:AC46" si="42">S24</f>
        <v>77.517144561131843</v>
      </c>
      <c r="T46" s="5">
        <f t="shared" si="42"/>
        <v>77.517144561131843</v>
      </c>
      <c r="U46" s="5">
        <f t="shared" si="42"/>
        <v>77.517144561131843</v>
      </c>
      <c r="V46" s="5">
        <f t="shared" si="42"/>
        <v>77.517144561131843</v>
      </c>
      <c r="W46" s="5">
        <f t="shared" si="42"/>
        <v>77.517144561131843</v>
      </c>
      <c r="X46" s="5">
        <f t="shared" si="42"/>
        <v>77.517144561131843</v>
      </c>
      <c r="Y46" s="5">
        <f t="shared" si="42"/>
        <v>77.517144561131843</v>
      </c>
      <c r="Z46" s="5">
        <f t="shared" si="42"/>
        <v>77.517144561131843</v>
      </c>
      <c r="AA46" s="5">
        <f t="shared" si="42"/>
        <v>77.517144561131843</v>
      </c>
      <c r="AB46" s="5">
        <f t="shared" si="42"/>
        <v>77.517144561131843</v>
      </c>
      <c r="AC46" s="5">
        <f t="shared" si="42"/>
        <v>77.517144561131843</v>
      </c>
      <c r="AD46" s="5">
        <f t="shared" ref="AD46:AF46" si="43">AD24</f>
        <v>77.517144561131843</v>
      </c>
      <c r="AE46" s="5">
        <f t="shared" si="43"/>
        <v>77.517144561131843</v>
      </c>
      <c r="AF46" s="5">
        <f t="shared" si="43"/>
        <v>77.517144561131843</v>
      </c>
      <c r="AG46" s="5">
        <f t="shared" ref="AG46:AH46" si="44">AG24</f>
        <v>77.517144561131843</v>
      </c>
      <c r="AH46" s="5">
        <f t="shared" si="44"/>
        <v>77.517144561131843</v>
      </c>
      <c r="AI46" s="5">
        <f t="shared" ref="AI46:AJ46" si="45">AI24</f>
        <v>77.517144561131843</v>
      </c>
      <c r="AJ46" s="5">
        <f t="shared" si="45"/>
        <v>77.517144561131843</v>
      </c>
      <c r="AK46" s="5">
        <f>AK24</f>
        <v>77.517144561131843</v>
      </c>
    </row>
    <row r="47" spans="1:37" x14ac:dyDescent="0.2">
      <c r="A47" t="s">
        <v>50</v>
      </c>
      <c r="B47" s="11">
        <v>0.01</v>
      </c>
      <c r="C47" s="11">
        <v>2.5000000000000001E-2</v>
      </c>
      <c r="D47" s="11">
        <v>0.1</v>
      </c>
      <c r="E47" t="s">
        <v>72</v>
      </c>
      <c r="Q47">
        <v>8760</v>
      </c>
      <c r="R47" t="s">
        <v>193</v>
      </c>
      <c r="S47" s="5">
        <f t="shared" ref="S47:AC47" si="46">S46+S25*$Q$47/1000</f>
        <v>821.56369225343963</v>
      </c>
      <c r="T47" s="5">
        <f t="shared" si="46"/>
        <v>821.56369225343963</v>
      </c>
      <c r="U47" s="5">
        <f t="shared" si="46"/>
        <v>821.56369225343963</v>
      </c>
      <c r="V47" s="5">
        <f t="shared" si="46"/>
        <v>821.56369225343963</v>
      </c>
      <c r="W47" s="5">
        <f t="shared" si="46"/>
        <v>821.56369225343963</v>
      </c>
      <c r="X47" s="5">
        <f t="shared" si="46"/>
        <v>821.56369225343963</v>
      </c>
      <c r="Y47" s="5">
        <f t="shared" si="46"/>
        <v>821.56369225343963</v>
      </c>
      <c r="Z47" s="5">
        <f t="shared" si="46"/>
        <v>821.56369225343963</v>
      </c>
      <c r="AA47" s="5">
        <f t="shared" si="46"/>
        <v>821.56369225343963</v>
      </c>
      <c r="AB47" s="5">
        <f t="shared" si="46"/>
        <v>821.56369225343963</v>
      </c>
      <c r="AC47" s="5">
        <f t="shared" si="46"/>
        <v>821.56369225343963</v>
      </c>
      <c r="AD47" s="5">
        <f t="shared" ref="AD47:AF47" si="47">AD46+AD25*$Q$47/1000</f>
        <v>821.56369225343963</v>
      </c>
      <c r="AE47" s="5">
        <f t="shared" si="47"/>
        <v>821.56369225343963</v>
      </c>
      <c r="AF47" s="5">
        <f t="shared" si="47"/>
        <v>821.56369225343963</v>
      </c>
      <c r="AG47" s="5">
        <f t="shared" ref="AG47:AH47" si="48">AG46+AG25*$Q$47/1000</f>
        <v>821.56369225343963</v>
      </c>
      <c r="AH47" s="5">
        <f t="shared" si="48"/>
        <v>821.56369225343963</v>
      </c>
      <c r="AI47" s="5">
        <f t="shared" ref="AI47:AJ47" si="49">AI46+AI25*$Q$47/1000</f>
        <v>821.56369225343963</v>
      </c>
      <c r="AJ47" s="5">
        <f t="shared" si="49"/>
        <v>821.56369225343963</v>
      </c>
      <c r="AK47" s="5">
        <f>AK46+AK25*$Q$47/1000</f>
        <v>821.56369225343963</v>
      </c>
    </row>
    <row r="48" spans="1:37" x14ac:dyDescent="0.2">
      <c r="Q48">
        <v>0</v>
      </c>
      <c r="R48" t="s">
        <v>3</v>
      </c>
      <c r="S48" s="5">
        <f t="shared" ref="S48:AC48" si="50">S30</f>
        <v>125.88777825200532</v>
      </c>
      <c r="T48" s="5">
        <f t="shared" si="50"/>
        <v>139.92398963155881</v>
      </c>
      <c r="U48" s="5">
        <f t="shared" si="50"/>
        <v>125.88777825200532</v>
      </c>
      <c r="V48" s="5">
        <f t="shared" si="50"/>
        <v>125.88777825200532</v>
      </c>
      <c r="W48" s="5">
        <f t="shared" si="50"/>
        <v>125.88777825200532</v>
      </c>
      <c r="X48" s="5">
        <f t="shared" si="50"/>
        <v>125.88777825200532</v>
      </c>
      <c r="Y48" s="5">
        <f t="shared" si="50"/>
        <v>125.88777825200532</v>
      </c>
      <c r="Z48" s="5">
        <f t="shared" si="50"/>
        <v>125.88777825200532</v>
      </c>
      <c r="AA48" s="5">
        <f t="shared" si="50"/>
        <v>125.88777825200532</v>
      </c>
      <c r="AB48" s="5">
        <f t="shared" si="50"/>
        <v>125.88777825200532</v>
      </c>
      <c r="AC48" s="5">
        <f t="shared" si="50"/>
        <v>125.88777825200532</v>
      </c>
      <c r="AD48" s="5">
        <f t="shared" ref="AD48:AF48" si="51">AD30</f>
        <v>125.88777825200532</v>
      </c>
      <c r="AE48" s="5">
        <f t="shared" si="51"/>
        <v>125.88777825200532</v>
      </c>
      <c r="AF48" s="5">
        <f t="shared" si="51"/>
        <v>125.88777825200532</v>
      </c>
      <c r="AG48" s="5">
        <f t="shared" ref="AG48:AH48" si="52">AG30</f>
        <v>139.92398963155881</v>
      </c>
      <c r="AH48" s="5">
        <f t="shared" si="52"/>
        <v>139.92398963155881</v>
      </c>
      <c r="AI48" s="5">
        <f t="shared" ref="AI48:AJ48" si="53">AI30</f>
        <v>139.92398963155881</v>
      </c>
      <c r="AJ48" s="5">
        <f t="shared" si="53"/>
        <v>139.92398963155881</v>
      </c>
      <c r="AK48" s="5">
        <f>AK30</f>
        <v>139.92398963155881</v>
      </c>
    </row>
    <row r="49" spans="1:37" x14ac:dyDescent="0.2">
      <c r="A49" t="s">
        <v>17</v>
      </c>
      <c r="B49" s="10">
        <v>7.0000000000000007E-2</v>
      </c>
      <c r="C49" s="8">
        <f>B49</f>
        <v>7.0000000000000007E-2</v>
      </c>
      <c r="D49" s="8">
        <f>B49</f>
        <v>7.0000000000000007E-2</v>
      </c>
      <c r="E49" t="s">
        <v>136</v>
      </c>
      <c r="Q49">
        <v>8760</v>
      </c>
      <c r="R49" t="s">
        <v>3</v>
      </c>
      <c r="S49" s="5">
        <f t="shared" ref="S49:AC49" si="54">S48+S31*$Q$49/1000</f>
        <v>407.72663527543091</v>
      </c>
      <c r="T49" s="5">
        <f t="shared" si="54"/>
        <v>541.03643826156213</v>
      </c>
      <c r="U49" s="5">
        <f t="shared" si="54"/>
        <v>407.72663527543091</v>
      </c>
      <c r="V49" s="5">
        <f t="shared" si="54"/>
        <v>407.72663527543091</v>
      </c>
      <c r="W49" s="5">
        <f t="shared" si="54"/>
        <v>407.72663527543091</v>
      </c>
      <c r="X49" s="5">
        <f t="shared" si="54"/>
        <v>407.72663527543091</v>
      </c>
      <c r="Y49" s="5">
        <f t="shared" si="54"/>
        <v>407.72663527543091</v>
      </c>
      <c r="Z49" s="5">
        <f t="shared" si="54"/>
        <v>407.72663527543091</v>
      </c>
      <c r="AA49" s="5">
        <f t="shared" si="54"/>
        <v>407.72663527543091</v>
      </c>
      <c r="AB49" s="5">
        <f t="shared" si="54"/>
        <v>407.72663527543091</v>
      </c>
      <c r="AC49" s="5">
        <f t="shared" si="54"/>
        <v>407.72663527543091</v>
      </c>
      <c r="AD49" s="5">
        <f t="shared" ref="AD49:AF49" si="55">AD48+AD31*$Q$49/1000</f>
        <v>407.72663527543091</v>
      </c>
      <c r="AE49" s="5">
        <f t="shared" si="55"/>
        <v>407.72663527543091</v>
      </c>
      <c r="AF49" s="5">
        <f t="shared" si="55"/>
        <v>407.72663527543091</v>
      </c>
      <c r="AG49" s="5">
        <f t="shared" ref="AG49:AH49" si="56">AG48+AG31*$Q$49/1000</f>
        <v>541.03643826156213</v>
      </c>
      <c r="AH49" s="5">
        <f t="shared" si="56"/>
        <v>541.03643826156213</v>
      </c>
      <c r="AI49" s="5">
        <f t="shared" ref="AI49:AJ49" si="57">AI48+AI31*$Q$49/1000</f>
        <v>541.03643826156213</v>
      </c>
      <c r="AJ49" s="5">
        <f t="shared" si="57"/>
        <v>541.03643826156213</v>
      </c>
      <c r="AK49" s="5">
        <f>AK48+AK31*$Q$49/1000</f>
        <v>541.03643826156213</v>
      </c>
    </row>
    <row r="50" spans="1:37" x14ac:dyDescent="0.2">
      <c r="A50" t="s">
        <v>18</v>
      </c>
      <c r="B50">
        <v>25</v>
      </c>
      <c r="C50">
        <v>25</v>
      </c>
      <c r="D50">
        <v>25</v>
      </c>
      <c r="E50" t="s">
        <v>42</v>
      </c>
    </row>
    <row r="51" spans="1:37" ht="16" x14ac:dyDescent="0.2">
      <c r="A51" t="s">
        <v>19</v>
      </c>
      <c r="B51" s="9">
        <f>(B49*(1+B49)^B50)/(((1+B49)^B50)-1)</f>
        <v>8.5810517220665614E-2</v>
      </c>
      <c r="C51" s="9">
        <f>(C49*(1+C49)^C50)/(((1+C49)^C50)-1)</f>
        <v>8.5810517220665614E-2</v>
      </c>
      <c r="D51" s="9">
        <f>(D49*(1+D49)^D50)/(((1+D49)^D50)-1)</f>
        <v>8.5810517220665614E-2</v>
      </c>
      <c r="Q51" s="20" t="s">
        <v>419</v>
      </c>
      <c r="R51" s="7" t="s">
        <v>194</v>
      </c>
    </row>
    <row r="52" spans="1:37" x14ac:dyDescent="0.2">
      <c r="A52" t="s">
        <v>20</v>
      </c>
      <c r="B52" s="4">
        <f>B31*B51+B32</f>
        <v>65.002501490990369</v>
      </c>
      <c r="C52" s="4">
        <f>C31*C51+C32</f>
        <v>77.517144561131843</v>
      </c>
      <c r="D52" s="4">
        <f>D31*D51+D32</f>
        <v>125.88777825200532</v>
      </c>
      <c r="Q52" t="s">
        <v>195</v>
      </c>
      <c r="R52" t="s">
        <v>190</v>
      </c>
      <c r="S52" t="str">
        <f t="shared" ref="S52:AC52" si="58">S9</f>
        <v>coallc</v>
      </c>
      <c r="T52" t="str">
        <f t="shared" si="58"/>
        <v>coalhc</v>
      </c>
      <c r="U52" t="str">
        <f t="shared" si="58"/>
        <v>coallcW10lc</v>
      </c>
      <c r="V52" t="str">
        <f t="shared" si="58"/>
        <v>coallcW20lc</v>
      </c>
      <c r="W52" t="str">
        <f t="shared" si="58"/>
        <v>coallcW30lc</v>
      </c>
      <c r="X52" t="str">
        <f t="shared" si="58"/>
        <v>coallcS10lc</v>
      </c>
      <c r="Y52" t="str">
        <f t="shared" si="58"/>
        <v>coallcS20lc</v>
      </c>
      <c r="Z52" t="str">
        <f t="shared" si="58"/>
        <v>coallcS30lc</v>
      </c>
      <c r="AA52" t="str">
        <f t="shared" si="58"/>
        <v>coallcW30lcS30lc</v>
      </c>
      <c r="AB52" t="str">
        <f t="shared" si="58"/>
        <v>coallcB25lc</v>
      </c>
      <c r="AC52" t="str">
        <f t="shared" si="58"/>
        <v>coallcB50lc</v>
      </c>
      <c r="AD52" t="str">
        <f t="shared" ref="AD52:AF52" si="59">AD9</f>
        <v>coallcW30lcB50lc</v>
      </c>
      <c r="AE52" t="str">
        <f t="shared" si="59"/>
        <v>coallcS30lcB50lc</v>
      </c>
      <c r="AF52" t="str">
        <f t="shared" si="59"/>
        <v>coallcW30lcS30lcB50lc</v>
      </c>
      <c r="AG52" t="str">
        <f t="shared" ref="AG52:AH52" si="60">AG9</f>
        <v>coalhcB50lc</v>
      </c>
      <c r="AH52" t="str">
        <f t="shared" si="60"/>
        <v>coalhcW30lcB50lc</v>
      </c>
      <c r="AI52" t="str">
        <f t="shared" ref="AI52:AJ52" si="61">AI9</f>
        <v>coalhcS30lcB50lc</v>
      </c>
      <c r="AJ52" t="str">
        <f t="shared" si="61"/>
        <v>coalhcW30lcS30lcB50lc</v>
      </c>
      <c r="AK52" t="str">
        <f>AK9</f>
        <v>coalhcW30lcS30lc</v>
      </c>
    </row>
    <row r="53" spans="1:37" x14ac:dyDescent="0.2">
      <c r="A53" t="s">
        <v>39</v>
      </c>
      <c r="B53" s="5">
        <f>B52*$E$1</f>
        <v>4225.1625969143743</v>
      </c>
      <c r="C53" s="5">
        <f>C52*$E$1</f>
        <v>5038.6143964735702</v>
      </c>
      <c r="D53" s="5">
        <f>D52*$E$1</f>
        <v>8182.7055863803453</v>
      </c>
      <c r="E53" t="s">
        <v>534</v>
      </c>
      <c r="G53" t="s">
        <v>63</v>
      </c>
      <c r="H53" s="5">
        <f>B56*8760</f>
        <v>297.7029406373756</v>
      </c>
      <c r="I53" s="5">
        <f>(C56-B56)*8760</f>
        <v>619.04240931311335</v>
      </c>
      <c r="J53" s="5">
        <f>(1-C56-B56)*8760</f>
        <v>7545.551709412136</v>
      </c>
      <c r="Q53" t="s">
        <v>200</v>
      </c>
      <c r="R53" t="s">
        <v>196</v>
      </c>
      <c r="S53" s="5">
        <f t="shared" ref="S53:AC53" si="62">S17</f>
        <v>678.26769230769241</v>
      </c>
      <c r="T53" s="5">
        <f t="shared" si="62"/>
        <v>678.26769230769241</v>
      </c>
      <c r="U53" s="5">
        <f t="shared" si="62"/>
        <v>678.26769230769241</v>
      </c>
      <c r="V53" s="5">
        <f t="shared" si="62"/>
        <v>678.26769230769241</v>
      </c>
      <c r="W53" s="5">
        <f t="shared" si="62"/>
        <v>678.26769230769241</v>
      </c>
      <c r="X53" s="5">
        <f t="shared" si="62"/>
        <v>678.26769230769241</v>
      </c>
      <c r="Y53" s="5">
        <f t="shared" si="62"/>
        <v>678.26769230769241</v>
      </c>
      <c r="Z53" s="5">
        <f t="shared" si="62"/>
        <v>678.26769230769241</v>
      </c>
      <c r="AA53" s="5">
        <f t="shared" si="62"/>
        <v>678.26769230769241</v>
      </c>
      <c r="AB53" s="5">
        <f t="shared" si="62"/>
        <v>678.26769230769241</v>
      </c>
      <c r="AC53" s="5">
        <f t="shared" si="62"/>
        <v>678.26769230769241</v>
      </c>
      <c r="AD53" s="5">
        <f t="shared" ref="AD53:AF53" si="63">AD17</f>
        <v>678.26769230769241</v>
      </c>
      <c r="AE53" s="5">
        <f t="shared" si="63"/>
        <v>678.26769230769241</v>
      </c>
      <c r="AF53" s="5">
        <f t="shared" si="63"/>
        <v>678.26769230769241</v>
      </c>
      <c r="AG53" s="5">
        <f t="shared" ref="AG53:AH53" si="64">AG17</f>
        <v>678.26769230769241</v>
      </c>
      <c r="AH53" s="5">
        <f t="shared" si="64"/>
        <v>678.26769230769241</v>
      </c>
      <c r="AI53" s="5">
        <f t="shared" ref="AI53:AJ53" si="65">AI17</f>
        <v>678.26769230769241</v>
      </c>
      <c r="AJ53" s="5">
        <f t="shared" si="65"/>
        <v>678.26769230769241</v>
      </c>
      <c r="AK53" s="5">
        <f>AK17</f>
        <v>678.26769230769241</v>
      </c>
    </row>
    <row r="54" spans="1:37" x14ac:dyDescent="0.2">
      <c r="A54" t="s">
        <v>32</v>
      </c>
      <c r="B54" s="4">
        <f>(B34*$B$18*10^-3 + B33)/(1-B47)</f>
        <v>126.97417171717171</v>
      </c>
      <c r="C54" s="4">
        <f>(C34*$B$18*10^-3 + C33)/(1-C47)</f>
        <v>84.936820512820518</v>
      </c>
      <c r="D54" s="4">
        <f>(D34*B7*$E$3*10^-3 + D33)/(1-D47)</f>
        <v>32.17338550495726</v>
      </c>
      <c r="E54" s="4">
        <f>(D34*B15*$E$3*10^-3 + D33)/(1-D47)</f>
        <v>45.789092309361109</v>
      </c>
      <c r="H54" t="s">
        <v>1</v>
      </c>
      <c r="I54" t="s">
        <v>2</v>
      </c>
      <c r="J54" t="s">
        <v>3</v>
      </c>
      <c r="Q54" t="s">
        <v>201</v>
      </c>
      <c r="R54" t="s">
        <v>196</v>
      </c>
      <c r="S54" s="4">
        <f t="shared" ref="S54:AK54" si="66">$B$32</f>
        <v>6.8</v>
      </c>
      <c r="T54" s="4">
        <f t="shared" si="66"/>
        <v>6.8</v>
      </c>
      <c r="U54" s="4">
        <f t="shared" si="66"/>
        <v>6.8</v>
      </c>
      <c r="V54" s="4">
        <f t="shared" si="66"/>
        <v>6.8</v>
      </c>
      <c r="W54" s="4">
        <f t="shared" si="66"/>
        <v>6.8</v>
      </c>
      <c r="X54" s="4">
        <f t="shared" si="66"/>
        <v>6.8</v>
      </c>
      <c r="Y54" s="4">
        <f t="shared" si="66"/>
        <v>6.8</v>
      </c>
      <c r="Z54" s="4">
        <f t="shared" si="66"/>
        <v>6.8</v>
      </c>
      <c r="AA54" s="4">
        <f t="shared" si="66"/>
        <v>6.8</v>
      </c>
      <c r="AB54" s="4">
        <f t="shared" si="66"/>
        <v>6.8</v>
      </c>
      <c r="AC54" s="4">
        <f t="shared" si="66"/>
        <v>6.8</v>
      </c>
      <c r="AD54" s="4">
        <f t="shared" si="66"/>
        <v>6.8</v>
      </c>
      <c r="AE54" s="4">
        <f t="shared" si="66"/>
        <v>6.8</v>
      </c>
      <c r="AF54" s="4">
        <f t="shared" si="66"/>
        <v>6.8</v>
      </c>
      <c r="AG54" s="4">
        <f t="shared" si="66"/>
        <v>6.8</v>
      </c>
      <c r="AH54" s="4">
        <f t="shared" si="66"/>
        <v>6.8</v>
      </c>
      <c r="AI54" s="4">
        <f t="shared" si="66"/>
        <v>6.8</v>
      </c>
      <c r="AJ54" s="4">
        <f t="shared" si="66"/>
        <v>6.8</v>
      </c>
      <c r="AK54" s="4">
        <f t="shared" si="66"/>
        <v>6.8</v>
      </c>
    </row>
    <row r="55" spans="1:37" x14ac:dyDescent="0.2">
      <c r="A55" t="s">
        <v>37</v>
      </c>
      <c r="B55" s="5">
        <f>B54*$E$1</f>
        <v>8253.3211616161607</v>
      </c>
      <c r="C55" s="5">
        <f>C54*$E$1</f>
        <v>5520.8933333333334</v>
      </c>
      <c r="D55" s="5">
        <f>D54*$E$1</f>
        <v>2091.270057822222</v>
      </c>
      <c r="G55" t="s">
        <v>203</v>
      </c>
      <c r="H55" s="4">
        <f>B53/H53</f>
        <v>14.192545723157426</v>
      </c>
      <c r="I55" s="4">
        <f>C53/I53</f>
        <v>8.1393686776070702</v>
      </c>
      <c r="J55" s="4">
        <f>D53/J53</f>
        <v>1.0844409927207097</v>
      </c>
      <c r="Q55" t="s">
        <v>200</v>
      </c>
      <c r="R55" t="s">
        <v>197</v>
      </c>
      <c r="S55" s="5">
        <f t="shared" ref="S55:AC55" si="67">S23</f>
        <v>775.16307692307703</v>
      </c>
      <c r="T55" s="5">
        <f t="shared" si="67"/>
        <v>775.16307692307703</v>
      </c>
      <c r="U55" s="5">
        <f t="shared" si="67"/>
        <v>775.16307692307703</v>
      </c>
      <c r="V55" s="5">
        <f t="shared" si="67"/>
        <v>775.16307692307703</v>
      </c>
      <c r="W55" s="5">
        <f t="shared" si="67"/>
        <v>775.16307692307703</v>
      </c>
      <c r="X55" s="5">
        <f t="shared" si="67"/>
        <v>775.16307692307703</v>
      </c>
      <c r="Y55" s="5">
        <f t="shared" si="67"/>
        <v>775.16307692307703</v>
      </c>
      <c r="Z55" s="5">
        <f t="shared" si="67"/>
        <v>775.16307692307703</v>
      </c>
      <c r="AA55" s="5">
        <f t="shared" si="67"/>
        <v>775.16307692307703</v>
      </c>
      <c r="AB55" s="5">
        <f t="shared" si="67"/>
        <v>775.16307692307703</v>
      </c>
      <c r="AC55" s="5">
        <f t="shared" si="67"/>
        <v>775.16307692307703</v>
      </c>
      <c r="AD55" s="5">
        <f t="shared" ref="AD55:AF55" si="68">AD23</f>
        <v>775.16307692307703</v>
      </c>
      <c r="AE55" s="5">
        <f t="shared" si="68"/>
        <v>775.16307692307703</v>
      </c>
      <c r="AF55" s="5">
        <f t="shared" si="68"/>
        <v>775.16307692307703</v>
      </c>
      <c r="AG55" s="5">
        <f t="shared" ref="AG55:AH55" si="69">AG23</f>
        <v>775.16307692307703</v>
      </c>
      <c r="AH55" s="5">
        <f t="shared" si="69"/>
        <v>775.16307692307703</v>
      </c>
      <c r="AI55" s="5">
        <f t="shared" ref="AI55:AJ55" si="70">AI23</f>
        <v>775.16307692307703</v>
      </c>
      <c r="AJ55" s="5">
        <f t="shared" si="70"/>
        <v>775.16307692307703</v>
      </c>
      <c r="AK55" s="5">
        <f>AK23</f>
        <v>775.16307692307703</v>
      </c>
    </row>
    <row r="56" spans="1:37" x14ac:dyDescent="0.2">
      <c r="A56" t="s">
        <v>187</v>
      </c>
      <c r="B56" s="12">
        <f>(C52-B52)*1000/(B54-C54)/8760</f>
        <v>3.3984353954038309E-2</v>
      </c>
      <c r="C56" s="12">
        <f>(D52-C52)*1000/(C54-D54)/8760</f>
        <v>0.1046512956564485</v>
      </c>
      <c r="G56" t="s">
        <v>202</v>
      </c>
      <c r="H56" s="4">
        <f>H55+B55/1000</f>
        <v>22.445866884773586</v>
      </c>
      <c r="I56" s="4">
        <f>I55+C55/1000</f>
        <v>13.660262010940404</v>
      </c>
      <c r="J56" s="4">
        <f>J55+D55/1000</f>
        <v>3.1757110505429313</v>
      </c>
      <c r="Q56" t="s">
        <v>201</v>
      </c>
      <c r="R56" t="s">
        <v>197</v>
      </c>
      <c r="S56" s="4">
        <f t="shared" ref="S56:AK56" si="71">$C$32</f>
        <v>11</v>
      </c>
      <c r="T56" s="4">
        <f t="shared" si="71"/>
        <v>11</v>
      </c>
      <c r="U56" s="4">
        <f t="shared" si="71"/>
        <v>11</v>
      </c>
      <c r="V56" s="4">
        <f t="shared" si="71"/>
        <v>11</v>
      </c>
      <c r="W56" s="4">
        <f t="shared" si="71"/>
        <v>11</v>
      </c>
      <c r="X56" s="4">
        <f t="shared" si="71"/>
        <v>11</v>
      </c>
      <c r="Y56" s="4">
        <f t="shared" si="71"/>
        <v>11</v>
      </c>
      <c r="Z56" s="4">
        <f t="shared" si="71"/>
        <v>11</v>
      </c>
      <c r="AA56" s="4">
        <f t="shared" si="71"/>
        <v>11</v>
      </c>
      <c r="AB56" s="4">
        <f t="shared" si="71"/>
        <v>11</v>
      </c>
      <c r="AC56" s="4">
        <f t="shared" si="71"/>
        <v>11</v>
      </c>
      <c r="AD56" s="4">
        <f t="shared" si="71"/>
        <v>11</v>
      </c>
      <c r="AE56" s="4">
        <f t="shared" si="71"/>
        <v>11</v>
      </c>
      <c r="AF56" s="4">
        <f t="shared" si="71"/>
        <v>11</v>
      </c>
      <c r="AG56" s="4">
        <f t="shared" si="71"/>
        <v>11</v>
      </c>
      <c r="AH56" s="4">
        <f t="shared" si="71"/>
        <v>11</v>
      </c>
      <c r="AI56" s="4">
        <f t="shared" si="71"/>
        <v>11</v>
      </c>
      <c r="AJ56" s="4">
        <f t="shared" si="71"/>
        <v>11</v>
      </c>
      <c r="AK56" s="4">
        <f t="shared" si="71"/>
        <v>11</v>
      </c>
    </row>
    <row r="57" spans="1:37" x14ac:dyDescent="0.2">
      <c r="A57" t="s">
        <v>188</v>
      </c>
      <c r="B57" s="12">
        <f>(D52-B52)*1000/(B54-D54)/8760</f>
        <v>7.3315574028236088E-2</v>
      </c>
      <c r="Q57" t="s">
        <v>200</v>
      </c>
      <c r="R57" t="s">
        <v>57</v>
      </c>
      <c r="S57" s="5">
        <f t="shared" ref="S57:AC57" si="72">S28</f>
        <v>976.42784318082204</v>
      </c>
      <c r="T57" s="5">
        <f t="shared" si="72"/>
        <v>1140</v>
      </c>
      <c r="U57" s="5">
        <f t="shared" si="72"/>
        <v>976.42784318082204</v>
      </c>
      <c r="V57" s="5">
        <f t="shared" si="72"/>
        <v>976.42784318082204</v>
      </c>
      <c r="W57" s="5">
        <f t="shared" si="72"/>
        <v>976.42784318082204</v>
      </c>
      <c r="X57" s="5">
        <f t="shared" si="72"/>
        <v>976.42784318082204</v>
      </c>
      <c r="Y57" s="5">
        <f t="shared" si="72"/>
        <v>976.42784318082204</v>
      </c>
      <c r="Z57" s="5">
        <f t="shared" si="72"/>
        <v>976.42784318082204</v>
      </c>
      <c r="AA57" s="5">
        <f t="shared" si="72"/>
        <v>976.42784318082204</v>
      </c>
      <c r="AB57" s="5">
        <f t="shared" si="72"/>
        <v>976.42784318082204</v>
      </c>
      <c r="AC57" s="5">
        <f t="shared" si="72"/>
        <v>976.42784318082204</v>
      </c>
      <c r="AD57" s="5">
        <f t="shared" ref="AD57:AF57" si="73">AD28</f>
        <v>976.42784318082204</v>
      </c>
      <c r="AE57" s="5">
        <f t="shared" si="73"/>
        <v>976.42784318082204</v>
      </c>
      <c r="AF57" s="5">
        <f t="shared" si="73"/>
        <v>976.42784318082204</v>
      </c>
      <c r="AG57" s="5">
        <f t="shared" ref="AG57:AH57" si="74">AG28</f>
        <v>1140</v>
      </c>
      <c r="AH57" s="5">
        <f t="shared" si="74"/>
        <v>1140</v>
      </c>
      <c r="AI57" s="5">
        <f t="shared" ref="AI57:AJ57" si="75">AI28</f>
        <v>1140</v>
      </c>
      <c r="AJ57" s="5">
        <f t="shared" si="75"/>
        <v>1140</v>
      </c>
      <c r="AK57" s="5">
        <f>AK28</f>
        <v>1140</v>
      </c>
    </row>
    <row r="58" spans="1:37" x14ac:dyDescent="0.2">
      <c r="B58" s="12"/>
      <c r="Q58" t="s">
        <v>201</v>
      </c>
      <c r="R58" t="s">
        <v>57</v>
      </c>
      <c r="S58" s="4">
        <f t="shared" ref="S58:AK58" si="76">$D$32</f>
        <v>42.1</v>
      </c>
      <c r="T58" s="4">
        <f t="shared" si="76"/>
        <v>42.1</v>
      </c>
      <c r="U58" s="4">
        <f t="shared" si="76"/>
        <v>42.1</v>
      </c>
      <c r="V58" s="4">
        <f t="shared" si="76"/>
        <v>42.1</v>
      </c>
      <c r="W58" s="4">
        <f t="shared" si="76"/>
        <v>42.1</v>
      </c>
      <c r="X58" s="4">
        <f t="shared" si="76"/>
        <v>42.1</v>
      </c>
      <c r="Y58" s="4">
        <f t="shared" si="76"/>
        <v>42.1</v>
      </c>
      <c r="Z58" s="4">
        <f t="shared" si="76"/>
        <v>42.1</v>
      </c>
      <c r="AA58" s="4">
        <f t="shared" si="76"/>
        <v>42.1</v>
      </c>
      <c r="AB58" s="4">
        <f t="shared" si="76"/>
        <v>42.1</v>
      </c>
      <c r="AC58" s="4">
        <f t="shared" si="76"/>
        <v>42.1</v>
      </c>
      <c r="AD58" s="4">
        <f t="shared" si="76"/>
        <v>42.1</v>
      </c>
      <c r="AE58" s="4">
        <f t="shared" si="76"/>
        <v>42.1</v>
      </c>
      <c r="AF58" s="4">
        <f t="shared" si="76"/>
        <v>42.1</v>
      </c>
      <c r="AG58" s="4">
        <f t="shared" si="76"/>
        <v>42.1</v>
      </c>
      <c r="AH58" s="4">
        <f t="shared" si="76"/>
        <v>42.1</v>
      </c>
      <c r="AI58" s="4">
        <f t="shared" si="76"/>
        <v>42.1</v>
      </c>
      <c r="AJ58" s="4">
        <f t="shared" si="76"/>
        <v>42.1</v>
      </c>
      <c r="AK58" s="4">
        <f t="shared" si="76"/>
        <v>42.1</v>
      </c>
    </row>
    <row r="59" spans="1:37" x14ac:dyDescent="0.2">
      <c r="B59" s="12"/>
      <c r="D59">
        <f>(D34*B7*$E$3*10^-3 )</f>
        <v>24.356046954461537</v>
      </c>
      <c r="Q59" t="s">
        <v>200</v>
      </c>
      <c r="R59" t="s">
        <v>198</v>
      </c>
      <c r="S59">
        <f t="shared" ref="S59:AC59" si="77">INDEX($AD$4:$AF$7, MATCH(S11,$AD$4:$AD$7,0), 2)</f>
        <v>1250</v>
      </c>
      <c r="T59">
        <f t="shared" si="77"/>
        <v>1250</v>
      </c>
      <c r="U59">
        <f t="shared" si="77"/>
        <v>1125</v>
      </c>
      <c r="V59">
        <f t="shared" si="77"/>
        <v>1000</v>
      </c>
      <c r="W59">
        <f t="shared" si="77"/>
        <v>875</v>
      </c>
      <c r="X59">
        <f t="shared" si="77"/>
        <v>1250</v>
      </c>
      <c r="Y59">
        <f t="shared" si="77"/>
        <v>1250</v>
      </c>
      <c r="Z59">
        <f t="shared" si="77"/>
        <v>1250</v>
      </c>
      <c r="AA59">
        <f t="shared" si="77"/>
        <v>875</v>
      </c>
      <c r="AB59">
        <f t="shared" si="77"/>
        <v>1250</v>
      </c>
      <c r="AC59">
        <f t="shared" si="77"/>
        <v>1250</v>
      </c>
      <c r="AD59">
        <f t="shared" ref="AD59:AF59" si="78">INDEX($AD$4:$AF$7, MATCH(AD11,$AD$4:$AD$7,0), 2)</f>
        <v>875</v>
      </c>
      <c r="AE59">
        <f t="shared" si="78"/>
        <v>1250</v>
      </c>
      <c r="AF59">
        <f t="shared" si="78"/>
        <v>875</v>
      </c>
      <c r="AG59">
        <f t="shared" ref="AG59:AH59" si="79">INDEX($AD$4:$AF$7, MATCH(AG11,$AD$4:$AD$7,0), 2)</f>
        <v>1250</v>
      </c>
      <c r="AH59">
        <f t="shared" si="79"/>
        <v>875</v>
      </c>
      <c r="AI59">
        <f t="shared" ref="AI59:AJ59" si="80">INDEX($AD$4:$AF$7, MATCH(AI11,$AD$4:$AD$7,0), 2)</f>
        <v>1250</v>
      </c>
      <c r="AJ59">
        <f t="shared" si="80"/>
        <v>875</v>
      </c>
      <c r="AK59">
        <f>INDEX($AD$4:$AF$7, MATCH(AK11,$AD$4:$AD$7,0), 2)</f>
        <v>875</v>
      </c>
    </row>
    <row r="60" spans="1:37" x14ac:dyDescent="0.2">
      <c r="A60" s="7" t="s">
        <v>146</v>
      </c>
      <c r="Q60" t="s">
        <v>201</v>
      </c>
      <c r="R60" t="s">
        <v>198</v>
      </c>
      <c r="S60">
        <f t="shared" ref="S60:AC60" si="81">INDEX($AD$4:$AF$7, MATCH(S11,$AD$4:$AD$7,0), 3)</f>
        <v>15</v>
      </c>
      <c r="T60">
        <f t="shared" si="81"/>
        <v>15</v>
      </c>
      <c r="U60">
        <f t="shared" si="81"/>
        <v>15</v>
      </c>
      <c r="V60">
        <f t="shared" si="81"/>
        <v>15</v>
      </c>
      <c r="W60">
        <f t="shared" si="81"/>
        <v>15</v>
      </c>
      <c r="X60">
        <f t="shared" si="81"/>
        <v>15</v>
      </c>
      <c r="Y60">
        <f t="shared" si="81"/>
        <v>15</v>
      </c>
      <c r="Z60">
        <f t="shared" si="81"/>
        <v>15</v>
      </c>
      <c r="AA60">
        <f t="shared" si="81"/>
        <v>15</v>
      </c>
      <c r="AB60">
        <f t="shared" si="81"/>
        <v>15</v>
      </c>
      <c r="AC60">
        <f t="shared" si="81"/>
        <v>15</v>
      </c>
      <c r="AD60">
        <f t="shared" ref="AD60:AF60" si="82">INDEX($AD$4:$AF$7, MATCH(AD11,$AD$4:$AD$7,0), 3)</f>
        <v>15</v>
      </c>
      <c r="AE60">
        <f t="shared" si="82"/>
        <v>15</v>
      </c>
      <c r="AF60">
        <f t="shared" si="82"/>
        <v>15</v>
      </c>
      <c r="AG60">
        <f t="shared" ref="AG60:AH60" si="83">INDEX($AD$4:$AF$7, MATCH(AG11,$AD$4:$AD$7,0), 3)</f>
        <v>15</v>
      </c>
      <c r="AH60">
        <f t="shared" si="83"/>
        <v>15</v>
      </c>
      <c r="AI60">
        <f t="shared" ref="AI60:AJ60" si="84">INDEX($AD$4:$AF$7, MATCH(AI11,$AD$4:$AD$7,0), 3)</f>
        <v>15</v>
      </c>
      <c r="AJ60">
        <f t="shared" si="84"/>
        <v>15</v>
      </c>
      <c r="AK60">
        <f>INDEX($AD$4:$AF$7, MATCH(AK11,$AD$4:$AD$7,0), 3)</f>
        <v>15</v>
      </c>
    </row>
    <row r="61" spans="1:37" x14ac:dyDescent="0.2">
      <c r="A61" t="s">
        <v>144</v>
      </c>
      <c r="Q61" t="s">
        <v>200</v>
      </c>
      <c r="R61" t="s">
        <v>199</v>
      </c>
      <c r="S61">
        <f t="shared" ref="S61:AC61" si="85">INDEX($AG$4:$AI$7, MATCH(S12,$AG$4:$AG$7,0), 2)</f>
        <v>850</v>
      </c>
      <c r="T61">
        <f t="shared" si="85"/>
        <v>850</v>
      </c>
      <c r="U61">
        <f t="shared" si="85"/>
        <v>850</v>
      </c>
      <c r="V61">
        <f t="shared" si="85"/>
        <v>850</v>
      </c>
      <c r="W61">
        <f t="shared" si="85"/>
        <v>850</v>
      </c>
      <c r="X61">
        <f t="shared" si="85"/>
        <v>765</v>
      </c>
      <c r="Y61">
        <f t="shared" si="85"/>
        <v>680</v>
      </c>
      <c r="Z61">
        <f t="shared" si="85"/>
        <v>595</v>
      </c>
      <c r="AA61">
        <f t="shared" si="85"/>
        <v>595</v>
      </c>
      <c r="AB61">
        <f t="shared" si="85"/>
        <v>850</v>
      </c>
      <c r="AC61">
        <f t="shared" si="85"/>
        <v>850</v>
      </c>
      <c r="AD61">
        <f t="shared" ref="AD61:AF61" si="86">INDEX($AG$4:$AI$7, MATCH(AD12,$AG$4:$AG$7,0), 2)</f>
        <v>850</v>
      </c>
      <c r="AE61">
        <f t="shared" si="86"/>
        <v>595</v>
      </c>
      <c r="AF61">
        <f t="shared" si="86"/>
        <v>595</v>
      </c>
      <c r="AG61">
        <f t="shared" ref="AG61:AH61" si="87">INDEX($AG$4:$AI$7, MATCH(AG12,$AG$4:$AG$7,0), 2)</f>
        <v>850</v>
      </c>
      <c r="AH61">
        <f t="shared" si="87"/>
        <v>850</v>
      </c>
      <c r="AI61">
        <f t="shared" ref="AI61:AJ61" si="88">INDEX($AG$4:$AI$7, MATCH(AI12,$AG$4:$AG$7,0), 2)</f>
        <v>595</v>
      </c>
      <c r="AJ61">
        <f t="shared" si="88"/>
        <v>595</v>
      </c>
      <c r="AK61">
        <f>INDEX($AG$4:$AI$7, MATCH(AK12,$AG$4:$AG$7,0), 2)</f>
        <v>595</v>
      </c>
    </row>
    <row r="62" spans="1:37" x14ac:dyDescent="0.2">
      <c r="A62">
        <v>0</v>
      </c>
      <c r="B62" s="4">
        <f>B52</f>
        <v>65.002501490990369</v>
      </c>
      <c r="C62" s="4">
        <f>C52</f>
        <v>77.517144561131843</v>
      </c>
      <c r="D62" s="4">
        <f>D52</f>
        <v>125.88777825200532</v>
      </c>
      <c r="Q62" t="s">
        <v>201</v>
      </c>
      <c r="R62" t="s">
        <v>199</v>
      </c>
      <c r="S62">
        <f t="shared" ref="S62:AC62" si="89">INDEX($AG$4:$AI$7, MATCH(S12,$AG$4:$AG$7,0), 3)</f>
        <v>10</v>
      </c>
      <c r="T62">
        <f t="shared" si="89"/>
        <v>10</v>
      </c>
      <c r="U62">
        <f t="shared" si="89"/>
        <v>10</v>
      </c>
      <c r="V62">
        <f t="shared" si="89"/>
        <v>10</v>
      </c>
      <c r="W62">
        <f t="shared" si="89"/>
        <v>10</v>
      </c>
      <c r="X62">
        <f t="shared" si="89"/>
        <v>10</v>
      </c>
      <c r="Y62">
        <f t="shared" si="89"/>
        <v>10</v>
      </c>
      <c r="Z62">
        <f t="shared" si="89"/>
        <v>10</v>
      </c>
      <c r="AA62">
        <f t="shared" si="89"/>
        <v>10</v>
      </c>
      <c r="AB62">
        <f t="shared" si="89"/>
        <v>10</v>
      </c>
      <c r="AC62">
        <f t="shared" si="89"/>
        <v>10</v>
      </c>
      <c r="AD62">
        <f t="shared" ref="AD62:AF62" si="90">INDEX($AG$4:$AI$7, MATCH(AD12,$AG$4:$AG$7,0), 3)</f>
        <v>10</v>
      </c>
      <c r="AE62">
        <f t="shared" si="90"/>
        <v>10</v>
      </c>
      <c r="AF62">
        <f t="shared" si="90"/>
        <v>10</v>
      </c>
      <c r="AG62">
        <f t="shared" ref="AG62:AH62" si="91">INDEX($AG$4:$AI$7, MATCH(AG12,$AG$4:$AG$7,0), 3)</f>
        <v>10</v>
      </c>
      <c r="AH62">
        <f t="shared" si="91"/>
        <v>10</v>
      </c>
      <c r="AI62">
        <f t="shared" ref="AI62:AJ62" si="92">INDEX($AG$4:$AI$7, MATCH(AI12,$AG$4:$AG$7,0), 3)</f>
        <v>10</v>
      </c>
      <c r="AJ62">
        <f t="shared" si="92"/>
        <v>10</v>
      </c>
      <c r="AK62">
        <f>INDEX($AG$4:$AI$7, MATCH(AK12,$AG$4:$AG$7,0), 3)</f>
        <v>10</v>
      </c>
    </row>
    <row r="63" spans="1:37" x14ac:dyDescent="0.2">
      <c r="A63">
        <v>8760</v>
      </c>
      <c r="B63" s="5">
        <f>B62+B54*$A$63/1000</f>
        <v>1177.2962457334145</v>
      </c>
      <c r="C63" s="5">
        <f>C62+C54*$A$63/1000</f>
        <v>821.56369225343963</v>
      </c>
      <c r="D63" s="5">
        <f>D62+D54*$A$63/1000</f>
        <v>407.72663527543091</v>
      </c>
      <c r="Q63" t="s">
        <v>200</v>
      </c>
      <c r="R63" t="s">
        <v>219</v>
      </c>
      <c r="S63">
        <f t="shared" ref="S63:AC63" si="93">INDEX($AJ$4:$AL$7, MATCH(S13,$AJ$4:$AJ$7,0), 2)</f>
        <v>1200</v>
      </c>
      <c r="T63">
        <f t="shared" si="93"/>
        <v>1200</v>
      </c>
      <c r="U63">
        <f t="shared" si="93"/>
        <v>1200</v>
      </c>
      <c r="V63">
        <f t="shared" si="93"/>
        <v>1200</v>
      </c>
      <c r="W63">
        <f t="shared" si="93"/>
        <v>1200</v>
      </c>
      <c r="X63">
        <f t="shared" si="93"/>
        <v>1200</v>
      </c>
      <c r="Y63">
        <f t="shared" si="93"/>
        <v>1200</v>
      </c>
      <c r="Z63">
        <f t="shared" si="93"/>
        <v>1200</v>
      </c>
      <c r="AA63">
        <f t="shared" si="93"/>
        <v>1200</v>
      </c>
      <c r="AB63">
        <f t="shared" si="93"/>
        <v>900</v>
      </c>
      <c r="AC63">
        <f t="shared" si="93"/>
        <v>600</v>
      </c>
      <c r="AD63">
        <f t="shared" ref="AD63:AF63" si="94">INDEX($AJ$4:$AL$7, MATCH(AD13,$AJ$4:$AJ$7,0), 2)</f>
        <v>600</v>
      </c>
      <c r="AE63">
        <f t="shared" si="94"/>
        <v>600</v>
      </c>
      <c r="AF63">
        <f t="shared" si="94"/>
        <v>600</v>
      </c>
      <c r="AG63">
        <f t="shared" ref="AG63:AH63" si="95">INDEX($AJ$4:$AL$7, MATCH(AG13,$AJ$4:$AJ$7,0), 2)</f>
        <v>600</v>
      </c>
      <c r="AH63">
        <f t="shared" si="95"/>
        <v>600</v>
      </c>
      <c r="AI63">
        <f t="shared" ref="AI63:AJ63" si="96">INDEX($AJ$4:$AL$7, MATCH(AI13,$AJ$4:$AJ$7,0), 2)</f>
        <v>600</v>
      </c>
      <c r="AJ63">
        <f t="shared" si="96"/>
        <v>600</v>
      </c>
      <c r="AK63">
        <f>INDEX($AJ$4:$AL$7, MATCH(AK13,$AJ$4:$AJ$7,0), 2)</f>
        <v>1200</v>
      </c>
    </row>
    <row r="64" spans="1:37" x14ac:dyDescent="0.2">
      <c r="A64" t="s">
        <v>145</v>
      </c>
      <c r="B64" s="5">
        <f>B56*$A$63</f>
        <v>297.7029406373756</v>
      </c>
      <c r="C64" s="5">
        <f>C56*$A$63</f>
        <v>916.74534995048884</v>
      </c>
      <c r="D64" s="5">
        <f>D56*$A$63</f>
        <v>0</v>
      </c>
      <c r="Q64" t="s">
        <v>201</v>
      </c>
      <c r="R64" t="s">
        <v>219</v>
      </c>
      <c r="S64">
        <f t="shared" ref="S64:AC64" si="97">INDEX($AJ$4:$AL$7, MATCH(S13,$AJ$4:$AJ$7,0), 3)</f>
        <v>76</v>
      </c>
      <c r="T64">
        <f t="shared" si="97"/>
        <v>76</v>
      </c>
      <c r="U64">
        <f t="shared" si="97"/>
        <v>76</v>
      </c>
      <c r="V64">
        <f t="shared" si="97"/>
        <v>76</v>
      </c>
      <c r="W64">
        <f t="shared" si="97"/>
        <v>76</v>
      </c>
      <c r="X64">
        <f t="shared" si="97"/>
        <v>76</v>
      </c>
      <c r="Y64">
        <f t="shared" si="97"/>
        <v>76</v>
      </c>
      <c r="Z64">
        <f t="shared" si="97"/>
        <v>76</v>
      </c>
      <c r="AA64">
        <f t="shared" si="97"/>
        <v>76</v>
      </c>
      <c r="AB64">
        <f t="shared" si="97"/>
        <v>57</v>
      </c>
      <c r="AC64">
        <f t="shared" si="97"/>
        <v>38</v>
      </c>
      <c r="AD64">
        <f t="shared" ref="AD64:AF64" si="98">INDEX($AJ$4:$AL$7, MATCH(AD13,$AJ$4:$AJ$7,0), 3)</f>
        <v>38</v>
      </c>
      <c r="AE64">
        <f t="shared" si="98"/>
        <v>38</v>
      </c>
      <c r="AF64">
        <f t="shared" si="98"/>
        <v>38</v>
      </c>
      <c r="AG64">
        <f t="shared" ref="AG64:AH64" si="99">INDEX($AJ$4:$AL$7, MATCH(AG13,$AJ$4:$AJ$7,0), 3)</f>
        <v>38</v>
      </c>
      <c r="AH64">
        <f t="shared" si="99"/>
        <v>38</v>
      </c>
      <c r="AI64">
        <f t="shared" ref="AI64:AJ64" si="100">INDEX($AJ$4:$AL$7, MATCH(AI13,$AJ$4:$AJ$7,0), 3)</f>
        <v>38</v>
      </c>
      <c r="AJ64">
        <f t="shared" si="100"/>
        <v>38</v>
      </c>
      <c r="AK64">
        <f>INDEX($AJ$4:$AL$7, MATCH(AK13,$AJ$4:$AJ$7,0), 3)</f>
        <v>76</v>
      </c>
    </row>
    <row r="67" spans="1:5" x14ac:dyDescent="0.2">
      <c r="A67" s="7" t="s">
        <v>420</v>
      </c>
      <c r="D67" t="s">
        <v>497</v>
      </c>
    </row>
    <row r="68" spans="1:5" x14ac:dyDescent="0.2">
      <c r="B68" t="s">
        <v>156</v>
      </c>
      <c r="C68" t="s">
        <v>157</v>
      </c>
      <c r="D68" t="s">
        <v>495</v>
      </c>
      <c r="E68" t="s">
        <v>496</v>
      </c>
    </row>
    <row r="69" spans="1:5" x14ac:dyDescent="0.2">
      <c r="A69" t="s">
        <v>421</v>
      </c>
      <c r="B69">
        <v>1250</v>
      </c>
      <c r="C69">
        <v>850</v>
      </c>
      <c r="D69">
        <v>1100</v>
      </c>
      <c r="E69">
        <v>800</v>
      </c>
    </row>
    <row r="70" spans="1:5" x14ac:dyDescent="0.2">
      <c r="A70" t="s">
        <v>422</v>
      </c>
      <c r="B70">
        <v>15</v>
      </c>
      <c r="C70">
        <v>10</v>
      </c>
      <c r="D70">
        <v>15</v>
      </c>
      <c r="E70">
        <v>10</v>
      </c>
    </row>
    <row r="71" spans="1:5" x14ac:dyDescent="0.2">
      <c r="A71" t="s">
        <v>424</v>
      </c>
      <c r="B71" s="1">
        <v>0.28000000000000003</v>
      </c>
      <c r="C71" s="1">
        <v>0.2</v>
      </c>
      <c r="D71" s="1">
        <v>0.28000000000000003</v>
      </c>
      <c r="E71" s="1">
        <v>0.2</v>
      </c>
    </row>
    <row r="72" spans="1:5" x14ac:dyDescent="0.2">
      <c r="A72" t="s">
        <v>150</v>
      </c>
      <c r="B72" s="4">
        <f>(B69*B51+B70)/(8.76*B71)</f>
        <v>49.846357846474234</v>
      </c>
      <c r="C72" s="4">
        <f>(C69*C51+C70)/(8.76*C71)</f>
        <v>47.339577418701921</v>
      </c>
      <c r="D72" s="4">
        <f>(D69*D51+D70)/(8.76*D71)</f>
        <v>44.598650090807311</v>
      </c>
      <c r="E72" s="4">
        <f>(E69*E51+E70)/(8.76*E71)</f>
        <v>5.7077625570776256</v>
      </c>
    </row>
    <row r="73" spans="1:5" x14ac:dyDescent="0.2">
      <c r="A73" t="s">
        <v>152</v>
      </c>
      <c r="B73" s="4">
        <f>B72*65/1000</f>
        <v>3.2400132600208251</v>
      </c>
      <c r="C73" s="4">
        <f>C72*65/1000</f>
        <v>3.0770725322156252</v>
      </c>
      <c r="D73" s="4">
        <f>D72*65/1000</f>
        <v>2.8989122559024754</v>
      </c>
      <c r="E73" s="4">
        <f>E72*65/1000</f>
        <v>0.37100456621004563</v>
      </c>
    </row>
    <row r="74" spans="1:5" x14ac:dyDescent="0.2">
      <c r="A74" t="s">
        <v>423</v>
      </c>
      <c r="B74">
        <v>2.4300000000000002</v>
      </c>
      <c r="C74">
        <v>2.64</v>
      </c>
      <c r="D74">
        <v>2.4300000000000002</v>
      </c>
      <c r="E74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"/>
  <sheetViews>
    <sheetView workbookViewId="0">
      <selection activeCell="N17" sqref="N17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  <col min="15" max="15" width="18" bestFit="1" customWidth="1"/>
    <col min="16" max="16" width="9.83203125" bestFit="1" customWidth="1"/>
    <col min="17" max="17" width="14.6640625" bestFit="1" customWidth="1"/>
    <col min="18" max="18" width="13.83203125" bestFit="1" customWidth="1"/>
    <col min="19" max="19" width="18.5" bestFit="1" customWidth="1"/>
    <col min="20" max="20" width="14.5" bestFit="1" customWidth="1"/>
  </cols>
  <sheetData>
    <row r="1" spans="1:21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coallcW30lcB50lc</v>
      </c>
      <c r="N1" t="str">
        <f>'Screening curves'!AE9</f>
        <v>coallcS30lcB50lc</v>
      </c>
      <c r="O1" t="str">
        <f>'Screening curves'!AF9</f>
        <v>coallcW30lcS30lcB50lc</v>
      </c>
      <c r="P1" t="str">
        <f>'Screening curves'!AG9</f>
        <v>coalhcB50lc</v>
      </c>
      <c r="Q1" t="str">
        <f>'Screening curves'!AH9</f>
        <v>coalhcW30lcB50lc</v>
      </c>
      <c r="R1" t="str">
        <f>'Screening curves'!AI9</f>
        <v>coalhcS30lcB50lc</v>
      </c>
      <c r="S1" t="str">
        <f>'Screening curves'!AJ9</f>
        <v>coalhcW30lcS30lcB50lc</v>
      </c>
      <c r="T1" t="str">
        <f>'Screening curves'!AK9</f>
        <v>coalhcW30lcS30lc</v>
      </c>
    </row>
    <row r="2" spans="1:21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>
        <f>'Screening curves'!AF34</f>
        <v>3.3984353954038309E-2</v>
      </c>
      <c r="P2" s="2">
        <f>'Screening curves'!AG34</f>
        <v>3.3984353954038309E-2</v>
      </c>
      <c r="Q2" s="2">
        <f>'Screening curves'!AH34</f>
        <v>3.3984353954038309E-2</v>
      </c>
      <c r="R2" s="2">
        <f>'Screening curves'!AI34</f>
        <v>3.3984353954038309E-2</v>
      </c>
      <c r="S2" s="2">
        <f>'Screening curves'!AJ34</f>
        <v>3.3984353954038309E-2</v>
      </c>
      <c r="T2" s="2">
        <f>'Screening curves'!AK34</f>
        <v>3.3984353954038309E-2</v>
      </c>
      <c r="U2" s="2"/>
    </row>
    <row r="3" spans="1:21" x14ac:dyDescent="0.2">
      <c r="A3" t="str">
        <f>'Screening curves'!R35</f>
        <v>gas_ccgt</v>
      </c>
      <c r="B3" s="2">
        <f>'Screening curves'!S35</f>
        <v>0.1046512956564485</v>
      </c>
      <c r="C3" s="2">
        <f>'Screening curves'!T35</f>
        <v>0.18197911855679555</v>
      </c>
      <c r="D3" s="2">
        <f>'Screening curves'!U35</f>
        <v>0.1046512956564485</v>
      </c>
      <c r="E3" s="2">
        <f>'Screening curves'!V35</f>
        <v>0.1046512956564485</v>
      </c>
      <c r="F3" s="2">
        <f>'Screening curves'!W35</f>
        <v>0.1046512956564485</v>
      </c>
      <c r="G3" s="2">
        <f>'Screening curves'!X35</f>
        <v>0.1046512956564485</v>
      </c>
      <c r="H3" s="2">
        <f>'Screening curves'!Y35</f>
        <v>0.1046512956564485</v>
      </c>
      <c r="I3" s="2">
        <f>'Screening curves'!Z35</f>
        <v>0.1046512956564485</v>
      </c>
      <c r="J3" s="2">
        <f>'Screening curves'!AA35</f>
        <v>0.1046512956564485</v>
      </c>
      <c r="K3" s="2">
        <f>'Screening curves'!AB35</f>
        <v>0.1046512956564485</v>
      </c>
      <c r="L3" s="2">
        <f>'Screening curves'!AC35</f>
        <v>0.1046512956564485</v>
      </c>
      <c r="M3" s="2">
        <f>'Screening curves'!AD35</f>
        <v>0.1046512956564485</v>
      </c>
      <c r="N3" s="2">
        <f>'Screening curves'!AE35</f>
        <v>0.1046512956564485</v>
      </c>
      <c r="O3" s="2">
        <f>'Screening curves'!AF35</f>
        <v>0.1046512956564485</v>
      </c>
      <c r="P3" s="2">
        <f>'Screening curves'!AG35</f>
        <v>0.18197911855679555</v>
      </c>
      <c r="Q3" s="2">
        <f>'Screening curves'!AH35</f>
        <v>0.18197911855679555</v>
      </c>
      <c r="R3" s="2">
        <f>'Screening curves'!AI35</f>
        <v>0.18197911855679555</v>
      </c>
      <c r="S3" s="2">
        <f>'Screening curves'!AJ35</f>
        <v>0.18197911855679555</v>
      </c>
      <c r="T3" s="2">
        <f>'Screening curves'!AK35</f>
        <v>0.18197911855679555</v>
      </c>
      <c r="U3" s="2"/>
    </row>
    <row r="4" spans="1:21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>
        <f>'Screening curves'!AF36</f>
        <v>1</v>
      </c>
      <c r="P4" s="5">
        <f>'Screening curves'!AG36</f>
        <v>1</v>
      </c>
      <c r="Q4" s="5">
        <f>'Screening curves'!AH36</f>
        <v>1</v>
      </c>
      <c r="R4" s="5">
        <f>'Screening curves'!AI36</f>
        <v>1</v>
      </c>
      <c r="S4" s="5">
        <f>'Screening curves'!AJ36</f>
        <v>1</v>
      </c>
      <c r="T4" s="5">
        <f>'Screening curves'!AK36</f>
        <v>1</v>
      </c>
      <c r="U4" s="5"/>
    </row>
    <row r="5" spans="1:21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>
        <f>'Screening curves'!AF37</f>
        <v>10</v>
      </c>
      <c r="P5" s="5">
        <f>'Screening curves'!AG37</f>
        <v>10</v>
      </c>
      <c r="Q5" s="5">
        <f>'Screening curves'!AH37</f>
        <v>10</v>
      </c>
      <c r="R5" s="5">
        <f>'Screening curves'!AI37</f>
        <v>10</v>
      </c>
      <c r="S5" s="5">
        <f>'Screening curves'!AJ37</f>
        <v>10</v>
      </c>
      <c r="T5" s="5">
        <f>'Screening curves'!AK37</f>
        <v>10</v>
      </c>
      <c r="U5" s="5"/>
    </row>
    <row r="6" spans="1:21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>
        <f>'Screening curves'!AF38</f>
        <v>678.26769230769241</v>
      </c>
      <c r="P6" s="5">
        <f>'Screening curves'!AG38</f>
        <v>678.26769230769241</v>
      </c>
      <c r="Q6" s="5">
        <f>'Screening curves'!AH38</f>
        <v>678.26769230769241</v>
      </c>
      <c r="R6" s="5">
        <f>'Screening curves'!AI38</f>
        <v>678.26769230769241</v>
      </c>
      <c r="S6" s="5">
        <f>'Screening curves'!AJ38</f>
        <v>678.26769230769241</v>
      </c>
      <c r="T6" s="5">
        <f>'Screening curves'!AK38</f>
        <v>678.26769230769241</v>
      </c>
      <c r="U6" s="5"/>
    </row>
    <row r="7" spans="1:21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>
        <f>'Screening curves'!AF39</f>
        <v>775.16307692307703</v>
      </c>
      <c r="P7" s="5">
        <f>'Screening curves'!AG39</f>
        <v>775.16307692307703</v>
      </c>
      <c r="Q7" s="5">
        <f>'Screening curves'!AH39</f>
        <v>775.16307692307703</v>
      </c>
      <c r="R7" s="5">
        <f>'Screening curves'!AI39</f>
        <v>775.16307692307703</v>
      </c>
      <c r="S7" s="5">
        <f>'Screening curves'!AJ39</f>
        <v>775.16307692307703</v>
      </c>
      <c r="T7" s="5">
        <f>'Screening curves'!AK39</f>
        <v>775.16307692307703</v>
      </c>
      <c r="U7" s="5"/>
    </row>
    <row r="8" spans="1:21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976.42784318082204</v>
      </c>
      <c r="N8" s="5">
        <f>'Screening curves'!AE40</f>
        <v>976.42784318082204</v>
      </c>
      <c r="O8" s="5">
        <f>'Screening curves'!AF40</f>
        <v>976.42784318082204</v>
      </c>
      <c r="P8" s="5">
        <f>'Screening curves'!AG40</f>
        <v>1140</v>
      </c>
      <c r="Q8" s="5">
        <f>'Screening curves'!AH40</f>
        <v>1140</v>
      </c>
      <c r="R8" s="5">
        <f>'Screening curves'!AI40</f>
        <v>1140</v>
      </c>
      <c r="S8" s="5">
        <f>'Screening curves'!AJ40</f>
        <v>1140</v>
      </c>
      <c r="T8" s="5">
        <f>'Screening curves'!AK40</f>
        <v>1140</v>
      </c>
      <c r="U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407.72663527543091</v>
      </c>
      <c r="D7" s="5">
        <f>'Screening curves'!T49</f>
        <v>541.03643826156213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3"/>
  <sheetViews>
    <sheetView workbookViewId="0">
      <selection activeCell="U6" sqref="U6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  <col min="14" max="14" width="14" bestFit="1" customWidth="1"/>
    <col min="15" max="15" width="13.33203125" bestFit="1" customWidth="1"/>
    <col min="16" max="16" width="18" bestFit="1" customWidth="1"/>
    <col min="17" max="17" width="9.83203125" bestFit="1" customWidth="1"/>
    <col min="18" max="18" width="14.6640625" bestFit="1" customWidth="1"/>
    <col min="19" max="19" width="13.83203125" bestFit="1" customWidth="1"/>
    <col min="20" max="20" width="18.5" bestFit="1" customWidth="1"/>
    <col min="21" max="21" width="14.5" bestFit="1" customWidth="1"/>
  </cols>
  <sheetData>
    <row r="1" spans="1:22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coallcW30lcB50lc</v>
      </c>
      <c r="O1" t="str">
        <f>'Screening curves'!AE9</f>
        <v>coallcS30lcB50lc</v>
      </c>
      <c r="P1" t="str">
        <f>'Screening curves'!AF9</f>
        <v>coallcW30lcS30lcB50lc</v>
      </c>
      <c r="Q1" t="str">
        <f>'Screening curves'!AG9</f>
        <v>coalhcB50lc</v>
      </c>
      <c r="R1" t="str">
        <f>'Screening curves'!AH9</f>
        <v>coalhcW30lcB50lc</v>
      </c>
      <c r="S1" t="str">
        <f>'Screening curves'!AI9</f>
        <v>coalhcS30lcB50lc</v>
      </c>
      <c r="T1" t="str">
        <f>'Screening curves'!AJ9</f>
        <v>coalhcW30lcS30lcB50lc</v>
      </c>
      <c r="U1" t="str">
        <f>'Screening curves'!AK9</f>
        <v>coalhcW30lcS30lc</v>
      </c>
    </row>
    <row r="2" spans="1:22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  <c r="P2" s="5">
        <f>'Screening curves'!AF53</f>
        <v>678.26769230769241</v>
      </c>
      <c r="Q2" s="5">
        <f>'Screening curves'!AG53</f>
        <v>678.26769230769241</v>
      </c>
      <c r="R2" s="5">
        <f>'Screening curves'!AH53</f>
        <v>678.26769230769241</v>
      </c>
      <c r="S2" s="5">
        <f>'Screening curves'!AI53</f>
        <v>678.26769230769241</v>
      </c>
      <c r="T2" s="5">
        <f>'Screening curves'!AJ53</f>
        <v>678.26769230769241</v>
      </c>
      <c r="U2" s="5">
        <f>'Screening curves'!AK53</f>
        <v>678.26769230769241</v>
      </c>
      <c r="V2" s="5"/>
    </row>
    <row r="3" spans="1:22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  <c r="P3" s="5">
        <f>'Screening curves'!AF54</f>
        <v>6.8</v>
      </c>
      <c r="Q3" s="5">
        <f>'Screening curves'!AG54</f>
        <v>6.8</v>
      </c>
      <c r="R3" s="5">
        <f>'Screening curves'!AH54</f>
        <v>6.8</v>
      </c>
      <c r="S3" s="5">
        <f>'Screening curves'!AI54</f>
        <v>6.8</v>
      </c>
      <c r="T3" s="5">
        <f>'Screening curves'!AJ54</f>
        <v>6.8</v>
      </c>
      <c r="U3" s="5">
        <f>'Screening curves'!AK54</f>
        <v>6.8</v>
      </c>
      <c r="V3" s="5"/>
    </row>
    <row r="4" spans="1:22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  <c r="P4" s="5">
        <f>'Screening curves'!AF55</f>
        <v>775.16307692307703</v>
      </c>
      <c r="Q4" s="5">
        <f>'Screening curves'!AG55</f>
        <v>775.16307692307703</v>
      </c>
      <c r="R4" s="5">
        <f>'Screening curves'!AH55</f>
        <v>775.16307692307703</v>
      </c>
      <c r="S4" s="5">
        <f>'Screening curves'!AI55</f>
        <v>775.16307692307703</v>
      </c>
      <c r="T4" s="5">
        <f>'Screening curves'!AJ55</f>
        <v>775.16307692307703</v>
      </c>
      <c r="U4" s="5">
        <f>'Screening curves'!AK55</f>
        <v>775.16307692307703</v>
      </c>
      <c r="V4" s="5"/>
    </row>
    <row r="5" spans="1:22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  <c r="P5" s="5">
        <f>'Screening curves'!AF56</f>
        <v>11</v>
      </c>
      <c r="Q5" s="5">
        <f>'Screening curves'!AG56</f>
        <v>11</v>
      </c>
      <c r="R5" s="5">
        <f>'Screening curves'!AH56</f>
        <v>11</v>
      </c>
      <c r="S5" s="5">
        <f>'Screening curves'!AI56</f>
        <v>11</v>
      </c>
      <c r="T5" s="5">
        <f>'Screening curves'!AJ56</f>
        <v>11</v>
      </c>
      <c r="U5" s="5">
        <f>'Screening curves'!AK56</f>
        <v>11</v>
      </c>
      <c r="V5" s="5"/>
    </row>
    <row r="6" spans="1:22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976.42784318082204</v>
      </c>
      <c r="O6" s="5">
        <f>'Screening curves'!AE57</f>
        <v>976.42784318082204</v>
      </c>
      <c r="P6" s="5">
        <f>'Screening curves'!AF57</f>
        <v>976.42784318082204</v>
      </c>
      <c r="Q6" s="5">
        <f>'Screening curves'!AG57</f>
        <v>1140</v>
      </c>
      <c r="R6" s="5">
        <f>'Screening curves'!AH57</f>
        <v>1140</v>
      </c>
      <c r="S6" s="5">
        <f>'Screening curves'!AI57</f>
        <v>1140</v>
      </c>
      <c r="T6" s="5">
        <f>'Screening curves'!AJ57</f>
        <v>1140</v>
      </c>
      <c r="U6" s="5">
        <f>'Screening curves'!AK57</f>
        <v>1140</v>
      </c>
      <c r="V6" s="5"/>
    </row>
    <row r="7" spans="1:22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  <c r="P7" s="5">
        <f>'Screening curves'!AF58</f>
        <v>42.1</v>
      </c>
      <c r="Q7" s="5">
        <f>'Screening curves'!AG58</f>
        <v>42.1</v>
      </c>
      <c r="R7" s="5">
        <f>'Screening curves'!AH58</f>
        <v>42.1</v>
      </c>
      <c r="S7" s="5">
        <f>'Screening curves'!AI58</f>
        <v>42.1</v>
      </c>
      <c r="T7" s="5">
        <f>'Screening curves'!AJ58</f>
        <v>42.1</v>
      </c>
      <c r="U7" s="5">
        <f>'Screening curves'!AK58</f>
        <v>42.1</v>
      </c>
      <c r="V7" s="5"/>
    </row>
    <row r="8" spans="1:22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1250</v>
      </c>
      <c r="D8" s="5">
        <f>'Screening curves'!T59</f>
        <v>1250</v>
      </c>
      <c r="E8" s="5">
        <f>'Screening curves'!U59</f>
        <v>1125</v>
      </c>
      <c r="F8" s="5">
        <f>'Screening curves'!V59</f>
        <v>1000</v>
      </c>
      <c r="G8" s="5">
        <f>'Screening curves'!W59</f>
        <v>875</v>
      </c>
      <c r="H8" s="5">
        <f>'Screening curves'!X59</f>
        <v>1250</v>
      </c>
      <c r="I8" s="5">
        <f>'Screening curves'!Y59</f>
        <v>1250</v>
      </c>
      <c r="J8" s="5">
        <f>'Screening curves'!Z59</f>
        <v>1250</v>
      </c>
      <c r="K8" s="5">
        <f>'Screening curves'!AA59</f>
        <v>875</v>
      </c>
      <c r="L8" s="5">
        <f>'Screening curves'!AB59</f>
        <v>1250</v>
      </c>
      <c r="M8" s="5">
        <f>'Screening curves'!AC59</f>
        <v>1250</v>
      </c>
      <c r="N8" s="5">
        <f>'Screening curves'!AD59</f>
        <v>875</v>
      </c>
      <c r="O8" s="5">
        <f>'Screening curves'!AE59</f>
        <v>1250</v>
      </c>
      <c r="P8" s="5">
        <f>'Screening curves'!AF59</f>
        <v>875</v>
      </c>
      <c r="Q8" s="5">
        <f>'Screening curves'!AG59</f>
        <v>1250</v>
      </c>
      <c r="R8" s="5">
        <f>'Screening curves'!AH59</f>
        <v>875</v>
      </c>
      <c r="S8" s="5">
        <f>'Screening curves'!AI59</f>
        <v>1250</v>
      </c>
      <c r="T8" s="5">
        <f>'Screening curves'!AJ59</f>
        <v>875</v>
      </c>
      <c r="U8" s="5">
        <f>'Screening curves'!AK59</f>
        <v>875</v>
      </c>
      <c r="V8" s="5"/>
    </row>
    <row r="9" spans="1:22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  <c r="P9" s="5">
        <f>'Screening curves'!AF60</f>
        <v>15</v>
      </c>
      <c r="Q9" s="5">
        <f>'Screening curves'!AG60</f>
        <v>15</v>
      </c>
      <c r="R9" s="5">
        <f>'Screening curves'!AH60</f>
        <v>15</v>
      </c>
      <c r="S9" s="5">
        <f>'Screening curves'!AI60</f>
        <v>15</v>
      </c>
      <c r="T9" s="5">
        <f>'Screening curves'!AJ60</f>
        <v>15</v>
      </c>
      <c r="U9" s="5">
        <f>'Screening curves'!AK60</f>
        <v>15</v>
      </c>
      <c r="V9" s="5"/>
    </row>
    <row r="10" spans="1:22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850</v>
      </c>
      <c r="D10" s="5">
        <f>'Screening curves'!T61</f>
        <v>850</v>
      </c>
      <c r="E10" s="5">
        <f>'Screening curves'!U61</f>
        <v>850</v>
      </c>
      <c r="F10" s="5">
        <f>'Screening curves'!V61</f>
        <v>850</v>
      </c>
      <c r="G10" s="5">
        <f>'Screening curves'!W61</f>
        <v>850</v>
      </c>
      <c r="H10" s="5">
        <f>'Screening curves'!X61</f>
        <v>765</v>
      </c>
      <c r="I10" s="5">
        <f>'Screening curves'!Y61</f>
        <v>680</v>
      </c>
      <c r="J10" s="5">
        <f>'Screening curves'!Z61</f>
        <v>595</v>
      </c>
      <c r="K10" s="5">
        <f>'Screening curves'!AA61</f>
        <v>595</v>
      </c>
      <c r="L10" s="5">
        <f>'Screening curves'!AB61</f>
        <v>850</v>
      </c>
      <c r="M10" s="5">
        <f>'Screening curves'!AC61</f>
        <v>850</v>
      </c>
      <c r="N10" s="5">
        <f>'Screening curves'!AD61</f>
        <v>850</v>
      </c>
      <c r="O10" s="5">
        <f>'Screening curves'!AE61</f>
        <v>595</v>
      </c>
      <c r="P10" s="5">
        <f>'Screening curves'!AF61</f>
        <v>595</v>
      </c>
      <c r="Q10" s="5">
        <f>'Screening curves'!AG61</f>
        <v>850</v>
      </c>
      <c r="R10" s="5">
        <f>'Screening curves'!AH61</f>
        <v>850</v>
      </c>
      <c r="S10" s="5">
        <f>'Screening curves'!AI61</f>
        <v>595</v>
      </c>
      <c r="T10" s="5">
        <f>'Screening curves'!AJ61</f>
        <v>595</v>
      </c>
      <c r="U10" s="5">
        <f>'Screening curves'!AK61</f>
        <v>595</v>
      </c>
      <c r="V10" s="5"/>
    </row>
    <row r="11" spans="1:22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  <c r="P11" s="5">
        <f>'Screening curves'!AF62</f>
        <v>10</v>
      </c>
      <c r="Q11" s="5">
        <f>'Screening curves'!AG62</f>
        <v>10</v>
      </c>
      <c r="R11" s="5">
        <f>'Screening curves'!AH62</f>
        <v>10</v>
      </c>
      <c r="S11" s="5">
        <f>'Screening curves'!AI62</f>
        <v>10</v>
      </c>
      <c r="T11" s="5">
        <f>'Screening curves'!AJ62</f>
        <v>10</v>
      </c>
      <c r="U11" s="5">
        <f>'Screening curves'!AK62</f>
        <v>10</v>
      </c>
      <c r="V11" s="5"/>
    </row>
    <row r="12" spans="1:22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600</v>
      </c>
      <c r="O12" s="5">
        <f>'Screening curves'!AE63</f>
        <v>600</v>
      </c>
      <c r="P12" s="5">
        <f>'Screening curves'!AF63</f>
        <v>600</v>
      </c>
      <c r="Q12" s="5">
        <f>'Screening curves'!AG63</f>
        <v>600</v>
      </c>
      <c r="R12" s="5">
        <f>'Screening curves'!AH63</f>
        <v>600</v>
      </c>
      <c r="S12" s="5">
        <f>'Screening curves'!AI63</f>
        <v>600</v>
      </c>
      <c r="T12" s="5">
        <f>'Screening curves'!AJ63</f>
        <v>600</v>
      </c>
      <c r="U12" s="5">
        <f>'Screening curves'!AK63</f>
        <v>1200</v>
      </c>
      <c r="V12" s="5"/>
    </row>
    <row r="13" spans="1:22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38</v>
      </c>
      <c r="O13" s="5">
        <f>'Screening curves'!AE64</f>
        <v>38</v>
      </c>
      <c r="P13" s="5">
        <f>'Screening curves'!AF64</f>
        <v>38</v>
      </c>
      <c r="Q13" s="5">
        <f>'Screening curves'!AG64</f>
        <v>38</v>
      </c>
      <c r="R13" s="5">
        <f>'Screening curves'!AH64</f>
        <v>38</v>
      </c>
      <c r="S13" s="5">
        <f>'Screening curves'!AI64</f>
        <v>38</v>
      </c>
      <c r="T13" s="5">
        <f>'Screening curves'!AJ64</f>
        <v>38</v>
      </c>
      <c r="U13" s="5">
        <f>'Screening curves'!AK64</f>
        <v>76</v>
      </c>
      <c r="V13" s="5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52"/>
  <sheetViews>
    <sheetView topLeftCell="A13" workbookViewId="0">
      <selection activeCell="C43" sqref="C43"/>
    </sheetView>
  </sheetViews>
  <sheetFormatPr baseColWidth="10" defaultColWidth="10.83203125" defaultRowHeight="16" x14ac:dyDescent="0.2"/>
  <cols>
    <col min="1" max="1" width="24" style="23" bestFit="1" customWidth="1"/>
    <col min="2" max="2" width="23.6640625" style="23" bestFit="1" customWidth="1"/>
    <col min="3" max="16" width="10.83203125" style="23"/>
    <col min="17" max="17" width="18.33203125" style="23" bestFit="1" customWidth="1"/>
    <col min="18" max="18" width="35.5" style="23" customWidth="1"/>
    <col min="19" max="19" width="32.5" style="23" bestFit="1" customWidth="1"/>
    <col min="20" max="16384" width="10.83203125" style="23"/>
  </cols>
  <sheetData>
    <row r="2" spans="1:19" x14ac:dyDescent="0.2">
      <c r="B2" s="24">
        <v>0.05</v>
      </c>
      <c r="C2" s="23">
        <v>850</v>
      </c>
      <c r="D2" s="25">
        <f t="shared" ref="D2:E4" si="0">C2*(1-$B2)</f>
        <v>807.5</v>
      </c>
      <c r="E2" s="25">
        <f t="shared" si="0"/>
        <v>767.125</v>
      </c>
      <c r="F2" s="25">
        <f t="shared" ref="F2:P4" si="1">E2*(1-$B2)</f>
        <v>728.76874999999995</v>
      </c>
      <c r="G2" s="25">
        <f t="shared" si="1"/>
        <v>692.33031249999988</v>
      </c>
      <c r="H2" s="25">
        <f t="shared" si="1"/>
        <v>657.71379687499984</v>
      </c>
      <c r="I2" s="25">
        <f t="shared" si="1"/>
        <v>624.82810703124983</v>
      </c>
      <c r="J2" s="25">
        <f t="shared" si="1"/>
        <v>593.58670167968728</v>
      </c>
      <c r="K2" s="25">
        <f t="shared" si="1"/>
        <v>563.90736659570291</v>
      </c>
      <c r="L2" s="25">
        <f t="shared" si="1"/>
        <v>535.71199826591771</v>
      </c>
      <c r="M2" s="25">
        <f t="shared" si="1"/>
        <v>508.92639835262179</v>
      </c>
      <c r="N2" s="25">
        <f t="shared" si="1"/>
        <v>483.48007843499067</v>
      </c>
      <c r="O2" s="25">
        <f t="shared" si="1"/>
        <v>459.30607451324113</v>
      </c>
      <c r="P2" s="25">
        <f t="shared" si="1"/>
        <v>436.34077078757906</v>
      </c>
    </row>
    <row r="3" spans="1:19" x14ac:dyDescent="0.2">
      <c r="A3" s="23" t="s">
        <v>486</v>
      </c>
      <c r="B3" s="24">
        <v>0.03</v>
      </c>
      <c r="C3" s="23">
        <v>850</v>
      </c>
      <c r="D3" s="25">
        <f t="shared" si="0"/>
        <v>824.5</v>
      </c>
      <c r="E3" s="25">
        <f t="shared" si="0"/>
        <v>799.76499999999999</v>
      </c>
      <c r="F3" s="25">
        <f t="shared" si="1"/>
        <v>775.77204999999992</v>
      </c>
      <c r="G3" s="25">
        <f t="shared" si="1"/>
        <v>752.49888849999991</v>
      </c>
      <c r="H3" s="25">
        <f t="shared" si="1"/>
        <v>729.92392184499988</v>
      </c>
      <c r="I3" s="25">
        <f t="shared" si="1"/>
        <v>708.02620418964989</v>
      </c>
      <c r="J3" s="25">
        <f t="shared" si="1"/>
        <v>686.78541806396038</v>
      </c>
      <c r="K3" s="25">
        <f t="shared" si="1"/>
        <v>666.18185552204159</v>
      </c>
      <c r="L3" s="25">
        <f t="shared" si="1"/>
        <v>646.19639985638037</v>
      </c>
      <c r="M3" s="25">
        <f t="shared" si="1"/>
        <v>626.81050786068897</v>
      </c>
      <c r="N3" s="25">
        <f t="shared" si="1"/>
        <v>608.00619262486828</v>
      </c>
      <c r="O3" s="25">
        <f t="shared" si="1"/>
        <v>589.7660068461222</v>
      </c>
      <c r="P3" s="25">
        <f t="shared" si="1"/>
        <v>572.07302664073848</v>
      </c>
    </row>
    <row r="4" spans="1:19" x14ac:dyDescent="0.2">
      <c r="A4" s="23" t="s">
        <v>320</v>
      </c>
      <c r="B4" s="24">
        <v>0</v>
      </c>
      <c r="C4" s="23">
        <v>850</v>
      </c>
      <c r="D4" s="25">
        <f t="shared" si="0"/>
        <v>850</v>
      </c>
      <c r="E4" s="25">
        <f t="shared" si="0"/>
        <v>850</v>
      </c>
      <c r="F4" s="25">
        <f t="shared" si="1"/>
        <v>850</v>
      </c>
      <c r="G4" s="25">
        <f t="shared" si="1"/>
        <v>850</v>
      </c>
      <c r="H4" s="25">
        <f t="shared" si="1"/>
        <v>850</v>
      </c>
      <c r="I4" s="25">
        <f t="shared" si="1"/>
        <v>850</v>
      </c>
      <c r="J4" s="25">
        <f t="shared" si="1"/>
        <v>850</v>
      </c>
      <c r="K4" s="25">
        <f t="shared" si="1"/>
        <v>850</v>
      </c>
      <c r="L4" s="25">
        <f t="shared" si="1"/>
        <v>850</v>
      </c>
      <c r="M4" s="25">
        <f t="shared" si="1"/>
        <v>850</v>
      </c>
      <c r="N4" s="25">
        <f t="shared" si="1"/>
        <v>850</v>
      </c>
      <c r="O4" s="25">
        <f t="shared" si="1"/>
        <v>850</v>
      </c>
      <c r="P4" s="25">
        <f t="shared" si="1"/>
        <v>850</v>
      </c>
    </row>
    <row r="5" spans="1:19" x14ac:dyDescent="0.2">
      <c r="A5" s="23" t="s">
        <v>487</v>
      </c>
      <c r="B5" s="23" t="s">
        <v>488</v>
      </c>
      <c r="C5" s="23">
        <v>2017</v>
      </c>
      <c r="D5" s="23">
        <v>2018</v>
      </c>
      <c r="E5" s="23">
        <v>2019</v>
      </c>
      <c r="F5" s="23">
        <v>2020</v>
      </c>
      <c r="G5" s="23">
        <v>2021</v>
      </c>
      <c r="H5" s="23">
        <v>2022</v>
      </c>
      <c r="I5" s="23">
        <v>2023</v>
      </c>
      <c r="J5" s="23">
        <v>2024</v>
      </c>
      <c r="K5" s="23">
        <v>2025</v>
      </c>
      <c r="L5" s="23">
        <v>2026</v>
      </c>
      <c r="M5" s="23">
        <v>2027</v>
      </c>
      <c r="N5" s="23">
        <v>2028</v>
      </c>
      <c r="O5" s="23">
        <v>2029</v>
      </c>
      <c r="P5" s="23">
        <v>2030</v>
      </c>
      <c r="Q5" s="23" t="s">
        <v>489</v>
      </c>
      <c r="R5" s="23" t="str">
        <f>CONCATENATE("Weighted_cost_solarPV_USDpkW_",B3*100, "pc")</f>
        <v>Weighted_cost_solarPV_USDpkW_3pc</v>
      </c>
      <c r="S5" s="23" t="str">
        <f>CONCATENATE("Weighted_cost_solarPV_USDpkW_",B2*100, "pc")</f>
        <v>Weighted_cost_solarPV_USDpkW_5pc</v>
      </c>
    </row>
    <row r="6" spans="1:19" x14ac:dyDescent="0.2">
      <c r="A6" s="23">
        <v>0</v>
      </c>
      <c r="B6" s="24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5">
        <f>SUM(C6:P6)</f>
        <v>0</v>
      </c>
      <c r="R6" s="23">
        <f>C3</f>
        <v>850</v>
      </c>
      <c r="S6" s="23">
        <f>C2</f>
        <v>850</v>
      </c>
    </row>
    <row r="7" spans="1:19" x14ac:dyDescent="0.2">
      <c r="A7" s="23">
        <v>50</v>
      </c>
      <c r="B7" s="26">
        <f>((A7/C7)^(1/($P$5-$C$5))-1)</f>
        <v>0.11603048646067049</v>
      </c>
      <c r="C7" s="23">
        <v>12</v>
      </c>
      <c r="D7" s="25">
        <f>SUM(C7:$C7)*($B7)</f>
        <v>1.3923658375280459</v>
      </c>
      <c r="E7" s="25">
        <f>SUM($C7:D7)*($B7)</f>
        <v>1.553922722987644</v>
      </c>
      <c r="F7" s="25">
        <f>SUM($C7:E7)*($B7)</f>
        <v>1.7342251324581899</v>
      </c>
      <c r="G7" s="25">
        <f>SUM($C7:F7)*($B7)</f>
        <v>1.9354481182096344</v>
      </c>
      <c r="H7" s="25">
        <f>SUM($C7:G7)*($B7)</f>
        <v>2.1600191048848876</v>
      </c>
      <c r="I7" s="25">
        <f>SUM($C7:H7)*($B7)</f>
        <v>2.410647172389023</v>
      </c>
      <c r="J7" s="25">
        <f>SUM($C7:I7)*($B7)</f>
        <v>2.6903557364863615</v>
      </c>
      <c r="K7" s="25">
        <f>SUM($C7:J7)*($B7)</f>
        <v>3.002519021343129</v>
      </c>
      <c r="L7" s="25">
        <f>SUM($C7:K7)*($B7)</f>
        <v>3.3509027639969888</v>
      </c>
      <c r="M7" s="25">
        <f>SUM($C7:L7)*($B7)</f>
        <v>3.7397096417859648</v>
      </c>
      <c r="N7" s="25">
        <f>SUM($C7:M7)*($B7)</f>
        <v>4.1736299707440496</v>
      </c>
      <c r="O7" s="25">
        <f>SUM($C7:N7)*($B7)</f>
        <v>4.6578982865563159</v>
      </c>
      <c r="P7" s="25">
        <f>SUM($C7:O7)*($B7)</f>
        <v>5.1983564906297692</v>
      </c>
      <c r="Q7" s="25">
        <f>SUM(C7:P7)</f>
        <v>50.000000000000007</v>
      </c>
      <c r="R7" s="25">
        <f>SUMPRODUCT($C$3:$P$3,C7:P7)/SUM(C7:P7)</f>
        <v>705.83738845999585</v>
      </c>
      <c r="S7" s="25">
        <f>SUMPRODUCT($C$2:$P$2,C7:P7)/SUM(C7:P7)</f>
        <v>629.22203798974965</v>
      </c>
    </row>
    <row r="8" spans="1:19" x14ac:dyDescent="0.2">
      <c r="A8" s="23">
        <v>75</v>
      </c>
      <c r="B8" s="26">
        <f t="shared" ref="B8:B16" si="2">((A8/C8)^(1/($P$5-$C$5))-1)</f>
        <v>0.15138757835407213</v>
      </c>
      <c r="C8" s="23">
        <v>12</v>
      </c>
      <c r="D8" s="25">
        <f>SUM(C8:$C8)*($B8)</f>
        <v>1.8166509402488655</v>
      </c>
      <c r="E8" s="25">
        <f>SUM($C8:D8)*($B8)</f>
        <v>2.0916693268077897</v>
      </c>
      <c r="F8" s="25">
        <f>SUM($C8:E8)*($B8)</f>
        <v>2.4083220809107133</v>
      </c>
      <c r="G8" s="25">
        <f>SUM($C8:F8)*($B8)</f>
        <v>2.7729121286364258</v>
      </c>
      <c r="H8" s="25">
        <f>SUM($C8:G8)*($B8)</f>
        <v>3.1926965807793297</v>
      </c>
      <c r="I8" s="25">
        <f>SUM($C8:H8)*($B8)</f>
        <v>3.6760311845628384</v>
      </c>
      <c r="J8" s="25">
        <f>SUM($C8:I8)*($B8)</f>
        <v>4.2325366435478573</v>
      </c>
      <c r="K8" s="25">
        <f>SUM($C8:J8)*($B8)</f>
        <v>4.8732901163094402</v>
      </c>
      <c r="L8" s="25">
        <f>SUM($C8:K8)*($B8)</f>
        <v>5.6110457056343614</v>
      </c>
      <c r="M8" s="25">
        <f>SUM($C8:L8)*($B8)</f>
        <v>6.4604883270443629</v>
      </c>
      <c r="N8" s="25">
        <f>SUM($C8:M8)*($B8)</f>
        <v>7.4385260098603601</v>
      </c>
      <c r="O8" s="25">
        <f>SUM($C8:N8)*($B8)</f>
        <v>8.5646264490168988</v>
      </c>
      <c r="P8" s="25">
        <f>SUM($C8:O8)*($B8)</f>
        <v>9.8612045066408047</v>
      </c>
      <c r="Q8" s="25">
        <f t="shared" ref="Q8:Q16" si="3">SUM(C8:P8)</f>
        <v>75.000000000000057</v>
      </c>
      <c r="R8" s="25">
        <f t="shared" ref="R8:R15" si="4">SUMPRODUCT($C$3:$P$3,C8:P8)/SUM(C8:P8)</f>
        <v>684.03403758613194</v>
      </c>
      <c r="S8" s="25">
        <f t="shared" ref="S8:S16" si="5">SUMPRODUCT($C$2:$P$2,C8:P8)/SUM(C8:P8)</f>
        <v>596.40607399736996</v>
      </c>
    </row>
    <row r="9" spans="1:19" x14ac:dyDescent="0.2">
      <c r="A9" s="23">
        <v>100</v>
      </c>
      <c r="B9" s="26">
        <f t="shared" si="2"/>
        <v>0.17715109743802482</v>
      </c>
      <c r="C9" s="23">
        <v>12</v>
      </c>
      <c r="D9" s="25">
        <f>SUM(C9:$C9)*($B9)</f>
        <v>2.1258131692562978</v>
      </c>
      <c r="E9" s="25">
        <f>SUM($C9:D9)*($B9)</f>
        <v>2.5024033051382566</v>
      </c>
      <c r="F9" s="25">
        <f>SUM($C9:E9)*($B9)</f>
        <v>2.9457067968760389</v>
      </c>
      <c r="G9" s="25">
        <f>SUM($C9:F9)*($B9)</f>
        <v>3.4675419886732777</v>
      </c>
      <c r="H9" s="25">
        <f>SUM($C9:G9)*($B9)</f>
        <v>4.0818208573791805</v>
      </c>
      <c r="I9" s="25">
        <f>SUM($C9:H9)*($B9)</f>
        <v>4.8049199018093214</v>
      </c>
      <c r="J9" s="25">
        <f>SUM($C9:I9)*($B9)</f>
        <v>5.6561167355166493</v>
      </c>
      <c r="K9" s="25">
        <f>SUM($C9:J9)*($B9)</f>
        <v>6.6581040224510026</v>
      </c>
      <c r="L9" s="25">
        <f>SUM($C9:K9)*($B9)</f>
        <v>7.837594456884724</v>
      </c>
      <c r="M9" s="25">
        <f>SUM($C9:L9)*($B9)</f>
        <v>9.2260329161960328</v>
      </c>
      <c r="N9" s="25">
        <f>SUM($C9:M9)*($B9)</f>
        <v>10.8604347722995</v>
      </c>
      <c r="O9" s="25">
        <f>SUM($C9:N9)*($B9)</f>
        <v>12.784372710866444</v>
      </c>
      <c r="P9" s="25">
        <f>SUM($C9:O9)*($B9)</f>
        <v>15.049138366653171</v>
      </c>
      <c r="Q9" s="25">
        <f t="shared" si="3"/>
        <v>99.999999999999901</v>
      </c>
      <c r="R9" s="25">
        <f t="shared" si="4"/>
        <v>671.49866379893615</v>
      </c>
      <c r="S9" s="25">
        <f t="shared" si="5"/>
        <v>577.65903868909618</v>
      </c>
    </row>
    <row r="10" spans="1:19" x14ac:dyDescent="0.2">
      <c r="A10" s="23">
        <v>150</v>
      </c>
      <c r="B10" s="26">
        <f t="shared" si="2"/>
        <v>0.21444455853022926</v>
      </c>
      <c r="C10" s="23">
        <v>12</v>
      </c>
      <c r="D10" s="25">
        <f>SUM(C10:$C10)*($B10)</f>
        <v>2.5733347023627511</v>
      </c>
      <c r="E10" s="25">
        <f>SUM($C10:D10)*($B10)</f>
        <v>3.1251723265614499</v>
      </c>
      <c r="F10" s="25">
        <f>SUM($C10:E10)*($B10)</f>
        <v>3.7953485264618099</v>
      </c>
      <c r="G10" s="25">
        <f>SUM($C10:F10)*($B10)</f>
        <v>4.6092403656872687</v>
      </c>
      <c r="H10" s="25">
        <f>SUM($C10:G10)*($B10)</f>
        <v>5.5976668810667887</v>
      </c>
      <c r="I10" s="25">
        <f>SUM($C10:H10)*($B10)</f>
        <v>6.7980560841764408</v>
      </c>
      <c r="J10" s="25">
        <f>SUM($C10:I10)*($B10)</f>
        <v>8.2558622200113962</v>
      </c>
      <c r="K10" s="25">
        <f>SUM($C10:J10)*($B10)</f>
        <v>10.026286949068139</v>
      </c>
      <c r="L10" s="25">
        <f>SUM($C10:K10)*($B10)</f>
        <v>12.176369627558454</v>
      </c>
      <c r="M10" s="25">
        <f>SUM($C10:L10)*($B10)</f>
        <v>14.78752583684112</v>
      </c>
      <c r="N10" s="25">
        <f>SUM($C10:M10)*($B10)</f>
        <v>17.958630286676872</v>
      </c>
      <c r="O10" s="25">
        <f>SUM($C10:N10)*($B10)</f>
        <v>21.8097608303109</v>
      </c>
      <c r="P10" s="25">
        <f>SUM($C10:O10)*($B10)</f>
        <v>26.486745363216805</v>
      </c>
      <c r="Q10" s="25">
        <f t="shared" si="3"/>
        <v>150.0000000000002</v>
      </c>
      <c r="R10" s="25">
        <f t="shared" si="4"/>
        <v>657.02379911728303</v>
      </c>
      <c r="S10" s="25">
        <f t="shared" si="5"/>
        <v>556.14794822919907</v>
      </c>
    </row>
    <row r="11" spans="1:19" x14ac:dyDescent="0.2">
      <c r="A11" s="23">
        <v>200</v>
      </c>
      <c r="B11" s="26">
        <f t="shared" si="2"/>
        <v>0.24161904447077021</v>
      </c>
      <c r="C11" s="23">
        <v>12</v>
      </c>
      <c r="D11" s="25">
        <f>SUM(C11:$C11)*($B11)</f>
        <v>2.8994285336492425</v>
      </c>
      <c r="E11" s="25">
        <f>SUM($C11:D11)*($B11)</f>
        <v>3.599985685460859</v>
      </c>
      <c r="F11" s="25">
        <f>SUM($C11:E11)*($B11)</f>
        <v>4.4698107868903625</v>
      </c>
      <c r="G11" s="25">
        <f>SUM($C11:F11)*($B11)</f>
        <v>5.5498021981839534</v>
      </c>
      <c r="H11" s="25">
        <f>SUM($C11:G11)*($B11)</f>
        <v>6.8907401023109403</v>
      </c>
      <c r="I11" s="25">
        <f>SUM($C11:H11)*($B11)</f>
        <v>8.555674141527728</v>
      </c>
      <c r="J11" s="25">
        <f>SUM($C11:I11)*($B11)</f>
        <v>10.622887952406934</v>
      </c>
      <c r="K11" s="25">
        <f>SUM($C11:J11)*($B11)</f>
        <v>13.189579988987553</v>
      </c>
      <c r="L11" s="25">
        <f>SUM($C11:K11)*($B11)</f>
        <v>16.376433702897518</v>
      </c>
      <c r="M11" s="25">
        <f>SUM($C11:L11)*($B11)</f>
        <v>20.333291966030533</v>
      </c>
      <c r="N11" s="25">
        <f>SUM($C11:M11)*($B11)</f>
        <v>25.246202541808017</v>
      </c>
      <c r="O11" s="25">
        <f>SUM($C11:N11)*($B11)</f>
        <v>31.346165876475201</v>
      </c>
      <c r="P11" s="25">
        <f>SUM($C11:O11)*($B11)</f>
        <v>38.919996523371402</v>
      </c>
      <c r="Q11" s="25">
        <f t="shared" si="3"/>
        <v>200.00000000000023</v>
      </c>
      <c r="R11" s="25">
        <f t="shared" si="4"/>
        <v>648.56250459370142</v>
      </c>
      <c r="S11" s="25">
        <f t="shared" si="5"/>
        <v>543.65525930763886</v>
      </c>
    </row>
    <row r="12" spans="1:19" x14ac:dyDescent="0.2">
      <c r="A12" s="23">
        <v>225</v>
      </c>
      <c r="B12" s="26">
        <f t="shared" si="2"/>
        <v>0.25291951810912949</v>
      </c>
      <c r="C12" s="23">
        <v>12</v>
      </c>
      <c r="D12" s="25">
        <f>SUM(C12:$C12)*($B12)</f>
        <v>3.0350342173095539</v>
      </c>
      <c r="E12" s="25">
        <f>SUM($C12:D12)*($B12)</f>
        <v>3.8026536089962053</v>
      </c>
      <c r="F12" s="25">
        <f>SUM($C12:E12)*($B12)</f>
        <v>4.7644189273194684</v>
      </c>
      <c r="G12" s="25">
        <f>SUM($C12:F12)*($B12)</f>
        <v>5.969433466487124</v>
      </c>
      <c r="H12" s="25">
        <f>SUM($C12:G12)*($B12)</f>
        <v>7.4792197022155573</v>
      </c>
      <c r="I12" s="25">
        <f>SUM($C12:H12)*($B12)</f>
        <v>9.3708603451322237</v>
      </c>
      <c r="J12" s="25">
        <f>SUM($C12:I12)*($B12)</f>
        <v>11.740933827891016</v>
      </c>
      <c r="K12" s="25">
        <f>SUM($C12:J12)*($B12)</f>
        <v>14.71044515379239</v>
      </c>
      <c r="L12" s="25">
        <f>SUM($C12:K12)*($B12)</f>
        <v>18.431003853260343</v>
      </c>
      <c r="M12" s="25">
        <f>SUM($C12:L12)*($B12)</f>
        <v>23.092564466094458</v>
      </c>
      <c r="N12" s="25">
        <f>SUM($C12:M12)*($B12)</f>
        <v>28.933124742763077</v>
      </c>
      <c r="O12" s="25">
        <f>SUM($C12:N12)*($B12)</f>
        <v>36.25087671009404</v>
      </c>
      <c r="P12" s="25">
        <f>SUM($C12:O12)*($B12)</f>
        <v>45.419430978644492</v>
      </c>
      <c r="Q12" s="25">
        <f t="shared" si="3"/>
        <v>224.99999999999997</v>
      </c>
      <c r="R12" s="25">
        <f t="shared" si="4"/>
        <v>645.45829101340325</v>
      </c>
      <c r="S12" s="25">
        <f t="shared" si="5"/>
        <v>539.08953788513566</v>
      </c>
    </row>
    <row r="13" spans="1:19" x14ac:dyDescent="0.2">
      <c r="A13" s="23">
        <v>300</v>
      </c>
      <c r="B13" s="26">
        <f t="shared" si="2"/>
        <v>0.28095492210541528</v>
      </c>
      <c r="C13" s="23">
        <v>12</v>
      </c>
      <c r="D13" s="25">
        <f>SUM(C13:$C13)*($B13)</f>
        <v>3.3714590652649834</v>
      </c>
      <c r="E13" s="25">
        <f>SUM($C13:D13)*($B13)</f>
        <v>4.3186870843281024</v>
      </c>
      <c r="F13" s="25">
        <f>SUM($C13:E13)*($B13)</f>
        <v>5.5320434777031675</v>
      </c>
      <c r="G13" s="25">
        <f>SUM($C13:F13)*($B13)</f>
        <v>7.0862983220650317</v>
      </c>
      <c r="H13" s="25">
        <f>SUM($C13:G13)*($B13)</f>
        <v>9.0772287151565489</v>
      </c>
      <c r="I13" s="25">
        <f>SUM($C13:H13)*($B13)</f>
        <v>11.627520801756397</v>
      </c>
      <c r="J13" s="25">
        <f>SUM($C13:I13)*($B13)</f>
        <v>14.894330002892961</v>
      </c>
      <c r="K13" s="25">
        <f>SUM($C13:J13)*($B13)</f>
        <v>19.078965328668101</v>
      </c>
      <c r="L13" s="25">
        <f>SUM($C13:K13)*($B13)</f>
        <v>24.439294546435967</v>
      </c>
      <c r="M13" s="25">
        <f>SUM($C13:L13)*($B13)</f>
        <v>31.305634642041184</v>
      </c>
      <c r="N13" s="25">
        <f>SUM($C13:M13)*($B13)</f>
        <v>40.101106784356453</v>
      </c>
      <c r="O13" s="25">
        <f>SUM($C13:N13)*($B13)</f>
        <v>51.367710117296262</v>
      </c>
      <c r="P13" s="25">
        <f>SUM($C13:O13)*($B13)</f>
        <v>65.799721112034788</v>
      </c>
      <c r="Q13" s="25">
        <f t="shared" si="3"/>
        <v>299.99999999999994</v>
      </c>
      <c r="R13" s="25">
        <f t="shared" si="4"/>
        <v>638.63155039798903</v>
      </c>
      <c r="S13" s="25">
        <f t="shared" si="5"/>
        <v>529.08569011364864</v>
      </c>
    </row>
    <row r="14" spans="1:19" x14ac:dyDescent="0.2">
      <c r="A14" s="23">
        <v>400</v>
      </c>
      <c r="B14" s="26">
        <f t="shared" si="2"/>
        <v>0.3096176480213253</v>
      </c>
      <c r="C14" s="23">
        <v>12</v>
      </c>
      <c r="D14" s="25">
        <f>SUM(C14:$C14)*($B14)</f>
        <v>3.7154117762559036</v>
      </c>
      <c r="E14" s="25">
        <f>SUM($C14:D14)*($B14)</f>
        <v>4.8657688318509908</v>
      </c>
      <c r="F14" s="25">
        <f>SUM($C14:E14)*($B14)</f>
        <v>6.3722967333841662</v>
      </c>
      <c r="G14" s="25">
        <f>SUM($C14:F14)*($B14)</f>
        <v>8.3452722604685459</v>
      </c>
      <c r="H14" s="25">
        <f>SUM($C14:G14)*($B14)</f>
        <v>10.929115829852426</v>
      </c>
      <c r="I14" s="25">
        <f>SUM($C14:H14)*($B14)</f>
        <v>14.312962968043969</v>
      </c>
      <c r="J14" s="25">
        <f>SUM($C14:I14)*($B14)</f>
        <v>18.744508898426069</v>
      </c>
      <c r="K14" s="25">
        <f>SUM($C14:J14)*($B14)</f>
        <v>24.548139656871552</v>
      </c>
      <c r="L14" s="25">
        <f>SUM($C14:K14)*($B14)</f>
        <v>32.148676920731148</v>
      </c>
      <c r="M14" s="25">
        <f>SUM($C14:L14)*($B14)</f>
        <v>42.102474655925384</v>
      </c>
      <c r="N14" s="25">
        <f>SUM($C14:M14)*($B14)</f>
        <v>55.13814383477046</v>
      </c>
      <c r="O14" s="25">
        <f>SUM($C14:N14)*($B14)</f>
        <v>72.209886245153626</v>
      </c>
      <c r="P14" s="25">
        <f>SUM($C14:O14)*($B14)</f>
        <v>94.567341388265547</v>
      </c>
      <c r="Q14" s="25">
        <f t="shared" si="3"/>
        <v>399.99999999999983</v>
      </c>
      <c r="R14" s="25">
        <f t="shared" si="4"/>
        <v>632.72942534951483</v>
      </c>
      <c r="S14" s="25">
        <f t="shared" si="5"/>
        <v>520.48229075565689</v>
      </c>
    </row>
    <row r="15" spans="1:19" x14ac:dyDescent="0.2">
      <c r="A15" s="23">
        <v>450</v>
      </c>
      <c r="B15" s="26">
        <f t="shared" si="2"/>
        <v>0.32153700426324217</v>
      </c>
      <c r="C15" s="23">
        <v>12</v>
      </c>
      <c r="D15" s="25">
        <f>SUM(C15:$C15)*($B15)</f>
        <v>3.858444051158906</v>
      </c>
      <c r="E15" s="25">
        <f>SUM($C15:D15)*($B15)</f>
        <v>5.0990765924858685</v>
      </c>
      <c r="F15" s="25">
        <f>SUM($C15:E15)*($B15)</f>
        <v>6.7386184045425956</v>
      </c>
      <c r="G15" s="25">
        <f>SUM($C15:F15)*($B15)</f>
        <v>8.9053335792123693</v>
      </c>
      <c r="H15" s="25">
        <f>SUM($C15:G15)*($B15)</f>
        <v>11.768727860237171</v>
      </c>
      <c r="I15" s="25">
        <f>SUM($C15:H15)*($B15)</f>
        <v>15.552809360407187</v>
      </c>
      <c r="J15" s="25">
        <f>SUM($C15:I15)*($B15)</f>
        <v>20.553613090029824</v>
      </c>
      <c r="K15" s="25">
        <f>SUM($C15:J15)*($B15)</f>
        <v>27.162360269783775</v>
      </c>
      <c r="L15" s="25">
        <f>SUM($C15:K15)*($B15)</f>
        <v>35.896064219648956</v>
      </c>
      <c r="M15" s="25">
        <f>SUM($C15:L15)*($B15)</f>
        <v>47.43797717367584</v>
      </c>
      <c r="N15" s="25">
        <f>SUM($C15:M15)*($B15)</f>
        <v>62.691042242407633</v>
      </c>
      <c r="O15" s="25">
        <f>SUM($C15:N15)*($B15)</f>
        <v>82.848532159171754</v>
      </c>
      <c r="P15" s="25">
        <f>SUM($C15:O15)*($B15)</f>
        <v>109.48740099723874</v>
      </c>
      <c r="Q15" s="25">
        <f t="shared" si="3"/>
        <v>450.00000000000068</v>
      </c>
      <c r="R15" s="25">
        <f t="shared" si="4"/>
        <v>630.54313384224497</v>
      </c>
      <c r="S15" s="25">
        <f t="shared" si="5"/>
        <v>517.30723416014405</v>
      </c>
    </row>
    <row r="16" spans="1:19" x14ac:dyDescent="0.2">
      <c r="A16" s="23">
        <v>600</v>
      </c>
      <c r="B16" s="26">
        <f t="shared" si="2"/>
        <v>0.35110779733898223</v>
      </c>
      <c r="C16" s="23">
        <v>12</v>
      </c>
      <c r="D16" s="25">
        <f>SUM(C16:$C16)*($B16)</f>
        <v>4.2132935680677868</v>
      </c>
      <c r="E16" s="25">
        <f>SUM($C16:D16)*($B16)</f>
        <v>5.6926137922945683</v>
      </c>
      <c r="F16" s="25">
        <f>SUM($C16:E16)*($B16)</f>
        <v>7.6913348820086256</v>
      </c>
      <c r="G16" s="25">
        <f>SUM($C16:F16)*($B16)</f>
        <v>10.391822531027154</v>
      </c>
      <c r="H16" s="25">
        <f>SUM($C16:G16)*($B16)</f>
        <v>14.040472450233706</v>
      </c>
      <c r="I16" s="25">
        <f>SUM($C16:H16)*($B16)</f>
        <v>18.970191805833924</v>
      </c>
      <c r="J16" s="25">
        <f>SUM($C16:I16)*($B16)</f>
        <v>25.630774065878285</v>
      </c>
      <c r="K16" s="25">
        <f>SUM($C16:J16)*($B16)</f>
        <v>34.629938692241922</v>
      </c>
      <c r="L16" s="25">
        <f>SUM($C16:K16)*($B16)</f>
        <v>46.788780188458979</v>
      </c>
      <c r="M16" s="25">
        <f>SUM($C16:L16)*($B16)</f>
        <v>63.216685740606628</v>
      </c>
      <c r="N16" s="25">
        <f>SUM($C16:M16)*($B16)</f>
        <v>85.412557026061663</v>
      </c>
      <c r="O16" s="25">
        <f>SUM($C16:N16)*($B16)</f>
        <v>115.4015717885724</v>
      </c>
      <c r="P16" s="25">
        <f>SUM($C16:O16)*($B16)</f>
        <v>155.91996346871449</v>
      </c>
      <c r="Q16" s="25">
        <f t="shared" si="3"/>
        <v>600.00000000000023</v>
      </c>
      <c r="R16" s="25">
        <f>SUMPRODUCT($C$3:$P$3,C16:P16)/SUM(C16:P16)</f>
        <v>625.69039509459515</v>
      </c>
      <c r="S16" s="25">
        <f t="shared" si="5"/>
        <v>510.2849094612983</v>
      </c>
    </row>
    <row r="20" spans="1:19" x14ac:dyDescent="0.2">
      <c r="B20" s="24">
        <v>0.05</v>
      </c>
      <c r="C20" s="23">
        <v>1250</v>
      </c>
      <c r="D20" s="25">
        <f t="shared" ref="D20:E22" si="6">C20*(1-$B20)</f>
        <v>1187.5</v>
      </c>
      <c r="E20" s="25">
        <f t="shared" si="6"/>
        <v>1128.125</v>
      </c>
      <c r="F20" s="25">
        <f t="shared" ref="F20:P22" si="7">E20*(1-$B20)</f>
        <v>1071.71875</v>
      </c>
      <c r="G20" s="25">
        <f t="shared" si="7"/>
        <v>1018.1328125</v>
      </c>
      <c r="H20" s="25">
        <f t="shared" si="7"/>
        <v>967.22617187499998</v>
      </c>
      <c r="I20" s="25">
        <f t="shared" si="7"/>
        <v>918.86486328124988</v>
      </c>
      <c r="J20" s="25">
        <f t="shared" si="7"/>
        <v>872.92162011718733</v>
      </c>
      <c r="K20" s="25">
        <f t="shared" si="7"/>
        <v>829.27553911132793</v>
      </c>
      <c r="L20" s="25">
        <f t="shared" si="7"/>
        <v>787.81176215576147</v>
      </c>
      <c r="M20" s="25">
        <f t="shared" si="7"/>
        <v>748.42117404797341</v>
      </c>
      <c r="N20" s="25">
        <f t="shared" si="7"/>
        <v>711.00011534557473</v>
      </c>
      <c r="O20" s="25">
        <f t="shared" si="7"/>
        <v>675.45010957829595</v>
      </c>
      <c r="P20" s="25">
        <f t="shared" si="7"/>
        <v>641.67760409938114</v>
      </c>
    </row>
    <row r="21" spans="1:19" x14ac:dyDescent="0.2">
      <c r="A21" s="23" t="s">
        <v>156</v>
      </c>
      <c r="B21" s="24">
        <v>0.03</v>
      </c>
      <c r="C21" s="23">
        <v>1250</v>
      </c>
      <c r="D21" s="25">
        <f t="shared" si="6"/>
        <v>1212.5</v>
      </c>
      <c r="E21" s="25">
        <f t="shared" si="6"/>
        <v>1176.125</v>
      </c>
      <c r="F21" s="25">
        <f t="shared" si="7"/>
        <v>1140.8412499999999</v>
      </c>
      <c r="G21" s="25">
        <f t="shared" si="7"/>
        <v>1106.6160124999999</v>
      </c>
      <c r="H21" s="25">
        <f t="shared" si="7"/>
        <v>1073.417532125</v>
      </c>
      <c r="I21" s="25">
        <f t="shared" si="7"/>
        <v>1041.2150061612499</v>
      </c>
      <c r="J21" s="25">
        <f t="shared" si="7"/>
        <v>1009.9785559764124</v>
      </c>
      <c r="K21" s="25">
        <f t="shared" si="7"/>
        <v>979.67919929712002</v>
      </c>
      <c r="L21" s="25">
        <f t="shared" si="7"/>
        <v>950.28882331820637</v>
      </c>
      <c r="M21" s="25">
        <f t="shared" si="7"/>
        <v>921.78015861866015</v>
      </c>
      <c r="N21" s="25">
        <f t="shared" si="7"/>
        <v>894.12675386010028</v>
      </c>
      <c r="O21" s="25">
        <f t="shared" si="7"/>
        <v>867.30295124429722</v>
      </c>
      <c r="P21" s="25">
        <f t="shared" si="7"/>
        <v>841.28386270696831</v>
      </c>
    </row>
    <row r="22" spans="1:19" x14ac:dyDescent="0.2">
      <c r="A22" s="23" t="s">
        <v>320</v>
      </c>
      <c r="B22" s="24">
        <v>0</v>
      </c>
      <c r="C22" s="23">
        <v>1250</v>
      </c>
      <c r="D22" s="25">
        <f t="shared" si="6"/>
        <v>1250</v>
      </c>
      <c r="E22" s="25">
        <f t="shared" si="6"/>
        <v>1250</v>
      </c>
      <c r="F22" s="25">
        <f t="shared" si="7"/>
        <v>1250</v>
      </c>
      <c r="G22" s="25">
        <f t="shared" si="7"/>
        <v>1250</v>
      </c>
      <c r="H22" s="25">
        <f t="shared" si="7"/>
        <v>1250</v>
      </c>
      <c r="I22" s="25">
        <f t="shared" si="7"/>
        <v>1250</v>
      </c>
      <c r="J22" s="25">
        <f t="shared" si="7"/>
        <v>1250</v>
      </c>
      <c r="K22" s="25">
        <f t="shared" si="7"/>
        <v>1250</v>
      </c>
      <c r="L22" s="25">
        <f t="shared" si="7"/>
        <v>1250</v>
      </c>
      <c r="M22" s="25">
        <f t="shared" si="7"/>
        <v>1250</v>
      </c>
      <c r="N22" s="25">
        <f t="shared" si="7"/>
        <v>1250</v>
      </c>
      <c r="O22" s="25">
        <f t="shared" si="7"/>
        <v>1250</v>
      </c>
      <c r="P22" s="25">
        <f t="shared" si="7"/>
        <v>1250</v>
      </c>
    </row>
    <row r="23" spans="1:19" x14ac:dyDescent="0.2">
      <c r="A23" s="23" t="s">
        <v>490</v>
      </c>
      <c r="B23" s="23" t="s">
        <v>491</v>
      </c>
      <c r="C23" s="23">
        <v>2017</v>
      </c>
      <c r="D23" s="23">
        <v>2018</v>
      </c>
      <c r="E23" s="23">
        <v>2019</v>
      </c>
      <c r="F23" s="23">
        <v>2020</v>
      </c>
      <c r="G23" s="23">
        <v>2021</v>
      </c>
      <c r="H23" s="23">
        <v>2022</v>
      </c>
      <c r="I23" s="23">
        <v>2023</v>
      </c>
      <c r="J23" s="23">
        <v>2024</v>
      </c>
      <c r="K23" s="23">
        <v>2025</v>
      </c>
      <c r="L23" s="23">
        <v>2026</v>
      </c>
      <c r="M23" s="23">
        <v>2027</v>
      </c>
      <c r="N23" s="23">
        <v>2028</v>
      </c>
      <c r="O23" s="23">
        <v>2029</v>
      </c>
      <c r="P23" s="23">
        <v>2030</v>
      </c>
      <c r="Q23" s="23" t="s">
        <v>492</v>
      </c>
      <c r="R23" s="23" t="str">
        <f>CONCATENATE("Weighted_cost_wind_USDpkW_",B21*100, "pc")</f>
        <v>Weighted_cost_wind_USDpkW_3pc</v>
      </c>
      <c r="S23" s="23" t="str">
        <f>CONCATENATE("Weighted_cost_wind_USDpkW_",B20*100, "pc")</f>
        <v>Weighted_cost_wind_USDpkW_5pc</v>
      </c>
    </row>
    <row r="24" spans="1:19" x14ac:dyDescent="0.2">
      <c r="A24" s="23">
        <v>0</v>
      </c>
      <c r="B24" s="26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5">
        <f>SUM(C24:P24)</f>
        <v>0</v>
      </c>
      <c r="R24" s="25">
        <f>C21</f>
        <v>1250</v>
      </c>
      <c r="S24" s="23">
        <f>C20</f>
        <v>1250</v>
      </c>
    </row>
    <row r="25" spans="1:19" x14ac:dyDescent="0.2">
      <c r="A25" s="23">
        <v>50</v>
      </c>
      <c r="B25" s="26">
        <f>((A25/C25)^(1/($P$5-$C$5))-1)</f>
        <v>3.0110774665771611E-2</v>
      </c>
      <c r="C25" s="23">
        <v>34</v>
      </c>
      <c r="D25" s="25">
        <f>SUM(C25:$C25)*($B25)</f>
        <v>1.0237663386362348</v>
      </c>
      <c r="E25" s="25">
        <f>SUM($C25:D25)*($B25)</f>
        <v>1.0545927361693126</v>
      </c>
      <c r="F25" s="25">
        <f>SUM($C25:E25)*($B25)</f>
        <v>1.0863473404122661</v>
      </c>
      <c r="G25" s="25">
        <f>SUM($C25:F25)*($B25)</f>
        <v>1.1190581003881803</v>
      </c>
      <c r="H25" s="25">
        <f>SUM($C25:G25)*($B25)</f>
        <v>1.1527538066868752</v>
      </c>
      <c r="I25" s="25">
        <f>SUM($C25:H25)*($B25)</f>
        <v>1.1874641168051341</v>
      </c>
      <c r="J25" s="25">
        <f>SUM($C25:I25)*($B25)</f>
        <v>1.2232195812499429</v>
      </c>
      <c r="K25" s="25">
        <f>SUM($C25:J25)*($B25)</f>
        <v>1.2600516704277194</v>
      </c>
      <c r="L25" s="25">
        <f>SUM($C25:K25)*($B25)</f>
        <v>1.2979928023431977</v>
      </c>
      <c r="M25" s="25">
        <f>SUM($C25:L25)*($B25)</f>
        <v>1.337076371132347</v>
      </c>
      <c r="N25" s="25">
        <f>SUM($C25:M25)*($B25)</f>
        <v>1.3773367764544409</v>
      </c>
      <c r="O25" s="25">
        <f>SUM($C25:N25)*($B25)</f>
        <v>1.4188094537691407</v>
      </c>
      <c r="P25" s="25">
        <f>SUM($C25:O25)*($B25)</f>
        <v>1.4615309055252499</v>
      </c>
      <c r="Q25" s="25">
        <f>SUM(C25:P25)</f>
        <v>50.000000000000043</v>
      </c>
      <c r="R25" s="25">
        <f>SUMPRODUCT($C$21:$P$21,C25:P25)/SUM(C25:P25)</f>
        <v>1171.2120555049391</v>
      </c>
      <c r="S25" s="25">
        <f>SUMPRODUCT($C$20:$P$20,C25:P25)/SUM(C25:P25)</f>
        <v>1128.5312923270249</v>
      </c>
    </row>
    <row r="26" spans="1:19" x14ac:dyDescent="0.2">
      <c r="A26" s="23">
        <v>75</v>
      </c>
      <c r="B26" s="26">
        <f t="shared" ref="B26:B34" si="8">((A26/C26)^(1/($P$5-$C$5))-1)</f>
        <v>6.274583415751267E-2</v>
      </c>
      <c r="C26" s="23">
        <v>34</v>
      </c>
      <c r="D26" s="25">
        <f>SUM(C26:$C26)*($B26)</f>
        <v>2.1333583613554308</v>
      </c>
      <c r="E26" s="25">
        <f>SUM($C26:D26)*($B26)</f>
        <v>2.267217711295582</v>
      </c>
      <c r="F26" s="25">
        <f>SUM($C26:E26)*($B26)</f>
        <v>2.4094761778075098</v>
      </c>
      <c r="G26" s="25">
        <f>SUM($C26:F26)*($B26)</f>
        <v>2.5606607704666975</v>
      </c>
      <c r="H26" s="25">
        <f>SUM($C26:G26)*($B26)</f>
        <v>2.7213315665040492</v>
      </c>
      <c r="I26" s="25">
        <f>SUM($C26:H26)*($B26)</f>
        <v>2.8920837856635164</v>
      </c>
      <c r="J26" s="25">
        <f>SUM($C26:I26)*($B26)</f>
        <v>3.0735499952483911</v>
      </c>
      <c r="K26" s="25">
        <f>SUM($C26:J26)*($B26)</f>
        <v>3.2664024535250702</v>
      </c>
      <c r="L26" s="25">
        <f>SUM($C26:K26)*($B26)</f>
        <v>3.4713556001656469</v>
      </c>
      <c r="M26" s="25">
        <f>SUM($C26:L26)*($B26)</f>
        <v>3.689168702955393</v>
      </c>
      <c r="N26" s="25">
        <f>SUM($C26:M26)*($B26)</f>
        <v>3.9206486705701185</v>
      </c>
      <c r="O26" s="25">
        <f>SUM($C26:N26)*($B26)</f>
        <v>4.166653041843583</v>
      </c>
      <c r="P26" s="25">
        <f>SUM($C26:O26)*($B26)</f>
        <v>4.428093162598997</v>
      </c>
      <c r="Q26" s="25">
        <f t="shared" ref="Q26:Q34" si="9">SUM(C26:P26)</f>
        <v>74.999999999999986</v>
      </c>
      <c r="R26" s="25">
        <f t="shared" ref="R26:R34" si="10">SUMPRODUCT($C$21:$P$21,C26:P26)/SUM(C26:P26)</f>
        <v>1108.2181634204294</v>
      </c>
      <c r="S26" s="25">
        <f t="shared" ref="S26:S34" si="11">SUMPRODUCT($C$20:$P$20,C26:P26)/SUM(C26:P26)</f>
        <v>1032.012235110707</v>
      </c>
    </row>
    <row r="27" spans="1:19" x14ac:dyDescent="0.2">
      <c r="A27" s="23">
        <v>100</v>
      </c>
      <c r="B27" s="26">
        <f t="shared" si="8"/>
        <v>8.6525900135685507E-2</v>
      </c>
      <c r="C27" s="23">
        <v>34</v>
      </c>
      <c r="D27" s="25">
        <f>SUM(C27:$C27)*($B27)</f>
        <v>2.9418806046133072</v>
      </c>
      <c r="E27" s="25">
        <f>SUM($C27:D27)*($B27)</f>
        <v>3.1964294720191888</v>
      </c>
      <c r="F27" s="25">
        <f>SUM($C27:E27)*($B27)</f>
        <v>3.4730034093058828</v>
      </c>
      <c r="G27" s="25">
        <f>SUM($C27:F27)*($B27)</f>
        <v>3.7735081554703789</v>
      </c>
      <c r="H27" s="25">
        <f>SUM($C27:G27)*($B27)</f>
        <v>4.1000143452918039</v>
      </c>
      <c r="I27" s="25">
        <f>SUM($C27:H27)*($B27)</f>
        <v>4.4547717770874007</v>
      </c>
      <c r="J27" s="25">
        <f>SUM($C27:I27)*($B27)</f>
        <v>4.8402249149989354</v>
      </c>
      <c r="K27" s="25">
        <f>SUM($C27:J27)*($B27)</f>
        <v>5.2590297326283899</v>
      </c>
      <c r="L27" s="25">
        <f>SUM($C27:K27)*($B27)</f>
        <v>5.7140720140843948</v>
      </c>
      <c r="M27" s="25">
        <f>SUM($C27:L27)*($B27)</f>
        <v>6.2084872385431771</v>
      </c>
      <c r="N27" s="25">
        <f>SUM($C27:M27)*($B27)</f>
        <v>6.7456821853390414</v>
      </c>
      <c r="O27" s="25">
        <f>SUM($C27:N27)*($B27)</f>
        <v>7.3293584084547589</v>
      </c>
      <c r="P27" s="25">
        <f>SUM($C27:O27)*($B27)</f>
        <v>7.9635377421633633</v>
      </c>
      <c r="Q27" s="25">
        <f t="shared" si="9"/>
        <v>100.00000000000003</v>
      </c>
      <c r="R27" s="25">
        <f t="shared" si="10"/>
        <v>1072.852328640769</v>
      </c>
      <c r="S27" s="25">
        <f t="shared" si="11"/>
        <v>978.13763712149307</v>
      </c>
    </row>
    <row r="28" spans="1:19" x14ac:dyDescent="0.2">
      <c r="A28" s="23">
        <v>150</v>
      </c>
      <c r="B28" s="26">
        <f t="shared" si="8"/>
        <v>0.12094825379153451</v>
      </c>
      <c r="C28" s="23">
        <v>34</v>
      </c>
      <c r="D28" s="25">
        <f>SUM(C28:$C28)*($B28)</f>
        <v>4.1122406289121738</v>
      </c>
      <c r="E28" s="25">
        <f>SUM($C28:D28)*($B28)</f>
        <v>4.6096089521497028</v>
      </c>
      <c r="F28" s="25">
        <f>SUM($C28:E28)*($B28)</f>
        <v>5.1671331055740337</v>
      </c>
      <c r="G28" s="25">
        <f>SUM($C28:F28)*($B28)</f>
        <v>5.7920888318016415</v>
      </c>
      <c r="H28" s="25">
        <f>SUM($C28:G28)*($B28)</f>
        <v>6.4926318618134991</v>
      </c>
      <c r="I28" s="25">
        <f>SUM($C28:H28)*($B28)</f>
        <v>7.2779043480111216</v>
      </c>
      <c r="J28" s="25">
        <f>SUM($C28:I28)*($B28)</f>
        <v>8.1581541701648845</v>
      </c>
      <c r="K28" s="25">
        <f>SUM($C28:J28)*($B28)</f>
        <v>9.1448686712084513</v>
      </c>
      <c r="L28" s="25">
        <f>SUM($C28:K28)*($B28)</f>
        <v>10.250924568144026</v>
      </c>
      <c r="M28" s="25">
        <f>SUM($C28:L28)*($B28)</f>
        <v>11.490755994409785</v>
      </c>
      <c r="N28" s="25">
        <f>SUM($C28:M28)*($B28)</f>
        <v>12.880542866678256</v>
      </c>
      <c r="O28" s="25">
        <f>SUM($C28:N28)*($B28)</f>
        <v>14.438422034289998</v>
      </c>
      <c r="P28" s="25">
        <f>SUM($C28:O28)*($B28)</f>
        <v>16.184723966842586</v>
      </c>
      <c r="Q28" s="25">
        <f t="shared" si="9"/>
        <v>150.00000000000017</v>
      </c>
      <c r="R28" s="25">
        <f t="shared" si="10"/>
        <v>1032.9759496904005</v>
      </c>
      <c r="S28" s="25">
        <f t="shared" si="11"/>
        <v>917.74819477408266</v>
      </c>
    </row>
    <row r="29" spans="1:19" x14ac:dyDescent="0.2">
      <c r="A29" s="23">
        <v>200</v>
      </c>
      <c r="B29" s="26">
        <f t="shared" si="8"/>
        <v>0.14603066068180648</v>
      </c>
      <c r="C29" s="23">
        <v>34</v>
      </c>
      <c r="D29" s="25">
        <f>SUM(C29:$C29)*($B29)</f>
        <v>4.9650424631814207</v>
      </c>
      <c r="E29" s="25">
        <f>SUM($C29:D29)*($B29)</f>
        <v>5.6900908943930268</v>
      </c>
      <c r="F29" s="25">
        <f>SUM($C29:E29)*($B29)</f>
        <v>6.5210186270407711</v>
      </c>
      <c r="G29" s="25">
        <f>SUM($C29:F29)*($B29)</f>
        <v>7.4732872854659016</v>
      </c>
      <c r="H29" s="25">
        <f>SUM($C29:G29)*($B29)</f>
        <v>8.5646163652274314</v>
      </c>
      <c r="I29" s="25">
        <f>SUM($C29:H29)*($B29)</f>
        <v>9.8153129515278064</v>
      </c>
      <c r="J29" s="25">
        <f>SUM($C29:I29)*($B29)</f>
        <v>11.248649586638102</v>
      </c>
      <c r="K29" s="25">
        <f>SUM($C29:J29)*($B29)</f>
        <v>12.891297317552995</v>
      </c>
      <c r="L29" s="25">
        <f>SUM($C29:K29)*($B29)</f>
        <v>14.773821981880859</v>
      </c>
      <c r="M29" s="25">
        <f>SUM($C29:L29)*($B29)</f>
        <v>16.931252966690316</v>
      </c>
      <c r="N29" s="25">
        <f>SUM($C29:M29)*($B29)</f>
        <v>19.403735023586901</v>
      </c>
      <c r="O29" s="25">
        <f>SUM($C29:N29)*($B29)</f>
        <v>22.237275268776003</v>
      </c>
      <c r="P29" s="25">
        <f>SUM($C29:O29)*($B29)</f>
        <v>25.484599268038561</v>
      </c>
      <c r="Q29" s="25">
        <f t="shared" si="9"/>
        <v>200.00000000000011</v>
      </c>
      <c r="R29" s="25">
        <f t="shared" si="10"/>
        <v>1010.2364794858461</v>
      </c>
      <c r="S29" s="25">
        <f t="shared" si="11"/>
        <v>883.52468153451491</v>
      </c>
    </row>
    <row r="30" spans="1:19" x14ac:dyDescent="0.2">
      <c r="A30" s="23">
        <v>225</v>
      </c>
      <c r="B30" s="26">
        <f t="shared" si="8"/>
        <v>0.1564611460448162</v>
      </c>
      <c r="C30" s="23">
        <v>34</v>
      </c>
      <c r="D30" s="25">
        <f>SUM(C30:$C30)*($B30)</f>
        <v>5.3196789655237513</v>
      </c>
      <c r="E30" s="25">
        <f>SUM($C30:D30)*($B30)</f>
        <v>6.1520020330600991</v>
      </c>
      <c r="F30" s="25">
        <f>SUM($C30:E30)*($B30)</f>
        <v>7.1145513216227219</v>
      </c>
      <c r="G30" s="25">
        <f>SUM($C30:F30)*($B30)</f>
        <v>8.2277021749984733</v>
      </c>
      <c r="H30" s="25">
        <f>SUM($C30:G30)*($B30)</f>
        <v>9.5150178866141619</v>
      </c>
      <c r="I30" s="25">
        <f>SUM($C30:H30)*($B30)</f>
        <v>11.003748489790739</v>
      </c>
      <c r="J30" s="25">
        <f>SUM($C30:I30)*($B30)</f>
        <v>12.725407589292313</v>
      </c>
      <c r="K30" s="25">
        <f>SUM($C30:J30)*($B30)</f>
        <v>14.716439444600391</v>
      </c>
      <c r="L30" s="25">
        <f>SUM($C30:K30)*($B30)</f>
        <v>17.018990425801707</v>
      </c>
      <c r="M30" s="25">
        <f>SUM($C30:L30)*($B30)</f>
        <v>19.681801172348397</v>
      </c>
      <c r="N30" s="25">
        <f>SUM($C30:M30)*($B30)</f>
        <v>22.761238340000233</v>
      </c>
      <c r="O30" s="25">
        <f>SUM($C30:N30)*($B30)</f>
        <v>26.322487776075878</v>
      </c>
      <c r="P30" s="25">
        <f>SUM($C30:O30)*($B30)</f>
        <v>30.440934380271379</v>
      </c>
      <c r="Q30" s="25">
        <f t="shared" si="9"/>
        <v>225.00000000000026</v>
      </c>
      <c r="R30" s="25">
        <f t="shared" si="10"/>
        <v>1002.0154165794322</v>
      </c>
      <c r="S30" s="25">
        <f t="shared" si="11"/>
        <v>871.19782340947734</v>
      </c>
    </row>
    <row r="31" spans="1:19" x14ac:dyDescent="0.2">
      <c r="A31" s="23">
        <v>300</v>
      </c>
      <c r="B31" s="26">
        <f t="shared" si="8"/>
        <v>0.1823381915906499</v>
      </c>
      <c r="C31" s="23">
        <v>34</v>
      </c>
      <c r="D31" s="25">
        <f>SUM(C31:$C31)*($B31)</f>
        <v>6.1994985140820962</v>
      </c>
      <c r="E31" s="25">
        <f>SUM($C31:D31)*($B31)</f>
        <v>7.3299038619087469</v>
      </c>
      <c r="F31" s="25">
        <f>SUM($C31:E31)*($B31)</f>
        <v>8.6664252766225083</v>
      </c>
      <c r="G31" s="25">
        <f>SUM($C31:F31)*($B31)</f>
        <v>10.246645589117353</v>
      </c>
      <c r="H31" s="25">
        <f>SUM($C31:G31)*($B31)</f>
        <v>12.115000415707321</v>
      </c>
      <c r="I31" s="25">
        <f>SUM($C31:H31)*($B31)</f>
        <v>14.324027682627364</v>
      </c>
      <c r="J31" s="25">
        <f>SUM($C31:I31)*($B31)</f>
        <v>16.935844986572047</v>
      </c>
      <c r="K31" s="25">
        <f>SUM($C31:J31)*($B31)</f>
        <v>20.023896334483165</v>
      </c>
      <c r="L31" s="25">
        <f>SUM($C31:K31)*($B31)</f>
        <v>23.67501738071147</v>
      </c>
      <c r="M31" s="25">
        <f>SUM($C31:L31)*($B31)</f>
        <v>27.991877235787605</v>
      </c>
      <c r="N31" s="25">
        <f>SUM($C31:M31)*($B31)</f>
        <v>33.095865510188595</v>
      </c>
      <c r="O31" s="25">
        <f>SUM($C31:N31)*($B31)</f>
        <v>39.130505776443748</v>
      </c>
      <c r="P31" s="25">
        <f>SUM($C31:O31)*($B31)</f>
        <v>46.265491435747975</v>
      </c>
      <c r="Q31" s="25">
        <f t="shared" si="9"/>
        <v>300</v>
      </c>
      <c r="R31" s="25">
        <f t="shared" si="10"/>
        <v>984.19116266284482</v>
      </c>
      <c r="S31" s="25">
        <f t="shared" si="11"/>
        <v>844.56907271257194</v>
      </c>
    </row>
    <row r="32" spans="1:19" x14ac:dyDescent="0.2">
      <c r="A32" s="23">
        <v>400</v>
      </c>
      <c r="B32" s="26">
        <f t="shared" si="8"/>
        <v>0.2087942634950184</v>
      </c>
      <c r="C32" s="23">
        <v>34</v>
      </c>
      <c r="D32" s="25">
        <f>SUM(C32:$C32)*($B32)</f>
        <v>7.0990049588306254</v>
      </c>
      <c r="E32" s="25">
        <f>SUM($C32:D32)*($B32)</f>
        <v>8.5812364707571493</v>
      </c>
      <c r="F32" s="25">
        <f>SUM($C32:E32)*($B32)</f>
        <v>10.372949419545479</v>
      </c>
      <c r="G32" s="25">
        <f>SUM($C32:F32)*($B32)</f>
        <v>12.538761753870556</v>
      </c>
      <c r="H32" s="25">
        <f>SUM($C32:G32)*($B32)</f>
        <v>15.156783279409463</v>
      </c>
      <c r="I32" s="25">
        <f>SUM($C32:H32)*($B32)</f>
        <v>18.321432681187371</v>
      </c>
      <c r="J32" s="25">
        <f>SUM($C32:I32)*($B32)</f>
        <v>22.146842724029451</v>
      </c>
      <c r="K32" s="25">
        <f>SUM($C32:J32)*($B32)</f>
        <v>26.770976439333186</v>
      </c>
      <c r="L32" s="25">
        <f>SUM($C32:K32)*($B32)</f>
        <v>32.360602748026253</v>
      </c>
      <c r="M32" s="25">
        <f>SUM($C32:L32)*($B32)</f>
        <v>39.11731096505526</v>
      </c>
      <c r="N32" s="25">
        <f>SUM($C32:M32)*($B32)</f>
        <v>47.28478109790958</v>
      </c>
      <c r="O32" s="25">
        <f>SUM($C32:N32)*($B32)</f>
        <v>57.157572141770778</v>
      </c>
      <c r="P32" s="25">
        <f>SUM($C32:O32)*($B32)</f>
        <v>69.091745320275194</v>
      </c>
      <c r="Q32" s="25">
        <f t="shared" si="9"/>
        <v>400.0000000000004</v>
      </c>
      <c r="R32" s="25">
        <f t="shared" si="10"/>
        <v>969.09328836441841</v>
      </c>
      <c r="S32" s="25">
        <f t="shared" si="11"/>
        <v>822.13300736928477</v>
      </c>
    </row>
    <row r="33" spans="1:19" x14ac:dyDescent="0.2">
      <c r="A33" s="23">
        <v>450</v>
      </c>
      <c r="B33" s="26">
        <f t="shared" si="8"/>
        <v>0.21979598561715918</v>
      </c>
      <c r="C33" s="23">
        <v>34</v>
      </c>
      <c r="D33" s="25">
        <f>SUM(C33:$C33)*($B33)</f>
        <v>7.4730635109834118</v>
      </c>
      <c r="E33" s="25">
        <f>SUM($C33:D33)*($B33)</f>
        <v>9.1156128709596391</v>
      </c>
      <c r="F33" s="25">
        <f>SUM($C33:E33)*($B33)</f>
        <v>11.119187986436675</v>
      </c>
      <c r="G33" s="25">
        <f>SUM($C33:F33)*($B33)</f>
        <v>13.563140869177998</v>
      </c>
      <c r="H33" s="25">
        <f>SUM($C33:G33)*($B33)</f>
        <v>16.544264784583348</v>
      </c>
      <c r="I33" s="25">
        <f>SUM($C33:H33)*($B33)</f>
        <v>20.180627769222106</v>
      </c>
      <c r="J33" s="25">
        <f>SUM($C33:I33)*($B33)</f>
        <v>24.61624874013129</v>
      </c>
      <c r="K33" s="25">
        <f>SUM($C33:J33)*($B33)</f>
        <v>30.026801394165599</v>
      </c>
      <c r="L33" s="25">
        <f>SUM($C33:K33)*($B33)</f>
        <v>36.626571801526914</v>
      </c>
      <c r="M33" s="25">
        <f>SUM($C33:L33)*($B33)</f>
        <v>44.676945250421177</v>
      </c>
      <c r="N33" s="25">
        <f>SUM($C33:M33)*($B33)</f>
        <v>54.496758466101355</v>
      </c>
      <c r="O33" s="25">
        <f>SUM($C33:N33)*($B33)</f>
        <v>66.474927206098371</v>
      </c>
      <c r="P33" s="25">
        <f>SUM($C33:O33)*($B33)</f>
        <v>81.085849350191666</v>
      </c>
      <c r="Q33" s="25">
        <f t="shared" si="9"/>
        <v>449.99999999999955</v>
      </c>
      <c r="R33" s="25">
        <f t="shared" si="10"/>
        <v>963.58148816072071</v>
      </c>
      <c r="S33" s="25">
        <f t="shared" si="11"/>
        <v>813.97352413868964</v>
      </c>
    </row>
    <row r="34" spans="1:19" x14ac:dyDescent="0.2">
      <c r="A34" s="23">
        <v>600</v>
      </c>
      <c r="B34" s="26">
        <f t="shared" si="8"/>
        <v>0.24709021541847531</v>
      </c>
      <c r="C34" s="23">
        <v>34</v>
      </c>
      <c r="D34" s="25">
        <f>SUM(C34:$C34)*($B34)</f>
        <v>8.4010673242281602</v>
      </c>
      <c r="E34" s="25">
        <f>SUM($C34:D34)*($B34)</f>
        <v>10.47688885911681</v>
      </c>
      <c r="F34" s="25">
        <f>SUM($C34:E34)*($B34)</f>
        <v>13.065625584231407</v>
      </c>
      <c r="G34" s="25">
        <f>SUM($C34:F34)*($B34)</f>
        <v>16.294013824416286</v>
      </c>
      <c r="H34" s="25">
        <f>SUM($C34:G34)*($B34)</f>
        <v>20.320105210322922</v>
      </c>
      <c r="I34" s="25">
        <f>SUM($C34:H34)*($B34)</f>
        <v>25.341004384067695</v>
      </c>
      <c r="J34" s="25">
        <f>SUM($C34:I34)*($B34)</f>
        <v>31.602518616247508</v>
      </c>
      <c r="K34" s="25">
        <f>SUM($C34:J34)*($B34)</f>
        <v>39.411191748902475</v>
      </c>
      <c r="L34" s="25">
        <f>SUM($C34:K34)*($B34)</f>
        <v>49.149311608037621</v>
      </c>
      <c r="M34" s="25">
        <f>SUM($C34:L34)*($B34)</f>
        <v>61.293625600937411</v>
      </c>
      <c r="N34" s="25">
        <f>SUM($C34:M34)*($B34)</f>
        <v>76.438680754452406</v>
      </c>
      <c r="O34" s="25">
        <f>SUM($C34:N34)*($B34)</f>
        <v>95.325930848374114</v>
      </c>
      <c r="P34" s="25">
        <f>SUM($C34:O34)*($B34)</f>
        <v>118.88003563666557</v>
      </c>
      <c r="Q34" s="25">
        <f t="shared" si="9"/>
        <v>600.00000000000034</v>
      </c>
      <c r="R34" s="25">
        <f t="shared" si="10"/>
        <v>951.51750672678588</v>
      </c>
      <c r="S34" s="25">
        <f t="shared" si="11"/>
        <v>796.18056600789123</v>
      </c>
    </row>
    <row r="38" spans="1:19" x14ac:dyDescent="0.2">
      <c r="B38" s="24">
        <f>1-(P38/D38)^(1/(P41-D41))</f>
        <v>8.8870798843718513E-2</v>
      </c>
      <c r="C38" s="25">
        <f>D38*(1+B38)</f>
        <v>404.07314800841118</v>
      </c>
      <c r="D38" s="25">
        <v>371.09375</v>
      </c>
      <c r="E38" s="25">
        <v>330.77411597584</v>
      </c>
      <c r="F38" s="25">
        <v>290.45448195168001</v>
      </c>
      <c r="G38" s="25">
        <v>268.27432151173349</v>
      </c>
      <c r="H38" s="25">
        <v>246.09416107178703</v>
      </c>
      <c r="I38" s="25">
        <v>223.91400063184051</v>
      </c>
      <c r="J38" s="25">
        <v>201.73384019189405</v>
      </c>
      <c r="K38" s="25">
        <v>179.55367975194764</v>
      </c>
      <c r="L38" s="25">
        <v>167.93550047388044</v>
      </c>
      <c r="M38" s="25">
        <v>156.31732119581324</v>
      </c>
      <c r="N38" s="25">
        <v>144.69914191774603</v>
      </c>
      <c r="O38" s="25">
        <v>133.08096263967886</v>
      </c>
      <c r="P38" s="25">
        <v>121.46278336161164</v>
      </c>
      <c r="Q38" s="27" t="s">
        <v>511</v>
      </c>
    </row>
    <row r="39" spans="1:19" x14ac:dyDescent="0.2">
      <c r="A39" s="27" t="s">
        <v>507</v>
      </c>
      <c r="B39" s="24">
        <f>1-(P39/D39)^(1/(P41-D41))</f>
        <v>1.0095160907214518E-2</v>
      </c>
      <c r="C39" s="25">
        <f>D39*(1+B39)</f>
        <v>374.84000111791158</v>
      </c>
      <c r="D39" s="25">
        <v>371.09375</v>
      </c>
      <c r="E39" s="25">
        <v>371.09375</v>
      </c>
      <c r="F39" s="25">
        <v>359.64880257009349</v>
      </c>
      <c r="G39" s="25">
        <v>356.53918980430194</v>
      </c>
      <c r="H39" s="25">
        <v>353.42957703851039</v>
      </c>
      <c r="I39" s="25">
        <v>350.31996427271883</v>
      </c>
      <c r="J39" s="25">
        <v>347.21035150692728</v>
      </c>
      <c r="K39" s="25">
        <v>344.10073874113573</v>
      </c>
      <c r="L39" s="25">
        <v>340.99112597534418</v>
      </c>
      <c r="M39" s="25">
        <v>337.88151320955262</v>
      </c>
      <c r="N39" s="25">
        <v>334.77190044376107</v>
      </c>
      <c r="O39" s="25">
        <v>331.66228767796952</v>
      </c>
      <c r="P39" s="25">
        <v>328.55267491217796</v>
      </c>
      <c r="Q39" s="27" t="s">
        <v>511</v>
      </c>
    </row>
    <row r="40" spans="1:19" x14ac:dyDescent="0.2">
      <c r="A40" s="23" t="s">
        <v>320</v>
      </c>
      <c r="B40" s="24">
        <v>0</v>
      </c>
      <c r="C40" s="23">
        <v>371</v>
      </c>
      <c r="D40" s="25">
        <f t="shared" ref="D40" si="12">C40*(1-$B40)</f>
        <v>371</v>
      </c>
      <c r="E40" s="25">
        <f t="shared" ref="E40" si="13">D40*(1-$B40)</f>
        <v>371</v>
      </c>
      <c r="F40" s="25">
        <f t="shared" ref="F40" si="14">E40*(1-$B40)</f>
        <v>371</v>
      </c>
      <c r="G40" s="25">
        <f t="shared" ref="G40" si="15">F40*(1-$B40)</f>
        <v>371</v>
      </c>
      <c r="H40" s="25">
        <f t="shared" ref="H40" si="16">G40*(1-$B40)</f>
        <v>371</v>
      </c>
      <c r="I40" s="25">
        <f t="shared" ref="I40" si="17">H40*(1-$B40)</f>
        <v>371</v>
      </c>
      <c r="J40" s="25">
        <f t="shared" ref="J40" si="18">I40*(1-$B40)</f>
        <v>371</v>
      </c>
      <c r="K40" s="25">
        <f t="shared" ref="K40" si="19">J40*(1-$B40)</f>
        <v>371</v>
      </c>
      <c r="L40" s="25">
        <f t="shared" ref="L40" si="20">K40*(1-$B40)</f>
        <v>371</v>
      </c>
      <c r="M40" s="25">
        <f t="shared" ref="M40" si="21">L40*(1-$B40)</f>
        <v>371</v>
      </c>
      <c r="N40" s="25">
        <f t="shared" ref="N40" si="22">M40*(1-$B40)</f>
        <v>371</v>
      </c>
      <c r="O40" s="25">
        <f t="shared" ref="O40" si="23">N40*(1-$B40)</f>
        <v>371</v>
      </c>
      <c r="P40" s="25">
        <f t="shared" ref="P40" si="24">O40*(1-$B40)</f>
        <v>371</v>
      </c>
    </row>
    <row r="41" spans="1:19" x14ac:dyDescent="0.2">
      <c r="A41" s="27" t="s">
        <v>509</v>
      </c>
      <c r="B41" s="27" t="s">
        <v>508</v>
      </c>
      <c r="C41" s="23">
        <v>2017</v>
      </c>
      <c r="D41" s="23">
        <v>2018</v>
      </c>
      <c r="E41" s="23">
        <v>2019</v>
      </c>
      <c r="F41" s="23">
        <v>2020</v>
      </c>
      <c r="G41" s="23">
        <v>2021</v>
      </c>
      <c r="H41" s="23">
        <v>2022</v>
      </c>
      <c r="I41" s="23">
        <v>2023</v>
      </c>
      <c r="J41" s="23">
        <v>2024</v>
      </c>
      <c r="K41" s="23">
        <v>2025</v>
      </c>
      <c r="L41" s="23">
        <v>2026</v>
      </c>
      <c r="M41" s="23">
        <v>2027</v>
      </c>
      <c r="N41" s="23">
        <v>2028</v>
      </c>
      <c r="O41" s="23">
        <v>2029</v>
      </c>
      <c r="P41" s="23">
        <v>2030</v>
      </c>
      <c r="Q41" s="27" t="s">
        <v>510</v>
      </c>
      <c r="R41" s="23" t="str">
        <f>CONCATENATE("Weighted_cost_battery_USDpkW_",ROUND(B38*100,0), "pc")</f>
        <v>Weighted_cost_battery_USDpkW_9pc</v>
      </c>
      <c r="S41" s="23" t="str">
        <f>CONCATENATE("Weighted_cost_battery_USDpkW_",ROUND(B39*100,0), "pc")</f>
        <v>Weighted_cost_battery_USDpkW_1pc</v>
      </c>
    </row>
    <row r="42" spans="1:19" x14ac:dyDescent="0.2">
      <c r="A42" s="23">
        <v>0</v>
      </c>
      <c r="B42" s="26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5">
        <f>SUM(C42:P42)</f>
        <v>0</v>
      </c>
      <c r="R42" s="25">
        <f>C38</f>
        <v>404.07314800841118</v>
      </c>
      <c r="S42" s="25">
        <f>C39</f>
        <v>374.84000111791158</v>
      </c>
    </row>
    <row r="43" spans="1:19" x14ac:dyDescent="0.2">
      <c r="A43" s="23">
        <v>120</v>
      </c>
      <c r="B43" s="26">
        <f>((A43/C43)^(1/($P$5-$C$5))-1)</f>
        <v>0.44523016930896353</v>
      </c>
      <c r="C43" s="23">
        <v>1</v>
      </c>
      <c r="D43" s="25">
        <f>SUM(C43:$C43)*($B43)</f>
        <v>0.44523016930896353</v>
      </c>
      <c r="E43" s="25">
        <f>SUM($C43:D43)*($B43)</f>
        <v>0.64346007297185182</v>
      </c>
      <c r="F43" s="25">
        <f>SUM($C43:E43)*($B43)</f>
        <v>0.9299479102046676</v>
      </c>
      <c r="G43" s="25">
        <f>SUM($C43:F43)*($B43)</f>
        <v>1.3439887757136084</v>
      </c>
      <c r="H43" s="25">
        <f>SUM($C43:G43)*($B43)</f>
        <v>1.942373125873925</v>
      </c>
      <c r="I43" s="25">
        <f>SUM($C43:H43)*($B43)</f>
        <v>2.8071762415679533</v>
      </c>
      <c r="J43" s="25">
        <f>SUM($C43:I43)*($B43)</f>
        <v>4.0570157948813526</v>
      </c>
      <c r="K43" s="25">
        <f>SUM($C43:J43)*($B43)</f>
        <v>5.8633216241255175</v>
      </c>
      <c r="L43" s="25">
        <f>SUM($C43:K43)*($B43)</f>
        <v>8.4738493035478282</v>
      </c>
      <c r="M43" s="25">
        <f>SUM($C43:L43)*($B43)</f>
        <v>12.246662663665072</v>
      </c>
      <c r="N43" s="25">
        <f>SUM($C43:M43)*($B43)</f>
        <v>17.699246354878433</v>
      </c>
      <c r="O43" s="25">
        <f>SUM($C43:N43)*($B43)</f>
        <v>25.579484806102013</v>
      </c>
      <c r="P43" s="25">
        <f>SUM($C43:O43)*($B43)</f>
        <v>36.968243157158874</v>
      </c>
      <c r="Q43" s="25">
        <f>SUM(C43:P43)</f>
        <v>120.00000000000006</v>
      </c>
      <c r="R43" s="25">
        <f>SUMPRODUCT($C$38:$P$38,C43:P43)/SUM(C43:P43)</f>
        <v>151.52909239112071</v>
      </c>
      <c r="S43" s="25">
        <f>SUMPRODUCT($C$39:$P$39,C43:P43)/SUM(C43:P43)</f>
        <v>335.59169111565399</v>
      </c>
    </row>
    <row r="44" spans="1:19" x14ac:dyDescent="0.2">
      <c r="A44" s="23">
        <v>240</v>
      </c>
      <c r="B44" s="26">
        <f t="shared" ref="B44" si="25">((A44/C44)^(1/($P$5-$C$5))-1)</f>
        <v>0.52437975529492142</v>
      </c>
      <c r="C44" s="23">
        <v>1</v>
      </c>
      <c r="D44" s="25">
        <f>SUM(C44:$C44)*($B44)</f>
        <v>0.52437975529492142</v>
      </c>
      <c r="E44" s="25">
        <f>SUM($C44:D44)*($B44)</f>
        <v>0.79935388305808308</v>
      </c>
      <c r="F44" s="25">
        <f>SUM($C44:E44)*($B44)</f>
        <v>1.218518876650126</v>
      </c>
      <c r="G44" s="25">
        <f>SUM($C44:F44)*($B44)</f>
        <v>1.8574855070101615</v>
      </c>
      <c r="H44" s="25">
        <f>SUM($C44:G44)*($B44)</f>
        <v>2.8315133026400128</v>
      </c>
      <c r="I44" s="25">
        <f>SUM($C44:H44)*($B44)</f>
        <v>4.3163015553926973</v>
      </c>
      <c r="J44" s="25">
        <f>SUM($C44:I44)*($B44)</f>
        <v>6.5796827087886092</v>
      </c>
      <c r="K44" s="25">
        <f>SUM($C44:J44)*($B44)</f>
        <v>10.029935117541406</v>
      </c>
      <c r="L44" s="25">
        <f>SUM($C44:K44)*($B44)</f>
        <v>15.289430040101708</v>
      </c>
      <c r="M44" s="25">
        <f>SUM($C44:L44)*($B44)</f>
        <v>23.306897623129064</v>
      </c>
      <c r="N44" s="25">
        <f>SUM($C44:M44)*($B44)</f>
        <v>35.528562895429268</v>
      </c>
      <c r="O44" s="25">
        <f>SUM($C44:N44)*($B44)</f>
        <v>54.159022012514683</v>
      </c>
      <c r="P44" s="25">
        <f>SUM($C44:O44)*($B44)</f>
        <v>82.558916722449396</v>
      </c>
      <c r="Q44" s="25">
        <f t="shared" ref="Q44" si="26">SUM(C44:P44)</f>
        <v>240.00000000000011</v>
      </c>
      <c r="R44" s="25">
        <f>SUMPRODUCT($C$38:$P$38,C44:P44)/SUM(C44:P44)</f>
        <v>146.22542256962581</v>
      </c>
      <c r="S44" s="25">
        <f>SUMPRODUCT($C$39:$P$39,C44:P44)/SUM(C44:P44)</f>
        <v>334.52165036440272</v>
      </c>
    </row>
    <row r="45" spans="1:19" x14ac:dyDescent="0.2">
      <c r="B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2">
      <c r="B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2">
      <c r="B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">
      <c r="B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x14ac:dyDescent="0.2">
      <c r="B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x14ac:dyDescent="0.2">
      <c r="B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2:19" x14ac:dyDescent="0.2">
      <c r="B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x14ac:dyDescent="0.2">
      <c r="B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>
      <selection activeCell="B5" sqref="B5"/>
    </sheetView>
  </sheetViews>
  <sheetFormatPr baseColWidth="10" defaultColWidth="11.5" defaultRowHeight="15" x14ac:dyDescent="0.2"/>
  <cols>
    <col min="1" max="1" width="17.5" bestFit="1" customWidth="1"/>
    <col min="2" max="3" width="30" bestFit="1" customWidth="1"/>
  </cols>
  <sheetData>
    <row r="1" spans="1:4" x14ac:dyDescent="0.2">
      <c r="A1" t="s">
        <v>493</v>
      </c>
      <c r="B1" s="5" t="str">
        <f>RE_trajectories!R5</f>
        <v>Weighted_cost_solarPV_USDpkW_3pc</v>
      </c>
      <c r="C1" t="str">
        <f>RE_trajectories!S5</f>
        <v>Weighted_cost_solarPV_USDpkW_5pc</v>
      </c>
    </row>
    <row r="2" spans="1:4" x14ac:dyDescent="0.2">
      <c r="A2">
        <f>RE_trajectories!A7</f>
        <v>50</v>
      </c>
      <c r="B2" s="5">
        <f>RE_trajectories!R7</f>
        <v>705.83738845999585</v>
      </c>
      <c r="C2" s="5">
        <f>RE_trajectories!S7</f>
        <v>629.22203798974965</v>
      </c>
      <c r="D2" s="5"/>
    </row>
    <row r="3" spans="1:4" x14ac:dyDescent="0.2">
      <c r="A3">
        <f>RE_trajectories!A8</f>
        <v>75</v>
      </c>
      <c r="B3" s="5">
        <f>RE_trajectories!R8</f>
        <v>684.03403758613194</v>
      </c>
      <c r="C3" s="5">
        <f>RE_trajectories!S8</f>
        <v>596.40607399736996</v>
      </c>
      <c r="D3" s="5"/>
    </row>
    <row r="4" spans="1:4" x14ac:dyDescent="0.2">
      <c r="A4">
        <f>RE_trajectories!A9</f>
        <v>100</v>
      </c>
      <c r="B4" s="5">
        <f>RE_trajectories!R9</f>
        <v>671.49866379893615</v>
      </c>
      <c r="C4" s="5">
        <f>RE_trajectories!S9</f>
        <v>577.65903868909618</v>
      </c>
      <c r="D4" s="5"/>
    </row>
    <row r="5" spans="1:4" x14ac:dyDescent="0.2">
      <c r="A5">
        <f>RE_trajectories!A10</f>
        <v>150</v>
      </c>
      <c r="B5" s="5">
        <f>RE_trajectories!R10</f>
        <v>657.02379911728303</v>
      </c>
      <c r="C5" s="5">
        <f>RE_trajectories!S10</f>
        <v>556.14794822919907</v>
      </c>
      <c r="D5" s="5"/>
    </row>
    <row r="6" spans="1:4" x14ac:dyDescent="0.2">
      <c r="A6">
        <f>RE_trajectories!A11</f>
        <v>200</v>
      </c>
      <c r="B6" s="5">
        <f>RE_trajectories!R11</f>
        <v>648.56250459370142</v>
      </c>
      <c r="C6" s="5">
        <f>RE_trajectories!S11</f>
        <v>543.65525930763886</v>
      </c>
      <c r="D6" s="5"/>
    </row>
    <row r="7" spans="1:4" x14ac:dyDescent="0.2">
      <c r="A7">
        <f>RE_trajectories!A12</f>
        <v>225</v>
      </c>
      <c r="B7" s="5">
        <f>RE_trajectories!R12</f>
        <v>645.45829101340325</v>
      </c>
      <c r="C7" s="5">
        <f>RE_trajectories!S12</f>
        <v>539.08953788513566</v>
      </c>
      <c r="D7" s="5"/>
    </row>
    <row r="8" spans="1:4" x14ac:dyDescent="0.2">
      <c r="A8">
        <f>RE_trajectories!A13</f>
        <v>300</v>
      </c>
      <c r="B8" s="5">
        <f>RE_trajectories!R13</f>
        <v>638.63155039798903</v>
      </c>
      <c r="C8" s="5">
        <f>RE_trajectories!S13</f>
        <v>529.08569011364864</v>
      </c>
      <c r="D8" s="5"/>
    </row>
    <row r="9" spans="1:4" x14ac:dyDescent="0.2">
      <c r="A9">
        <f>RE_trajectories!A14</f>
        <v>400</v>
      </c>
      <c r="B9" s="5">
        <f>RE_trajectories!R14</f>
        <v>632.72942534951483</v>
      </c>
      <c r="C9" s="5">
        <f>RE_trajectories!S14</f>
        <v>520.48229075565689</v>
      </c>
      <c r="D9" s="5"/>
    </row>
    <row r="10" spans="1:4" x14ac:dyDescent="0.2">
      <c r="A10">
        <f>RE_trajectories!A15</f>
        <v>450</v>
      </c>
      <c r="B10" s="5">
        <f>RE_trajectories!R15</f>
        <v>630.54313384224497</v>
      </c>
      <c r="C10" s="5">
        <f>RE_trajectories!S15</f>
        <v>517.30723416014405</v>
      </c>
      <c r="D10" s="5"/>
    </row>
    <row r="11" spans="1:4" x14ac:dyDescent="0.2">
      <c r="A11">
        <f>RE_trajectories!A16</f>
        <v>600</v>
      </c>
      <c r="B11" s="5">
        <f>RE_trajectories!R16</f>
        <v>625.69039509459515</v>
      </c>
      <c r="C11" s="5">
        <f>RE_trajectories!S16</f>
        <v>510.2849094612983</v>
      </c>
      <c r="D1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B1" sqref="B1"/>
    </sheetView>
  </sheetViews>
  <sheetFormatPr baseColWidth="10" defaultColWidth="11.5" defaultRowHeight="15" x14ac:dyDescent="0.2"/>
  <cols>
    <col min="2" max="2" width="28" bestFit="1" customWidth="1"/>
  </cols>
  <sheetData>
    <row r="1" spans="1:3" x14ac:dyDescent="0.2">
      <c r="A1" t="s">
        <v>494</v>
      </c>
      <c r="B1" s="5" t="str">
        <f>RE_trajectories!R23</f>
        <v>Weighted_cost_wind_USDpkW_3pc</v>
      </c>
      <c r="C1" t="str">
        <f>RE_trajectories!S23</f>
        <v>Weighted_cost_wind_USDpkW_5pc</v>
      </c>
    </row>
    <row r="2" spans="1:3" x14ac:dyDescent="0.2">
      <c r="A2">
        <f>RE_trajectories!A7</f>
        <v>50</v>
      </c>
      <c r="B2" s="5">
        <f>RE_trajectories!R25</f>
        <v>1171.2120555049391</v>
      </c>
      <c r="C2" s="5">
        <f>RE_trajectories!S25</f>
        <v>1128.5312923270249</v>
      </c>
    </row>
    <row r="3" spans="1:3" x14ac:dyDescent="0.2">
      <c r="A3">
        <f>RE_trajectories!A8</f>
        <v>75</v>
      </c>
      <c r="B3" s="5">
        <f>RE_trajectories!R26</f>
        <v>1108.2181634204294</v>
      </c>
      <c r="C3" s="5">
        <f>RE_trajectories!S26</f>
        <v>1032.012235110707</v>
      </c>
    </row>
    <row r="4" spans="1:3" x14ac:dyDescent="0.2">
      <c r="A4">
        <f>RE_trajectories!A9</f>
        <v>100</v>
      </c>
      <c r="B4" s="5">
        <f>RE_trajectories!R27</f>
        <v>1072.852328640769</v>
      </c>
      <c r="C4" s="5">
        <f>RE_trajectories!S27</f>
        <v>978.13763712149307</v>
      </c>
    </row>
    <row r="5" spans="1:3" x14ac:dyDescent="0.2">
      <c r="A5">
        <f>RE_trajectories!A10</f>
        <v>150</v>
      </c>
      <c r="B5" s="5">
        <f>RE_trajectories!R28</f>
        <v>1032.9759496904005</v>
      </c>
      <c r="C5" s="5">
        <f>RE_trajectories!S28</f>
        <v>917.74819477408266</v>
      </c>
    </row>
    <row r="6" spans="1:3" x14ac:dyDescent="0.2">
      <c r="A6">
        <f>RE_trajectories!A11</f>
        <v>200</v>
      </c>
      <c r="B6" s="5">
        <f>RE_trajectories!R29</f>
        <v>1010.2364794858461</v>
      </c>
      <c r="C6" s="5">
        <f>RE_trajectories!S29</f>
        <v>883.52468153451491</v>
      </c>
    </row>
    <row r="7" spans="1:3" x14ac:dyDescent="0.2">
      <c r="A7">
        <f>RE_trajectories!A12</f>
        <v>225</v>
      </c>
      <c r="B7" s="5">
        <f>RE_trajectories!R30</f>
        <v>1002.0154165794322</v>
      </c>
      <c r="C7" s="5">
        <f>RE_trajectories!S30</f>
        <v>871.19782340947734</v>
      </c>
    </row>
    <row r="8" spans="1:3" x14ac:dyDescent="0.2">
      <c r="A8">
        <f>RE_trajectories!A13</f>
        <v>300</v>
      </c>
      <c r="B8" s="5">
        <f>RE_trajectories!R31</f>
        <v>984.19116266284482</v>
      </c>
      <c r="C8" s="5">
        <f>RE_trajectories!S31</f>
        <v>844.56907271257194</v>
      </c>
    </row>
    <row r="9" spans="1:3" x14ac:dyDescent="0.2">
      <c r="A9">
        <f>RE_trajectories!A14</f>
        <v>400</v>
      </c>
      <c r="B9" s="5">
        <f>RE_trajectories!R32</f>
        <v>969.09328836441841</v>
      </c>
      <c r="C9" s="5">
        <f>RE_trajectories!S32</f>
        <v>822.13300736928477</v>
      </c>
    </row>
    <row r="10" spans="1:3" x14ac:dyDescent="0.2">
      <c r="A10">
        <f>RE_trajectories!A15</f>
        <v>450</v>
      </c>
      <c r="B10" s="5">
        <f>RE_trajectories!R33</f>
        <v>963.58148816072071</v>
      </c>
      <c r="C10" s="5">
        <f>RE_trajectories!S33</f>
        <v>813.97352413868964</v>
      </c>
    </row>
    <row r="11" spans="1:3" x14ac:dyDescent="0.2">
      <c r="A11">
        <f>RE_trajectories!A16</f>
        <v>600</v>
      </c>
      <c r="B11" s="5">
        <f>RE_trajectories!R34</f>
        <v>951.51750672678588</v>
      </c>
      <c r="C11" s="5">
        <f>RE_trajectories!S34</f>
        <v>796.18056600789123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RE_trajectories</vt:lpstr>
      <vt:lpstr>LC_solar_wt_cost</vt:lpstr>
      <vt:lpstr>LC_wind_wt_cost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2020-09-13T09:26:39Z</dcterms:modified>
</cp:coreProperties>
</file>