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 autoCompressPictures="0"/>
  <mc:AlternateContent xmlns:mc="http://schemas.openxmlformats.org/markup-compatibility/2006">
    <mc:Choice Requires="x15">
      <x15ac:absPath xmlns:x15ac="http://schemas.microsoft.com/office/spreadsheetml/2010/11/ac" url="/Users/ranjitster/Dropbox/renewable_energy_value/renewable_energy_value/india_REV_input/"/>
    </mc:Choice>
  </mc:AlternateContent>
  <bookViews>
    <workbookView xWindow="380" yWindow="840" windowWidth="45420" windowHeight="25060"/>
  </bookViews>
  <sheets>
    <sheet name="REvalue_input_csv" sheetId="11" r:id="rId1"/>
    <sheet name="Status Runs" sheetId="14" r:id="rId2"/>
    <sheet name="Screening curves" sheetId="1" r:id="rId3"/>
    <sheet name="CF_crossover_points" sheetId="6" r:id="rId4"/>
    <sheet name="screening_curve_plot" sheetId="7" r:id="rId5"/>
    <sheet name="generator_cost_all" sheetId="8" r:id="rId6"/>
    <sheet name="RE_trajectories" sheetId="16" r:id="rId7"/>
    <sheet name="LC_solar_wt_cost" sheetId="17" r:id="rId8"/>
    <sheet name="LC_wind_wt_cost" sheetId="18" r:id="rId9"/>
    <sheet name="Data and sources" sheetId="4" r:id="rId10"/>
    <sheet name="inflation rate" sheetId="5" r:id="rId11"/>
    <sheet name="FGD costs" sheetId="15" r:id="rId12"/>
    <sheet name="scenarios" sheetId="13" r:id="rId13"/>
    <sheet name="run_times" sheetId="12" r:id="rId1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47" i="11" l="1"/>
  <c r="AT44" i="11"/>
  <c r="AT42" i="11"/>
  <c r="AT40" i="11"/>
  <c r="AT39" i="11"/>
  <c r="AT37" i="11"/>
  <c r="AT36" i="11"/>
  <c r="AT34" i="11"/>
  <c r="AT33" i="11"/>
  <c r="AT30" i="11"/>
  <c r="AT29" i="11"/>
  <c r="AT26" i="11"/>
  <c r="AT25" i="11"/>
  <c r="AT22" i="11"/>
  <c r="AT21" i="11"/>
  <c r="AT19" i="11"/>
  <c r="AT17" i="11"/>
  <c r="AT15" i="11"/>
  <c r="AT13" i="11"/>
  <c r="AT11" i="11"/>
  <c r="AT10" i="11"/>
  <c r="AT8" i="11"/>
  <c r="AT7" i="11"/>
  <c r="AT6" i="11"/>
  <c r="AT5" i="11"/>
  <c r="AT4" i="11"/>
  <c r="AT3" i="11"/>
  <c r="AT2" i="11"/>
  <c r="AQ47" i="11"/>
  <c r="AQ44" i="11"/>
  <c r="AQ42" i="11"/>
  <c r="AQ40" i="11"/>
  <c r="AQ39" i="11"/>
  <c r="AQ37" i="11"/>
  <c r="AQ36" i="11"/>
  <c r="AQ34" i="11"/>
  <c r="AQ33" i="11"/>
  <c r="AQ30" i="11"/>
  <c r="AQ29" i="11"/>
  <c r="AQ26" i="11"/>
  <c r="AQ25" i="11"/>
  <c r="AQ22" i="11"/>
  <c r="AQ21" i="11"/>
  <c r="AQ19" i="11"/>
  <c r="AQ17" i="11"/>
  <c r="AQ15" i="11"/>
  <c r="AQ13" i="11"/>
  <c r="AQ11" i="11"/>
  <c r="AQ10" i="11"/>
  <c r="AQ8" i="11"/>
  <c r="AQ7" i="11"/>
  <c r="AQ6" i="11"/>
  <c r="AQ5" i="11"/>
  <c r="AQ4" i="11"/>
  <c r="AQ3" i="11"/>
  <c r="AQ2" i="11"/>
  <c r="AP47" i="11"/>
  <c r="AP44" i="11"/>
  <c r="AP42" i="11"/>
  <c r="AP40" i="11"/>
  <c r="AP39" i="11"/>
  <c r="AP37" i="11"/>
  <c r="AP36" i="11"/>
  <c r="AP34" i="11"/>
  <c r="AP33" i="11"/>
  <c r="AP30" i="11"/>
  <c r="AP29" i="11"/>
  <c r="AP26" i="11"/>
  <c r="AP25" i="11"/>
  <c r="AP22" i="11"/>
  <c r="AP21" i="11"/>
  <c r="AP19" i="11"/>
  <c r="AP17" i="11"/>
  <c r="AP15" i="11"/>
  <c r="AP13" i="11"/>
  <c r="AP11" i="11"/>
  <c r="AP10" i="11"/>
  <c r="AP8" i="11"/>
  <c r="AP7" i="11"/>
  <c r="AP6" i="11"/>
  <c r="AP5" i="11"/>
  <c r="AP4" i="11"/>
  <c r="AP3" i="11"/>
  <c r="AP2" i="11"/>
  <c r="AS47" i="11"/>
  <c r="AS44" i="11"/>
  <c r="AS42" i="11"/>
  <c r="AS40" i="11"/>
  <c r="AS39" i="11"/>
  <c r="AS37" i="11"/>
  <c r="AS36" i="11"/>
  <c r="AS34" i="11"/>
  <c r="AS33" i="11"/>
  <c r="AS30" i="11"/>
  <c r="AS29" i="11"/>
  <c r="AS26" i="11"/>
  <c r="AS25" i="11"/>
  <c r="AS22" i="11"/>
  <c r="AS21" i="11"/>
  <c r="AS19" i="11"/>
  <c r="AS17" i="11"/>
  <c r="AS15" i="11"/>
  <c r="AS13" i="11"/>
  <c r="AS11" i="11"/>
  <c r="AS10" i="11"/>
  <c r="AS8" i="11"/>
  <c r="AS7" i="11"/>
  <c r="AS6" i="11"/>
  <c r="AS5" i="11"/>
  <c r="AS4" i="11"/>
  <c r="AS3" i="11"/>
  <c r="AS2" i="11"/>
  <c r="AR47" i="11"/>
  <c r="AR44" i="11"/>
  <c r="AR42" i="11"/>
  <c r="AR40" i="11"/>
  <c r="AR39" i="11"/>
  <c r="AR37" i="11"/>
  <c r="AR36" i="11"/>
  <c r="AR34" i="11"/>
  <c r="AR33" i="11"/>
  <c r="AR30" i="11"/>
  <c r="AR29" i="11"/>
  <c r="AR26" i="11"/>
  <c r="AR25" i="11"/>
  <c r="AR22" i="11"/>
  <c r="AR21" i="11"/>
  <c r="AR19" i="11"/>
  <c r="AR17" i="11"/>
  <c r="AR15" i="11"/>
  <c r="AR13" i="11"/>
  <c r="AR11" i="11"/>
  <c r="AR10" i="11"/>
  <c r="AR8" i="11"/>
  <c r="AR7" i="11"/>
  <c r="AR6" i="11"/>
  <c r="AR5" i="11"/>
  <c r="AR4" i="11"/>
  <c r="AR3" i="11"/>
  <c r="AR2" i="11"/>
  <c r="AO47" i="11"/>
  <c r="AO44" i="11"/>
  <c r="AO42" i="11"/>
  <c r="AO40" i="11"/>
  <c r="AO39" i="11"/>
  <c r="AO37" i="11"/>
  <c r="AO36" i="11"/>
  <c r="AO34" i="11"/>
  <c r="AO33" i="11"/>
  <c r="AO30" i="11"/>
  <c r="AO29" i="11"/>
  <c r="AO26" i="11"/>
  <c r="AO25" i="11"/>
  <c r="AO22" i="11"/>
  <c r="AO21" i="11"/>
  <c r="AO19" i="11"/>
  <c r="AO17" i="11"/>
  <c r="AO15" i="11"/>
  <c r="AO13" i="11"/>
  <c r="AO11" i="11"/>
  <c r="AO10" i="11"/>
  <c r="AO8" i="11"/>
  <c r="AO7" i="11"/>
  <c r="AO6" i="11"/>
  <c r="AO5" i="11"/>
  <c r="AO4" i="11"/>
  <c r="AO3" i="11"/>
  <c r="AO2" i="11"/>
  <c r="AK6" i="1"/>
  <c r="AK5" i="1"/>
  <c r="D31" i="1"/>
  <c r="C39" i="16"/>
  <c r="C38" i="16"/>
  <c r="B44" i="16"/>
  <c r="D44" i="16"/>
  <c r="E44" i="16"/>
  <c r="F44" i="16"/>
  <c r="G44" i="16"/>
  <c r="H44" i="16"/>
  <c r="I44" i="16"/>
  <c r="J44" i="16"/>
  <c r="K44" i="16"/>
  <c r="L44" i="16"/>
  <c r="M44" i="16"/>
  <c r="N44" i="16"/>
  <c r="O44" i="16"/>
  <c r="P44" i="16"/>
  <c r="S44" i="16"/>
  <c r="B43" i="16"/>
  <c r="D43" i="16"/>
  <c r="E43" i="16"/>
  <c r="F43" i="16"/>
  <c r="G43" i="16"/>
  <c r="H43" i="16"/>
  <c r="I43" i="16"/>
  <c r="J43" i="16"/>
  <c r="K43" i="16"/>
  <c r="L43" i="16"/>
  <c r="M43" i="16"/>
  <c r="N43" i="16"/>
  <c r="O43" i="16"/>
  <c r="P43" i="16"/>
  <c r="S43" i="16"/>
  <c r="S41" i="16"/>
  <c r="R41" i="16"/>
  <c r="R44" i="16"/>
  <c r="R43" i="16"/>
  <c r="B39" i="16"/>
  <c r="B38" i="16"/>
  <c r="Q44" i="16"/>
  <c r="Q43" i="16"/>
  <c r="S42" i="16"/>
  <c r="R42" i="16"/>
  <c r="Q42" i="16"/>
  <c r="D40" i="16"/>
  <c r="E40" i="16"/>
  <c r="F40" i="16"/>
  <c r="G40" i="16"/>
  <c r="H40" i="16"/>
  <c r="I40" i="16"/>
  <c r="J40" i="16"/>
  <c r="K40" i="16"/>
  <c r="L40" i="16"/>
  <c r="M40" i="16"/>
  <c r="N40" i="16"/>
  <c r="O40" i="16"/>
  <c r="P40" i="16"/>
  <c r="C53" i="1"/>
  <c r="D58" i="1"/>
  <c r="U1" i="8"/>
  <c r="U2" i="8"/>
  <c r="U3" i="8"/>
  <c r="U4" i="8"/>
  <c r="U5" i="8"/>
  <c r="U6" i="8"/>
  <c r="U7" i="8"/>
  <c r="U8" i="8"/>
  <c r="U9" i="8"/>
  <c r="U10" i="8"/>
  <c r="U11" i="8"/>
  <c r="AK63" i="1"/>
  <c r="U12" i="8"/>
  <c r="AK64" i="1"/>
  <c r="U13" i="8"/>
  <c r="T1" i="8"/>
  <c r="T2" i="8"/>
  <c r="T3" i="8"/>
  <c r="T4" i="8"/>
  <c r="T5" i="8"/>
  <c r="T6" i="8"/>
  <c r="T7" i="8"/>
  <c r="T8" i="8"/>
  <c r="T9" i="8"/>
  <c r="T10" i="8"/>
  <c r="T11" i="8"/>
  <c r="AJ63" i="1"/>
  <c r="T12" i="8"/>
  <c r="AJ64" i="1"/>
  <c r="T13" i="8"/>
  <c r="S1" i="8"/>
  <c r="S2" i="8"/>
  <c r="S3" i="8"/>
  <c r="S4" i="8"/>
  <c r="S5" i="8"/>
  <c r="S6" i="8"/>
  <c r="S7" i="8"/>
  <c r="S8" i="8"/>
  <c r="S9" i="8"/>
  <c r="S10" i="8"/>
  <c r="S11" i="8"/>
  <c r="AI63" i="1"/>
  <c r="S12" i="8"/>
  <c r="AI64" i="1"/>
  <c r="S13" i="8"/>
  <c r="R1" i="8"/>
  <c r="R2" i="8"/>
  <c r="R3" i="8"/>
  <c r="R4" i="8"/>
  <c r="R5" i="8"/>
  <c r="R6" i="8"/>
  <c r="R7" i="8"/>
  <c r="R8" i="8"/>
  <c r="R9" i="8"/>
  <c r="R10" i="8"/>
  <c r="R11" i="8"/>
  <c r="AH63" i="1"/>
  <c r="R12" i="8"/>
  <c r="AH64" i="1"/>
  <c r="R13" i="8"/>
  <c r="Q1" i="8"/>
  <c r="Q2" i="8"/>
  <c r="Q3" i="8"/>
  <c r="Q4" i="8"/>
  <c r="Q5" i="8"/>
  <c r="Q6" i="8"/>
  <c r="Q7" i="8"/>
  <c r="Q8" i="8"/>
  <c r="Q9" i="8"/>
  <c r="Q10" i="8"/>
  <c r="Q11" i="8"/>
  <c r="AG63" i="1"/>
  <c r="Q12" i="8"/>
  <c r="AG64" i="1"/>
  <c r="Q13" i="8"/>
  <c r="P1" i="8"/>
  <c r="P2" i="8"/>
  <c r="P3" i="8"/>
  <c r="P4" i="8"/>
  <c r="P5" i="8"/>
  <c r="P6" i="8"/>
  <c r="P7" i="8"/>
  <c r="P8" i="8"/>
  <c r="P9" i="8"/>
  <c r="P10" i="8"/>
  <c r="P11" i="8"/>
  <c r="AF63" i="1"/>
  <c r="P12" i="8"/>
  <c r="AF64" i="1"/>
  <c r="P13" i="8"/>
  <c r="O1" i="8"/>
  <c r="O2" i="8"/>
  <c r="O3" i="8"/>
  <c r="O4" i="8"/>
  <c r="O5" i="8"/>
  <c r="O6" i="8"/>
  <c r="O7" i="8"/>
  <c r="O8" i="8"/>
  <c r="O9" i="8"/>
  <c r="O10" i="8"/>
  <c r="O11" i="8"/>
  <c r="AE63" i="1"/>
  <c r="O12" i="8"/>
  <c r="AE64" i="1"/>
  <c r="O13" i="8"/>
  <c r="N1" i="8"/>
  <c r="N2" i="8"/>
  <c r="N3" i="8"/>
  <c r="N4" i="8"/>
  <c r="N5" i="8"/>
  <c r="N6" i="8"/>
  <c r="N7" i="8"/>
  <c r="N8" i="8"/>
  <c r="N9" i="8"/>
  <c r="N10" i="8"/>
  <c r="N11" i="8"/>
  <c r="AD63" i="1"/>
  <c r="N12" i="8"/>
  <c r="AD64" i="1"/>
  <c r="N13" i="8"/>
  <c r="M1" i="8"/>
  <c r="M2" i="8"/>
  <c r="M3" i="8"/>
  <c r="M4" i="8"/>
  <c r="M5" i="8"/>
  <c r="M6" i="8"/>
  <c r="M7" i="8"/>
  <c r="M8" i="8"/>
  <c r="M9" i="8"/>
  <c r="M10" i="8"/>
  <c r="M11" i="8"/>
  <c r="AC63" i="1"/>
  <c r="M12" i="8"/>
  <c r="AC64" i="1"/>
  <c r="M13" i="8"/>
  <c r="L1" i="8"/>
  <c r="L2" i="8"/>
  <c r="L3" i="8"/>
  <c r="L4" i="8"/>
  <c r="L5" i="8"/>
  <c r="L6" i="8"/>
  <c r="L7" i="8"/>
  <c r="L8" i="8"/>
  <c r="L9" i="8"/>
  <c r="L10" i="8"/>
  <c r="L11" i="8"/>
  <c r="AB63" i="1"/>
  <c r="L12" i="8"/>
  <c r="AB64" i="1"/>
  <c r="L13" i="8"/>
  <c r="K1" i="8"/>
  <c r="K2" i="8"/>
  <c r="K3" i="8"/>
  <c r="K4" i="8"/>
  <c r="K5" i="8"/>
  <c r="K6" i="8"/>
  <c r="K7" i="8"/>
  <c r="K8" i="8"/>
  <c r="K9" i="8"/>
  <c r="K10" i="8"/>
  <c r="K11" i="8"/>
  <c r="AA63" i="1"/>
  <c r="K12" i="8"/>
  <c r="AA64" i="1"/>
  <c r="K13" i="8"/>
  <c r="J1" i="8"/>
  <c r="J2" i="8"/>
  <c r="J3" i="8"/>
  <c r="J4" i="8"/>
  <c r="J5" i="8"/>
  <c r="J6" i="8"/>
  <c r="J7" i="8"/>
  <c r="J8" i="8"/>
  <c r="J9" i="8"/>
  <c r="J10" i="8"/>
  <c r="J11" i="8"/>
  <c r="Z63" i="1"/>
  <c r="J12" i="8"/>
  <c r="Z64" i="1"/>
  <c r="J13" i="8"/>
  <c r="I1" i="8"/>
  <c r="I2" i="8"/>
  <c r="I3" i="8"/>
  <c r="I4" i="8"/>
  <c r="I5" i="8"/>
  <c r="I6" i="8"/>
  <c r="I7" i="8"/>
  <c r="I8" i="8"/>
  <c r="I9" i="8"/>
  <c r="I10" i="8"/>
  <c r="I11" i="8"/>
  <c r="Y63" i="1"/>
  <c r="I12" i="8"/>
  <c r="Y64" i="1"/>
  <c r="I13" i="8"/>
  <c r="H1" i="8"/>
  <c r="H2" i="8"/>
  <c r="H3" i="8"/>
  <c r="H4" i="8"/>
  <c r="H5" i="8"/>
  <c r="H6" i="8"/>
  <c r="H7" i="8"/>
  <c r="H8" i="8"/>
  <c r="H9" i="8"/>
  <c r="H10" i="8"/>
  <c r="H11" i="8"/>
  <c r="X63" i="1"/>
  <c r="H12" i="8"/>
  <c r="X64" i="1"/>
  <c r="H13" i="8"/>
  <c r="K1" i="6"/>
  <c r="L1" i="6"/>
  <c r="M1" i="6"/>
  <c r="N1" i="6"/>
  <c r="O1" i="6"/>
  <c r="P1" i="6"/>
  <c r="Q1" i="6"/>
  <c r="R1" i="6"/>
  <c r="S1" i="6"/>
  <c r="T1" i="6"/>
  <c r="K2" i="6"/>
  <c r="L2" i="6"/>
  <c r="M2" i="6"/>
  <c r="N2" i="6"/>
  <c r="O2" i="6"/>
  <c r="P2" i="6"/>
  <c r="Q2" i="6"/>
  <c r="R2" i="6"/>
  <c r="S2" i="6"/>
  <c r="T2" i="6"/>
  <c r="K3" i="6"/>
  <c r="L3" i="6"/>
  <c r="M3" i="6"/>
  <c r="N3" i="6"/>
  <c r="O3" i="6"/>
  <c r="P3" i="6"/>
  <c r="Q3" i="6"/>
  <c r="R3" i="6"/>
  <c r="S3" i="6"/>
  <c r="T3" i="6"/>
  <c r="K4" i="6"/>
  <c r="L4" i="6"/>
  <c r="M4" i="6"/>
  <c r="N4" i="6"/>
  <c r="O4" i="6"/>
  <c r="P4" i="6"/>
  <c r="Q4" i="6"/>
  <c r="R4" i="6"/>
  <c r="S4" i="6"/>
  <c r="T4" i="6"/>
  <c r="K5" i="6"/>
  <c r="L5" i="6"/>
  <c r="M5" i="6"/>
  <c r="N5" i="6"/>
  <c r="O5" i="6"/>
  <c r="P5" i="6"/>
  <c r="Q5" i="6"/>
  <c r="R5" i="6"/>
  <c r="S5" i="6"/>
  <c r="T5" i="6"/>
  <c r="K6" i="6"/>
  <c r="L6" i="6"/>
  <c r="M6" i="6"/>
  <c r="N6" i="6"/>
  <c r="O6" i="6"/>
  <c r="P6" i="6"/>
  <c r="Q6" i="6"/>
  <c r="R6" i="6"/>
  <c r="S6" i="6"/>
  <c r="T6" i="6"/>
  <c r="K7" i="6"/>
  <c r="L7" i="6"/>
  <c r="M7" i="6"/>
  <c r="N7" i="6"/>
  <c r="O7" i="6"/>
  <c r="P7" i="6"/>
  <c r="Q7" i="6"/>
  <c r="R7" i="6"/>
  <c r="S7" i="6"/>
  <c r="T7" i="6"/>
  <c r="K8" i="6"/>
  <c r="L8" i="6"/>
  <c r="M8" i="6"/>
  <c r="N8" i="6"/>
  <c r="O8" i="6"/>
  <c r="P8" i="6"/>
  <c r="Q8" i="6"/>
  <c r="R8" i="6"/>
  <c r="S8" i="6"/>
  <c r="T8" i="6"/>
  <c r="AF62" i="1"/>
  <c r="AF61" i="1"/>
  <c r="AF60" i="1"/>
  <c r="AF59" i="1"/>
  <c r="AF58" i="1"/>
  <c r="AF28" i="1"/>
  <c r="AF57" i="1"/>
  <c r="AF56" i="1"/>
  <c r="AF23" i="1"/>
  <c r="AF55" i="1"/>
  <c r="AF54" i="1"/>
  <c r="AF17" i="1"/>
  <c r="AF53" i="1"/>
  <c r="AF52" i="1"/>
  <c r="AF15" i="1"/>
  <c r="AF30" i="1"/>
  <c r="AF48" i="1"/>
  <c r="AF29" i="1"/>
  <c r="AF31" i="1"/>
  <c r="AF49" i="1"/>
  <c r="AF24" i="1"/>
  <c r="AF46" i="1"/>
  <c r="AF18" i="1"/>
  <c r="AF25" i="1"/>
  <c r="AF47" i="1"/>
  <c r="AF19" i="1"/>
  <c r="AF44" i="1"/>
  <c r="AF20" i="1"/>
  <c r="AF45" i="1"/>
  <c r="AF40" i="1"/>
  <c r="AF39" i="1"/>
  <c r="AF38" i="1"/>
  <c r="AF37" i="1"/>
  <c r="AF35" i="1"/>
  <c r="AF34" i="1"/>
  <c r="AF14" i="1"/>
  <c r="AE62" i="1"/>
  <c r="AE61" i="1"/>
  <c r="AE60" i="1"/>
  <c r="AE59" i="1"/>
  <c r="AE58" i="1"/>
  <c r="AE28" i="1"/>
  <c r="AE57" i="1"/>
  <c r="AE56" i="1"/>
  <c r="AE23" i="1"/>
  <c r="AE55" i="1"/>
  <c r="AE54" i="1"/>
  <c r="AE17" i="1"/>
  <c r="AE53" i="1"/>
  <c r="AE52" i="1"/>
  <c r="AE15" i="1"/>
  <c r="AE30" i="1"/>
  <c r="AE48" i="1"/>
  <c r="AE29" i="1"/>
  <c r="AE31" i="1"/>
  <c r="AE49" i="1"/>
  <c r="AE24" i="1"/>
  <c r="AE46" i="1"/>
  <c r="AE18" i="1"/>
  <c r="AE25" i="1"/>
  <c r="AE47" i="1"/>
  <c r="AE19" i="1"/>
  <c r="AE44" i="1"/>
  <c r="AE20" i="1"/>
  <c r="AE45" i="1"/>
  <c r="AE40" i="1"/>
  <c r="AE39" i="1"/>
  <c r="AE38" i="1"/>
  <c r="AE37" i="1"/>
  <c r="AE35" i="1"/>
  <c r="AE34" i="1"/>
  <c r="AE14" i="1"/>
  <c r="AD62" i="1"/>
  <c r="AD61" i="1"/>
  <c r="AD60" i="1"/>
  <c r="AD59" i="1"/>
  <c r="AD58" i="1"/>
  <c r="AD28" i="1"/>
  <c r="AD57" i="1"/>
  <c r="AD56" i="1"/>
  <c r="AD23" i="1"/>
  <c r="AD55" i="1"/>
  <c r="AD54" i="1"/>
  <c r="AD17" i="1"/>
  <c r="AD53" i="1"/>
  <c r="AD52" i="1"/>
  <c r="AD15" i="1"/>
  <c r="AD30" i="1"/>
  <c r="AD48" i="1"/>
  <c r="AD29" i="1"/>
  <c r="AD31" i="1"/>
  <c r="AD49" i="1"/>
  <c r="AD24" i="1"/>
  <c r="AD46" i="1"/>
  <c r="AD18" i="1"/>
  <c r="AD25" i="1"/>
  <c r="AD47" i="1"/>
  <c r="AD19" i="1"/>
  <c r="AD44" i="1"/>
  <c r="AD20" i="1"/>
  <c r="AD45" i="1"/>
  <c r="AD40" i="1"/>
  <c r="AD39" i="1"/>
  <c r="AD38" i="1"/>
  <c r="AD37" i="1"/>
  <c r="AD35" i="1"/>
  <c r="AD34" i="1"/>
  <c r="AD14" i="1"/>
  <c r="AJ62" i="1"/>
  <c r="AJ61" i="1"/>
  <c r="AJ60" i="1"/>
  <c r="AJ59" i="1"/>
  <c r="AJ58" i="1"/>
  <c r="AJ28" i="1"/>
  <c r="AJ57" i="1"/>
  <c r="AJ56" i="1"/>
  <c r="AJ23" i="1"/>
  <c r="AJ55" i="1"/>
  <c r="AJ54" i="1"/>
  <c r="AJ17" i="1"/>
  <c r="AJ53" i="1"/>
  <c r="AJ9" i="1"/>
  <c r="AJ52" i="1"/>
  <c r="AJ15" i="1"/>
  <c r="AJ30" i="1"/>
  <c r="AJ48" i="1"/>
  <c r="AJ29" i="1"/>
  <c r="AJ31" i="1"/>
  <c r="AJ49" i="1"/>
  <c r="AJ24" i="1"/>
  <c r="AJ46" i="1"/>
  <c r="AJ18" i="1"/>
  <c r="AJ25" i="1"/>
  <c r="AJ47" i="1"/>
  <c r="AJ19" i="1"/>
  <c r="AJ44" i="1"/>
  <c r="AJ20" i="1"/>
  <c r="AJ45" i="1"/>
  <c r="AJ40" i="1"/>
  <c r="AJ39" i="1"/>
  <c r="AJ38" i="1"/>
  <c r="AJ37" i="1"/>
  <c r="AJ35" i="1"/>
  <c r="AJ34" i="1"/>
  <c r="AJ14" i="1"/>
  <c r="AI62" i="1"/>
  <c r="AI61" i="1"/>
  <c r="AI60" i="1"/>
  <c r="AI59" i="1"/>
  <c r="AI58" i="1"/>
  <c r="AI28" i="1"/>
  <c r="AI57" i="1"/>
  <c r="AI56" i="1"/>
  <c r="AI23" i="1"/>
  <c r="AI55" i="1"/>
  <c r="AI54" i="1"/>
  <c r="AI17" i="1"/>
  <c r="AI53" i="1"/>
  <c r="AI9" i="1"/>
  <c r="AI52" i="1"/>
  <c r="AI15" i="1"/>
  <c r="AI30" i="1"/>
  <c r="AI48" i="1"/>
  <c r="AI29" i="1"/>
  <c r="AI31" i="1"/>
  <c r="AI49" i="1"/>
  <c r="AI24" i="1"/>
  <c r="AI46" i="1"/>
  <c r="AI18" i="1"/>
  <c r="AI25" i="1"/>
  <c r="AI47" i="1"/>
  <c r="AI19" i="1"/>
  <c r="AI44" i="1"/>
  <c r="AI20" i="1"/>
  <c r="AI45" i="1"/>
  <c r="AI40" i="1"/>
  <c r="AI39" i="1"/>
  <c r="AI38" i="1"/>
  <c r="AI37" i="1"/>
  <c r="AI35" i="1"/>
  <c r="AI34" i="1"/>
  <c r="AI14" i="1"/>
  <c r="AH62" i="1"/>
  <c r="AH61" i="1"/>
  <c r="AH60" i="1"/>
  <c r="AH59" i="1"/>
  <c r="AH58" i="1"/>
  <c r="AH28" i="1"/>
  <c r="AH57" i="1"/>
  <c r="AH56" i="1"/>
  <c r="AH23" i="1"/>
  <c r="AH55" i="1"/>
  <c r="AH54" i="1"/>
  <c r="AH17" i="1"/>
  <c r="AH53" i="1"/>
  <c r="AH9" i="1"/>
  <c r="AH52" i="1"/>
  <c r="AH15" i="1"/>
  <c r="AH30" i="1"/>
  <c r="AH48" i="1"/>
  <c r="AH29" i="1"/>
  <c r="AH31" i="1"/>
  <c r="AH49" i="1"/>
  <c r="AH24" i="1"/>
  <c r="AH46" i="1"/>
  <c r="AH18" i="1"/>
  <c r="AH25" i="1"/>
  <c r="AH47" i="1"/>
  <c r="AH19" i="1"/>
  <c r="AH44" i="1"/>
  <c r="AH20" i="1"/>
  <c r="AH45" i="1"/>
  <c r="AH40" i="1"/>
  <c r="AH39" i="1"/>
  <c r="AH38" i="1"/>
  <c r="AH37" i="1"/>
  <c r="AH35" i="1"/>
  <c r="AH34" i="1"/>
  <c r="AH14" i="1"/>
  <c r="AD9" i="1"/>
  <c r="AE9" i="1"/>
  <c r="AF9" i="1"/>
  <c r="AI47" i="11"/>
  <c r="AI44" i="11"/>
  <c r="AI42" i="11"/>
  <c r="AI40" i="11"/>
  <c r="AI39" i="11"/>
  <c r="AI37" i="11"/>
  <c r="AI36" i="11"/>
  <c r="AI34" i="11"/>
  <c r="AI33" i="11"/>
  <c r="AI30" i="11"/>
  <c r="AI29" i="11"/>
  <c r="AI26" i="11"/>
  <c r="AI25" i="11"/>
  <c r="AI22" i="11"/>
  <c r="AI21" i="11"/>
  <c r="AI19" i="11"/>
  <c r="AI17" i="11"/>
  <c r="AI15" i="11"/>
  <c r="AI13" i="11"/>
  <c r="AI11" i="11"/>
  <c r="AI10" i="11"/>
  <c r="AI8" i="11"/>
  <c r="AI7" i="11"/>
  <c r="AI6" i="11"/>
  <c r="AI5" i="11"/>
  <c r="AI4" i="11"/>
  <c r="AI3" i="11"/>
  <c r="AI2" i="11"/>
  <c r="AE47" i="11"/>
  <c r="AE44" i="11"/>
  <c r="AE42" i="11"/>
  <c r="AE40" i="11"/>
  <c r="AE39" i="11"/>
  <c r="AE37" i="11"/>
  <c r="AE36" i="11"/>
  <c r="AE34" i="11"/>
  <c r="AE33" i="11"/>
  <c r="AE30" i="11"/>
  <c r="AE29" i="11"/>
  <c r="AE26" i="11"/>
  <c r="AE25" i="11"/>
  <c r="AE22" i="11"/>
  <c r="AE21" i="11"/>
  <c r="AE19" i="11"/>
  <c r="AE17" i="11"/>
  <c r="AE15" i="11"/>
  <c r="AE13" i="11"/>
  <c r="AE11" i="11"/>
  <c r="AE10" i="11"/>
  <c r="AE8" i="11"/>
  <c r="AE7" i="11"/>
  <c r="AE6" i="11"/>
  <c r="AE5" i="11"/>
  <c r="AE4" i="11"/>
  <c r="AE3" i="11"/>
  <c r="AE2" i="11"/>
  <c r="AK47" i="11"/>
  <c r="AK44" i="11"/>
  <c r="AK42" i="11"/>
  <c r="AK40" i="11"/>
  <c r="AK39" i="11"/>
  <c r="AK37" i="11"/>
  <c r="AK36" i="11"/>
  <c r="AK34" i="11"/>
  <c r="AK33" i="11"/>
  <c r="AK30" i="11"/>
  <c r="AK29" i="11"/>
  <c r="AK26" i="11"/>
  <c r="AK25" i="11"/>
  <c r="AK22" i="11"/>
  <c r="AK21" i="11"/>
  <c r="AK19" i="11"/>
  <c r="AK17" i="11"/>
  <c r="AK15" i="11"/>
  <c r="AK13" i="11"/>
  <c r="AK11" i="11"/>
  <c r="AK10" i="11"/>
  <c r="AK8" i="11"/>
  <c r="AK7" i="11"/>
  <c r="AK6" i="11"/>
  <c r="AK5" i="11"/>
  <c r="AK4" i="11"/>
  <c r="AK3" i="11"/>
  <c r="AK2" i="11"/>
  <c r="AJ47" i="11"/>
  <c r="AJ44" i="11"/>
  <c r="AJ42" i="11"/>
  <c r="AJ40" i="11"/>
  <c r="AJ39" i="11"/>
  <c r="AJ37" i="11"/>
  <c r="AJ36" i="11"/>
  <c r="AJ34" i="11"/>
  <c r="AJ33" i="11"/>
  <c r="AJ30" i="11"/>
  <c r="AJ29" i="11"/>
  <c r="AJ26" i="11"/>
  <c r="AJ25" i="11"/>
  <c r="AJ22" i="11"/>
  <c r="AJ21" i="11"/>
  <c r="AJ19" i="11"/>
  <c r="AJ17" i="11"/>
  <c r="AJ15" i="11"/>
  <c r="AJ13" i="11"/>
  <c r="AJ11" i="11"/>
  <c r="AJ10" i="11"/>
  <c r="AJ8" i="11"/>
  <c r="AJ7" i="11"/>
  <c r="AJ6" i="11"/>
  <c r="AJ5" i="11"/>
  <c r="AJ4" i="11"/>
  <c r="AJ3" i="11"/>
  <c r="AJ2" i="11"/>
  <c r="AH47" i="11"/>
  <c r="AH44" i="11"/>
  <c r="AH42" i="11"/>
  <c r="AH40" i="11"/>
  <c r="AH39" i="11"/>
  <c r="AH37" i="11"/>
  <c r="AH36" i="11"/>
  <c r="AH34" i="11"/>
  <c r="AH33" i="11"/>
  <c r="AH30" i="11"/>
  <c r="AH29" i="11"/>
  <c r="AH26" i="11"/>
  <c r="AH25" i="11"/>
  <c r="AH22" i="11"/>
  <c r="AH21" i="11"/>
  <c r="AH19" i="11"/>
  <c r="AH17" i="11"/>
  <c r="AH15" i="11"/>
  <c r="AH13" i="11"/>
  <c r="AH11" i="11"/>
  <c r="AH10" i="11"/>
  <c r="AH8" i="11"/>
  <c r="AH7" i="11"/>
  <c r="AH6" i="11"/>
  <c r="AH5" i="11"/>
  <c r="AH4" i="11"/>
  <c r="AH3" i="11"/>
  <c r="AH2" i="11"/>
  <c r="AF47" i="11"/>
  <c r="AF44" i="11"/>
  <c r="AF42" i="11"/>
  <c r="AF40" i="11"/>
  <c r="AF39" i="11"/>
  <c r="AF37" i="11"/>
  <c r="AF36" i="11"/>
  <c r="AF34" i="11"/>
  <c r="AF33" i="11"/>
  <c r="AF30" i="11"/>
  <c r="AF29" i="11"/>
  <c r="AF26" i="11"/>
  <c r="AF25" i="11"/>
  <c r="AF22" i="11"/>
  <c r="AF21" i="11"/>
  <c r="AF19" i="11"/>
  <c r="AF17" i="11"/>
  <c r="AF15" i="11"/>
  <c r="AF13" i="11"/>
  <c r="AF11" i="11"/>
  <c r="AF10" i="11"/>
  <c r="AF8" i="11"/>
  <c r="AF7" i="11"/>
  <c r="AF6" i="11"/>
  <c r="AF5" i="11"/>
  <c r="AF4" i="11"/>
  <c r="AF3" i="11"/>
  <c r="AF2" i="11"/>
  <c r="AD47" i="11"/>
  <c r="AD44" i="11"/>
  <c r="AD42" i="11"/>
  <c r="AD40" i="11"/>
  <c r="AD39" i="11"/>
  <c r="AD37" i="11"/>
  <c r="AD36" i="11"/>
  <c r="AD34" i="11"/>
  <c r="AD33" i="11"/>
  <c r="AD30" i="11"/>
  <c r="AD29" i="11"/>
  <c r="AD26" i="11"/>
  <c r="AD25" i="11"/>
  <c r="AD22" i="11"/>
  <c r="AD21" i="11"/>
  <c r="AD19" i="11"/>
  <c r="AD17" i="11"/>
  <c r="AD15" i="11"/>
  <c r="AD13" i="11"/>
  <c r="AD11" i="11"/>
  <c r="AD10" i="11"/>
  <c r="AD8" i="11"/>
  <c r="AD7" i="11"/>
  <c r="AD6" i="11"/>
  <c r="AD5" i="11"/>
  <c r="AD4" i="11"/>
  <c r="AD3" i="11"/>
  <c r="AD2" i="11"/>
  <c r="C33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Y33" i="11"/>
  <c r="Z33" i="11"/>
  <c r="AA33" i="11"/>
  <c r="AB33" i="11"/>
  <c r="AC33" i="11"/>
  <c r="AG33" i="11"/>
  <c r="AL33" i="11"/>
  <c r="AN33" i="11"/>
  <c r="AM33" i="11"/>
  <c r="AN47" i="11"/>
  <c r="AN44" i="11"/>
  <c r="AN42" i="11"/>
  <c r="AN40" i="11"/>
  <c r="AN39" i="11"/>
  <c r="AN37" i="11"/>
  <c r="AN36" i="11"/>
  <c r="AN34" i="11"/>
  <c r="AN30" i="11"/>
  <c r="AN29" i="11"/>
  <c r="AN26" i="11"/>
  <c r="AN25" i="11"/>
  <c r="AN22" i="11"/>
  <c r="AN21" i="11"/>
  <c r="AN19" i="11"/>
  <c r="AN17" i="11"/>
  <c r="AN15" i="11"/>
  <c r="AN13" i="11"/>
  <c r="AN11" i="11"/>
  <c r="AN10" i="11"/>
  <c r="AN8" i="11"/>
  <c r="AN7" i="11"/>
  <c r="AN6" i="11"/>
  <c r="AN5" i="11"/>
  <c r="AN4" i="11"/>
  <c r="AN3" i="11"/>
  <c r="AN2" i="11"/>
  <c r="AM47" i="11"/>
  <c r="AM44" i="11"/>
  <c r="AM42" i="11"/>
  <c r="AM40" i="11"/>
  <c r="AM39" i="11"/>
  <c r="AM37" i="11"/>
  <c r="AM36" i="11"/>
  <c r="AM34" i="11"/>
  <c r="AM30" i="11"/>
  <c r="AM29" i="11"/>
  <c r="AM26" i="11"/>
  <c r="AM25" i="11"/>
  <c r="AM22" i="11"/>
  <c r="AM21" i="11"/>
  <c r="AM19" i="11"/>
  <c r="AM17" i="11"/>
  <c r="AM15" i="11"/>
  <c r="AM13" i="11"/>
  <c r="AM11" i="11"/>
  <c r="AM10" i="11"/>
  <c r="AM8" i="11"/>
  <c r="AM7" i="11"/>
  <c r="AM6" i="11"/>
  <c r="AM5" i="11"/>
  <c r="AM4" i="11"/>
  <c r="AM3" i="11"/>
  <c r="AM2" i="11"/>
  <c r="AL47" i="11"/>
  <c r="AL44" i="11"/>
  <c r="AL42" i="11"/>
  <c r="AL40" i="11"/>
  <c r="AL39" i="11"/>
  <c r="AL37" i="11"/>
  <c r="AL36" i="11"/>
  <c r="AL34" i="11"/>
  <c r="AL30" i="11"/>
  <c r="AL29" i="11"/>
  <c r="AL26" i="11"/>
  <c r="AL25" i="11"/>
  <c r="AL22" i="11"/>
  <c r="AL21" i="11"/>
  <c r="AL19" i="11"/>
  <c r="AL17" i="11"/>
  <c r="AL15" i="11"/>
  <c r="AL13" i="11"/>
  <c r="AL11" i="11"/>
  <c r="AL10" i="11"/>
  <c r="AL8" i="11"/>
  <c r="AL7" i="11"/>
  <c r="AL6" i="11"/>
  <c r="AL5" i="11"/>
  <c r="AL4" i="11"/>
  <c r="AL3" i="11"/>
  <c r="AL2" i="11"/>
  <c r="B13" i="4"/>
  <c r="B14" i="4"/>
  <c r="Y4" i="1"/>
  <c r="AG17" i="1"/>
  <c r="AG53" i="1"/>
  <c r="C13" i="4"/>
  <c r="C14" i="4"/>
  <c r="AA4" i="1"/>
  <c r="AG23" i="1"/>
  <c r="AG55" i="1"/>
  <c r="AG28" i="1"/>
  <c r="AG57" i="1"/>
  <c r="AG59" i="1"/>
  <c r="AG60" i="1"/>
  <c r="AG61" i="1"/>
  <c r="AG62" i="1"/>
  <c r="AG9" i="1"/>
  <c r="AG14" i="1"/>
  <c r="AG15" i="1"/>
  <c r="AG18" i="1"/>
  <c r="AG19" i="1"/>
  <c r="AG20" i="1"/>
  <c r="AG24" i="1"/>
  <c r="AG25" i="1"/>
  <c r="AG29" i="1"/>
  <c r="AG30" i="1"/>
  <c r="AG31" i="1"/>
  <c r="AG34" i="1"/>
  <c r="AG35" i="1"/>
  <c r="AG37" i="1"/>
  <c r="AG38" i="1"/>
  <c r="AG39" i="1"/>
  <c r="AG40" i="1"/>
  <c r="AG44" i="1"/>
  <c r="AG45" i="1"/>
  <c r="AG46" i="1"/>
  <c r="AG47" i="1"/>
  <c r="AG48" i="1"/>
  <c r="AG49" i="1"/>
  <c r="AG52" i="1"/>
  <c r="AG54" i="1"/>
  <c r="AG56" i="1"/>
  <c r="AG58" i="1"/>
  <c r="C72" i="1"/>
  <c r="E71" i="1"/>
  <c r="E72" i="1"/>
  <c r="D71" i="1"/>
  <c r="D72" i="1"/>
  <c r="S6" i="16"/>
  <c r="R6" i="16"/>
  <c r="Q6" i="16"/>
  <c r="S24" i="16"/>
  <c r="R24" i="16"/>
  <c r="Q24" i="16"/>
  <c r="R15" i="16"/>
  <c r="R14" i="16"/>
  <c r="R13" i="16"/>
  <c r="R12" i="16"/>
  <c r="R11" i="16"/>
  <c r="R10" i="16"/>
  <c r="R9" i="16"/>
  <c r="R8" i="16"/>
  <c r="B2" i="18"/>
  <c r="B3" i="18"/>
  <c r="B4" i="18"/>
  <c r="B5" i="18"/>
  <c r="B6" i="18"/>
  <c r="B7" i="18"/>
  <c r="B8" i="18"/>
  <c r="B9" i="18"/>
  <c r="B10" i="18"/>
  <c r="B11" i="18"/>
  <c r="C2" i="18"/>
  <c r="C3" i="18"/>
  <c r="C4" i="18"/>
  <c r="C5" i="18"/>
  <c r="C6" i="18"/>
  <c r="C7" i="18"/>
  <c r="C8" i="18"/>
  <c r="C9" i="18"/>
  <c r="C10" i="18"/>
  <c r="C11" i="18"/>
  <c r="C1" i="18"/>
  <c r="B1" i="18"/>
  <c r="A11" i="18"/>
  <c r="A10" i="18"/>
  <c r="A9" i="18"/>
  <c r="A8" i="18"/>
  <c r="A7" i="18"/>
  <c r="A6" i="18"/>
  <c r="A5" i="18"/>
  <c r="A4" i="18"/>
  <c r="A3" i="18"/>
  <c r="A2" i="18"/>
  <c r="C2" i="17"/>
  <c r="C3" i="17"/>
  <c r="C4" i="17"/>
  <c r="C5" i="17"/>
  <c r="C6" i="17"/>
  <c r="C7" i="17"/>
  <c r="C8" i="17"/>
  <c r="C9" i="17"/>
  <c r="C10" i="17"/>
  <c r="C11" i="17"/>
  <c r="C1" i="17"/>
  <c r="B3" i="17"/>
  <c r="B4" i="17"/>
  <c r="B5" i="17"/>
  <c r="B6" i="17"/>
  <c r="B7" i="17"/>
  <c r="B8" i="17"/>
  <c r="B9" i="17"/>
  <c r="B10" i="17"/>
  <c r="B11" i="17"/>
  <c r="B1" i="17"/>
  <c r="B2" i="17"/>
  <c r="A3" i="17"/>
  <c r="A4" i="17"/>
  <c r="A5" i="17"/>
  <c r="A6" i="17"/>
  <c r="A7" i="17"/>
  <c r="A8" i="17"/>
  <c r="A9" i="17"/>
  <c r="A10" i="17"/>
  <c r="A11" i="17"/>
  <c r="A2" i="17"/>
  <c r="S8" i="16"/>
  <c r="S9" i="16"/>
  <c r="S10" i="16"/>
  <c r="S11" i="16"/>
  <c r="S12" i="16"/>
  <c r="S13" i="16"/>
  <c r="S14" i="16"/>
  <c r="S15" i="16"/>
  <c r="S16" i="16"/>
  <c r="S7" i="16"/>
  <c r="R7" i="16"/>
  <c r="S26" i="16"/>
  <c r="S27" i="16"/>
  <c r="S28" i="16"/>
  <c r="S29" i="16"/>
  <c r="S30" i="16"/>
  <c r="S31" i="16"/>
  <c r="S32" i="16"/>
  <c r="S33" i="16"/>
  <c r="S34" i="16"/>
  <c r="S25" i="16"/>
  <c r="S23" i="16"/>
  <c r="S5" i="16"/>
  <c r="R5" i="16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D20" i="16"/>
  <c r="E20" i="16"/>
  <c r="F20" i="16"/>
  <c r="G20" i="16"/>
  <c r="H20" i="16"/>
  <c r="I20" i="16"/>
  <c r="J20" i="16"/>
  <c r="K20" i="16"/>
  <c r="L20" i="16"/>
  <c r="M20" i="16"/>
  <c r="N20" i="16"/>
  <c r="O20" i="16"/>
  <c r="P20" i="16"/>
  <c r="R23" i="16"/>
  <c r="D21" i="16"/>
  <c r="E21" i="16"/>
  <c r="F21" i="16"/>
  <c r="G21" i="16"/>
  <c r="H21" i="16"/>
  <c r="I21" i="16"/>
  <c r="J21" i="16"/>
  <c r="K21" i="16"/>
  <c r="L21" i="16"/>
  <c r="M21" i="16"/>
  <c r="N21" i="16"/>
  <c r="O21" i="16"/>
  <c r="P21" i="16"/>
  <c r="B34" i="16"/>
  <c r="D34" i="16"/>
  <c r="E34" i="16"/>
  <c r="F34" i="16"/>
  <c r="G34" i="16"/>
  <c r="H34" i="16"/>
  <c r="I34" i="16"/>
  <c r="J34" i="16"/>
  <c r="K34" i="16"/>
  <c r="L34" i="16"/>
  <c r="M34" i="16"/>
  <c r="N34" i="16"/>
  <c r="O34" i="16"/>
  <c r="P34" i="16"/>
  <c r="R34" i="16"/>
  <c r="Q34" i="16"/>
  <c r="B33" i="16"/>
  <c r="D33" i="16"/>
  <c r="E33" i="16"/>
  <c r="F33" i="16"/>
  <c r="G33" i="16"/>
  <c r="H33" i="16"/>
  <c r="I33" i="16"/>
  <c r="J33" i="16"/>
  <c r="K33" i="16"/>
  <c r="L33" i="16"/>
  <c r="M33" i="16"/>
  <c r="N33" i="16"/>
  <c r="O33" i="16"/>
  <c r="P33" i="16"/>
  <c r="R33" i="16"/>
  <c r="Q33" i="16"/>
  <c r="B32" i="16"/>
  <c r="D32" i="16"/>
  <c r="E32" i="16"/>
  <c r="F32" i="16"/>
  <c r="G32" i="16"/>
  <c r="H32" i="16"/>
  <c r="I32" i="16"/>
  <c r="J32" i="16"/>
  <c r="K32" i="16"/>
  <c r="L32" i="16"/>
  <c r="M32" i="16"/>
  <c r="N32" i="16"/>
  <c r="O32" i="16"/>
  <c r="P32" i="16"/>
  <c r="R32" i="16"/>
  <c r="Q32" i="16"/>
  <c r="B31" i="16"/>
  <c r="D31" i="16"/>
  <c r="E31" i="16"/>
  <c r="F31" i="16"/>
  <c r="G31" i="16"/>
  <c r="H31" i="16"/>
  <c r="I31" i="16"/>
  <c r="J31" i="16"/>
  <c r="K31" i="16"/>
  <c r="L31" i="16"/>
  <c r="M31" i="16"/>
  <c r="N31" i="16"/>
  <c r="O31" i="16"/>
  <c r="P31" i="16"/>
  <c r="R31" i="16"/>
  <c r="Q31" i="16"/>
  <c r="B30" i="16"/>
  <c r="D30" i="16"/>
  <c r="E30" i="16"/>
  <c r="F30" i="16"/>
  <c r="G30" i="16"/>
  <c r="H30" i="16"/>
  <c r="I30" i="16"/>
  <c r="J30" i="16"/>
  <c r="K30" i="16"/>
  <c r="L30" i="16"/>
  <c r="M30" i="16"/>
  <c r="N30" i="16"/>
  <c r="O30" i="16"/>
  <c r="P30" i="16"/>
  <c r="R30" i="16"/>
  <c r="Q30" i="16"/>
  <c r="B29" i="16"/>
  <c r="D29" i="16"/>
  <c r="E29" i="16"/>
  <c r="F29" i="16"/>
  <c r="G29" i="16"/>
  <c r="H29" i="16"/>
  <c r="I29" i="16"/>
  <c r="J29" i="16"/>
  <c r="K29" i="16"/>
  <c r="L29" i="16"/>
  <c r="M29" i="16"/>
  <c r="N29" i="16"/>
  <c r="O29" i="16"/>
  <c r="P29" i="16"/>
  <c r="R29" i="16"/>
  <c r="Q29" i="16"/>
  <c r="B28" i="16"/>
  <c r="D28" i="16"/>
  <c r="E28" i="16"/>
  <c r="F28" i="16"/>
  <c r="G28" i="16"/>
  <c r="H28" i="16"/>
  <c r="I28" i="16"/>
  <c r="J28" i="16"/>
  <c r="K28" i="16"/>
  <c r="L28" i="16"/>
  <c r="M28" i="16"/>
  <c r="N28" i="16"/>
  <c r="O28" i="16"/>
  <c r="P28" i="16"/>
  <c r="R28" i="16"/>
  <c r="Q28" i="16"/>
  <c r="B27" i="16"/>
  <c r="D27" i="16"/>
  <c r="E27" i="16"/>
  <c r="F27" i="16"/>
  <c r="G27" i="16"/>
  <c r="H27" i="16"/>
  <c r="I27" i="16"/>
  <c r="J27" i="16"/>
  <c r="K27" i="16"/>
  <c r="L27" i="16"/>
  <c r="M27" i="16"/>
  <c r="N27" i="16"/>
  <c r="O27" i="16"/>
  <c r="P27" i="16"/>
  <c r="R27" i="16"/>
  <c r="Q27" i="16"/>
  <c r="B26" i="16"/>
  <c r="D26" i="16"/>
  <c r="E26" i="16"/>
  <c r="F26" i="16"/>
  <c r="G26" i="16"/>
  <c r="H26" i="16"/>
  <c r="I26" i="16"/>
  <c r="J26" i="16"/>
  <c r="K26" i="16"/>
  <c r="L26" i="16"/>
  <c r="M26" i="16"/>
  <c r="N26" i="16"/>
  <c r="O26" i="16"/>
  <c r="P26" i="16"/>
  <c r="R26" i="16"/>
  <c r="Q26" i="16"/>
  <c r="B25" i="16"/>
  <c r="D25" i="16"/>
  <c r="E25" i="16"/>
  <c r="F25" i="16"/>
  <c r="G25" i="16"/>
  <c r="H25" i="16"/>
  <c r="I25" i="16"/>
  <c r="J25" i="16"/>
  <c r="K25" i="16"/>
  <c r="L25" i="16"/>
  <c r="M25" i="16"/>
  <c r="N25" i="16"/>
  <c r="O25" i="16"/>
  <c r="P25" i="16"/>
  <c r="R25" i="16"/>
  <c r="Q25" i="16"/>
  <c r="D22" i="16"/>
  <c r="E22" i="16"/>
  <c r="F22" i="16"/>
  <c r="G22" i="16"/>
  <c r="H22" i="16"/>
  <c r="I22" i="16"/>
  <c r="J22" i="16"/>
  <c r="K22" i="16"/>
  <c r="L22" i="16"/>
  <c r="M22" i="16"/>
  <c r="N22" i="16"/>
  <c r="O22" i="16"/>
  <c r="P22" i="16"/>
  <c r="D3" i="16"/>
  <c r="E3" i="16"/>
  <c r="F3" i="16"/>
  <c r="G3" i="16"/>
  <c r="H3" i="16"/>
  <c r="I3" i="16"/>
  <c r="J3" i="16"/>
  <c r="K3" i="16"/>
  <c r="L3" i="16"/>
  <c r="M3" i="16"/>
  <c r="N3" i="16"/>
  <c r="O3" i="16"/>
  <c r="P3" i="16"/>
  <c r="B16" i="16"/>
  <c r="D16" i="16"/>
  <c r="E16" i="16"/>
  <c r="F16" i="16"/>
  <c r="G16" i="16"/>
  <c r="H16" i="16"/>
  <c r="I16" i="16"/>
  <c r="J16" i="16"/>
  <c r="K16" i="16"/>
  <c r="L16" i="16"/>
  <c r="M16" i="16"/>
  <c r="N16" i="16"/>
  <c r="O16" i="16"/>
  <c r="P16" i="16"/>
  <c r="R16" i="16"/>
  <c r="Q16" i="16"/>
  <c r="B15" i="16"/>
  <c r="D15" i="16"/>
  <c r="E15" i="16"/>
  <c r="F15" i="16"/>
  <c r="G15" i="16"/>
  <c r="H15" i="16"/>
  <c r="I15" i="16"/>
  <c r="J15" i="16"/>
  <c r="K15" i="16"/>
  <c r="L15" i="16"/>
  <c r="M15" i="16"/>
  <c r="N15" i="16"/>
  <c r="O15" i="16"/>
  <c r="P15" i="16"/>
  <c r="Q15" i="16"/>
  <c r="B14" i="16"/>
  <c r="D14" i="16"/>
  <c r="E14" i="16"/>
  <c r="F14" i="16"/>
  <c r="G14" i="16"/>
  <c r="H14" i="16"/>
  <c r="I14" i="16"/>
  <c r="J14" i="16"/>
  <c r="K14" i="16"/>
  <c r="L14" i="16"/>
  <c r="M14" i="16"/>
  <c r="N14" i="16"/>
  <c r="O14" i="16"/>
  <c r="P14" i="16"/>
  <c r="Q14" i="16"/>
  <c r="B13" i="16"/>
  <c r="D13" i="16"/>
  <c r="E13" i="16"/>
  <c r="F13" i="16"/>
  <c r="G13" i="16"/>
  <c r="H13" i="16"/>
  <c r="I13" i="16"/>
  <c r="J13" i="16"/>
  <c r="K13" i="16"/>
  <c r="L13" i="16"/>
  <c r="M13" i="16"/>
  <c r="N13" i="16"/>
  <c r="O13" i="16"/>
  <c r="P13" i="16"/>
  <c r="Q13" i="16"/>
  <c r="B12" i="16"/>
  <c r="D12" i="16"/>
  <c r="E12" i="16"/>
  <c r="F12" i="16"/>
  <c r="G12" i="16"/>
  <c r="H12" i="16"/>
  <c r="I12" i="16"/>
  <c r="J12" i="16"/>
  <c r="K12" i="16"/>
  <c r="L12" i="16"/>
  <c r="M12" i="16"/>
  <c r="N12" i="16"/>
  <c r="O12" i="16"/>
  <c r="P12" i="16"/>
  <c r="Q12" i="16"/>
  <c r="B11" i="16"/>
  <c r="D11" i="16"/>
  <c r="E11" i="16"/>
  <c r="F11" i="16"/>
  <c r="G11" i="16"/>
  <c r="H11" i="16"/>
  <c r="I11" i="16"/>
  <c r="J11" i="16"/>
  <c r="K11" i="16"/>
  <c r="L11" i="16"/>
  <c r="M11" i="16"/>
  <c r="N11" i="16"/>
  <c r="O11" i="16"/>
  <c r="P11" i="16"/>
  <c r="Q11" i="16"/>
  <c r="B10" i="16"/>
  <c r="D10" i="16"/>
  <c r="E10" i="16"/>
  <c r="F10" i="16"/>
  <c r="G10" i="16"/>
  <c r="H10" i="16"/>
  <c r="I10" i="16"/>
  <c r="J10" i="16"/>
  <c r="K10" i="16"/>
  <c r="L10" i="16"/>
  <c r="M10" i="16"/>
  <c r="N10" i="16"/>
  <c r="O10" i="16"/>
  <c r="P10" i="16"/>
  <c r="Q10" i="16"/>
  <c r="B9" i="16"/>
  <c r="D9" i="16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B8" i="16"/>
  <c r="D8" i="16"/>
  <c r="E8" i="16"/>
  <c r="F8" i="16"/>
  <c r="G8" i="16"/>
  <c r="H8" i="16"/>
  <c r="I8" i="16"/>
  <c r="J8" i="16"/>
  <c r="K8" i="16"/>
  <c r="L8" i="16"/>
  <c r="M8" i="16"/>
  <c r="N8" i="16"/>
  <c r="O8" i="16"/>
  <c r="P8" i="16"/>
  <c r="Q8" i="16"/>
  <c r="B7" i="16"/>
  <c r="D7" i="16"/>
  <c r="E7" i="16"/>
  <c r="F7" i="16"/>
  <c r="G7" i="16"/>
  <c r="H7" i="16"/>
  <c r="I7" i="16"/>
  <c r="J7" i="16"/>
  <c r="K7" i="16"/>
  <c r="L7" i="16"/>
  <c r="M7" i="16"/>
  <c r="N7" i="16"/>
  <c r="O7" i="16"/>
  <c r="P7" i="16"/>
  <c r="Q7" i="16"/>
  <c r="D4" i="16"/>
  <c r="E4" i="16"/>
  <c r="F4" i="16"/>
  <c r="G4" i="16"/>
  <c r="H4" i="16"/>
  <c r="I4" i="16"/>
  <c r="J4" i="16"/>
  <c r="K4" i="16"/>
  <c r="L4" i="16"/>
  <c r="M4" i="16"/>
  <c r="N4" i="16"/>
  <c r="O4" i="16"/>
  <c r="P4" i="16"/>
  <c r="M47" i="11"/>
  <c r="M44" i="11"/>
  <c r="M42" i="11"/>
  <c r="M40" i="11"/>
  <c r="M39" i="11"/>
  <c r="M37" i="11"/>
  <c r="M36" i="11"/>
  <c r="M34" i="11"/>
  <c r="M30" i="11"/>
  <c r="M29" i="11"/>
  <c r="M26" i="11"/>
  <c r="M25" i="11"/>
  <c r="M22" i="11"/>
  <c r="M21" i="11"/>
  <c r="M19" i="11"/>
  <c r="M17" i="11"/>
  <c r="M15" i="11"/>
  <c r="M13" i="11"/>
  <c r="M11" i="11"/>
  <c r="M10" i="11"/>
  <c r="M8" i="11"/>
  <c r="M7" i="11"/>
  <c r="M6" i="11"/>
  <c r="M5" i="11"/>
  <c r="M4" i="11"/>
  <c r="M3" i="11"/>
  <c r="M2" i="11"/>
  <c r="D54" i="1"/>
  <c r="AG47" i="11"/>
  <c r="AG44" i="11"/>
  <c r="AG42" i="11"/>
  <c r="AG40" i="11"/>
  <c r="AG39" i="11"/>
  <c r="AG37" i="11"/>
  <c r="AG36" i="11"/>
  <c r="AG34" i="11"/>
  <c r="AG30" i="11"/>
  <c r="AG29" i="11"/>
  <c r="AG26" i="11"/>
  <c r="AG25" i="11"/>
  <c r="AG22" i="11"/>
  <c r="AG21" i="11"/>
  <c r="AG19" i="11"/>
  <c r="AG17" i="11"/>
  <c r="AG15" i="11"/>
  <c r="AG13" i="11"/>
  <c r="AG11" i="11"/>
  <c r="AG10" i="11"/>
  <c r="AG8" i="11"/>
  <c r="AG7" i="11"/>
  <c r="AG6" i="11"/>
  <c r="AG5" i="11"/>
  <c r="AG4" i="11"/>
  <c r="AG3" i="11"/>
  <c r="AG2" i="11"/>
  <c r="C7" i="15"/>
  <c r="C8" i="15"/>
  <c r="C9" i="15"/>
  <c r="C10" i="15"/>
  <c r="C11" i="15"/>
  <c r="C12" i="15"/>
  <c r="C13" i="15"/>
  <c r="C14" i="15"/>
  <c r="C6" i="15"/>
  <c r="AC47" i="11"/>
  <c r="AC44" i="11"/>
  <c r="AC42" i="11"/>
  <c r="AC40" i="11"/>
  <c r="AC39" i="11"/>
  <c r="AC37" i="11"/>
  <c r="AC36" i="11"/>
  <c r="AC34" i="11"/>
  <c r="AC30" i="11"/>
  <c r="AC29" i="11"/>
  <c r="AC26" i="11"/>
  <c r="AC25" i="11"/>
  <c r="AC22" i="11"/>
  <c r="AC21" i="11"/>
  <c r="AC19" i="11"/>
  <c r="AC17" i="11"/>
  <c r="AC15" i="11"/>
  <c r="AC13" i="11"/>
  <c r="AC11" i="11"/>
  <c r="AC10" i="11"/>
  <c r="AC8" i="11"/>
  <c r="AC7" i="11"/>
  <c r="AC6" i="11"/>
  <c r="AC5" i="11"/>
  <c r="AC4" i="11"/>
  <c r="AC3" i="11"/>
  <c r="AC2" i="11"/>
  <c r="L47" i="11"/>
  <c r="L44" i="11"/>
  <c r="L42" i="11"/>
  <c r="L40" i="11"/>
  <c r="L39" i="11"/>
  <c r="L37" i="11"/>
  <c r="L36" i="11"/>
  <c r="L34" i="11"/>
  <c r="L30" i="11"/>
  <c r="L29" i="11"/>
  <c r="L26" i="11"/>
  <c r="L25" i="11"/>
  <c r="L22" i="11"/>
  <c r="L21" i="11"/>
  <c r="L19" i="11"/>
  <c r="L17" i="11"/>
  <c r="L15" i="11"/>
  <c r="L13" i="11"/>
  <c r="L11" i="11"/>
  <c r="L10" i="11"/>
  <c r="L8" i="11"/>
  <c r="L7" i="11"/>
  <c r="L6" i="11"/>
  <c r="L5" i="11"/>
  <c r="L4" i="11"/>
  <c r="L3" i="11"/>
  <c r="L2" i="11"/>
  <c r="AL5" i="1"/>
  <c r="F10" i="11"/>
  <c r="F13" i="11"/>
  <c r="F17" i="11"/>
  <c r="F19" i="11"/>
  <c r="F21" i="11"/>
  <c r="F36" i="11"/>
  <c r="F39" i="11"/>
  <c r="F42" i="11"/>
  <c r="F44" i="11"/>
  <c r="F47" i="11"/>
  <c r="F4" i="11"/>
  <c r="F25" i="11"/>
  <c r="F29" i="11"/>
  <c r="F3" i="11"/>
  <c r="C10" i="11"/>
  <c r="C13" i="11"/>
  <c r="C17" i="11"/>
  <c r="C19" i="11"/>
  <c r="C21" i="11"/>
  <c r="C25" i="11"/>
  <c r="C29" i="11"/>
  <c r="C36" i="11"/>
  <c r="C39" i="11"/>
  <c r="C42" i="11"/>
  <c r="C44" i="11"/>
  <c r="C47" i="11"/>
  <c r="C3" i="11"/>
  <c r="D10" i="11"/>
  <c r="D13" i="11"/>
  <c r="D17" i="11"/>
  <c r="D19" i="11"/>
  <c r="D21" i="11"/>
  <c r="D25" i="11"/>
  <c r="D29" i="11"/>
  <c r="D36" i="11"/>
  <c r="D39" i="11"/>
  <c r="D42" i="11"/>
  <c r="D44" i="11"/>
  <c r="D47" i="11"/>
  <c r="D3" i="11"/>
  <c r="E10" i="11"/>
  <c r="E13" i="11"/>
  <c r="E17" i="11"/>
  <c r="E19" i="11"/>
  <c r="E21" i="11"/>
  <c r="E25" i="11"/>
  <c r="E29" i="11"/>
  <c r="E36" i="11"/>
  <c r="E39" i="11"/>
  <c r="E42" i="11"/>
  <c r="E44" i="11"/>
  <c r="E47" i="11"/>
  <c r="E3" i="11"/>
  <c r="G10" i="11"/>
  <c r="G13" i="11"/>
  <c r="G17" i="11"/>
  <c r="G19" i="11"/>
  <c r="G21" i="11"/>
  <c r="G25" i="11"/>
  <c r="G29" i="11"/>
  <c r="G36" i="11"/>
  <c r="G39" i="11"/>
  <c r="G42" i="11"/>
  <c r="G44" i="11"/>
  <c r="G47" i="11"/>
  <c r="G3" i="11"/>
  <c r="H10" i="11"/>
  <c r="H13" i="11"/>
  <c r="H17" i="11"/>
  <c r="H19" i="11"/>
  <c r="H21" i="11"/>
  <c r="H25" i="11"/>
  <c r="H29" i="11"/>
  <c r="H36" i="11"/>
  <c r="H39" i="11"/>
  <c r="H42" i="11"/>
  <c r="H44" i="11"/>
  <c r="H47" i="11"/>
  <c r="H3" i="11"/>
  <c r="I10" i="11"/>
  <c r="I13" i="11"/>
  <c r="I17" i="11"/>
  <c r="I19" i="11"/>
  <c r="I21" i="11"/>
  <c r="I25" i="11"/>
  <c r="I29" i="11"/>
  <c r="I36" i="11"/>
  <c r="I39" i="11"/>
  <c r="I42" i="11"/>
  <c r="I44" i="11"/>
  <c r="I47" i="11"/>
  <c r="I3" i="11"/>
  <c r="J10" i="11"/>
  <c r="J13" i="11"/>
  <c r="J17" i="11"/>
  <c r="J19" i="11"/>
  <c r="J21" i="11"/>
  <c r="J25" i="11"/>
  <c r="J29" i="11"/>
  <c r="J36" i="11"/>
  <c r="J39" i="11"/>
  <c r="J42" i="11"/>
  <c r="J44" i="11"/>
  <c r="J47" i="11"/>
  <c r="J3" i="11"/>
  <c r="K10" i="11"/>
  <c r="K13" i="11"/>
  <c r="K17" i="11"/>
  <c r="K19" i="11"/>
  <c r="K21" i="11"/>
  <c r="K25" i="11"/>
  <c r="K29" i="11"/>
  <c r="K36" i="11"/>
  <c r="K39" i="11"/>
  <c r="K42" i="11"/>
  <c r="K44" i="11"/>
  <c r="K47" i="11"/>
  <c r="K3" i="11"/>
  <c r="N10" i="11"/>
  <c r="N13" i="11"/>
  <c r="N17" i="11"/>
  <c r="N19" i="11"/>
  <c r="N21" i="11"/>
  <c r="N25" i="11"/>
  <c r="N29" i="11"/>
  <c r="N36" i="11"/>
  <c r="N39" i="11"/>
  <c r="N42" i="11"/>
  <c r="N44" i="11"/>
  <c r="N47" i="11"/>
  <c r="N3" i="11"/>
  <c r="O10" i="11"/>
  <c r="O13" i="11"/>
  <c r="O17" i="11"/>
  <c r="O19" i="11"/>
  <c r="O21" i="11"/>
  <c r="O25" i="11"/>
  <c r="O29" i="11"/>
  <c r="O36" i="11"/>
  <c r="O39" i="11"/>
  <c r="O42" i="11"/>
  <c r="O44" i="11"/>
  <c r="O47" i="11"/>
  <c r="O3" i="11"/>
  <c r="P10" i="11"/>
  <c r="P13" i="11"/>
  <c r="P17" i="11"/>
  <c r="P19" i="11"/>
  <c r="P21" i="11"/>
  <c r="P25" i="11"/>
  <c r="P29" i="11"/>
  <c r="P36" i="11"/>
  <c r="P39" i="11"/>
  <c r="P42" i="11"/>
  <c r="P44" i="11"/>
  <c r="P47" i="11"/>
  <c r="P3" i="11"/>
  <c r="Q10" i="11"/>
  <c r="Q13" i="11"/>
  <c r="Q17" i="11"/>
  <c r="Q19" i="11"/>
  <c r="Q21" i="11"/>
  <c r="Q25" i="11"/>
  <c r="Q29" i="11"/>
  <c r="Q33" i="11"/>
  <c r="Q36" i="11"/>
  <c r="Q39" i="11"/>
  <c r="Q42" i="11"/>
  <c r="Q44" i="11"/>
  <c r="Q47" i="11"/>
  <c r="Q3" i="11"/>
  <c r="R10" i="11"/>
  <c r="R13" i="11"/>
  <c r="R17" i="11"/>
  <c r="R19" i="11"/>
  <c r="R21" i="11"/>
  <c r="R25" i="11"/>
  <c r="R29" i="11"/>
  <c r="R33" i="11"/>
  <c r="R36" i="11"/>
  <c r="R39" i="11"/>
  <c r="R42" i="11"/>
  <c r="R44" i="11"/>
  <c r="R47" i="11"/>
  <c r="R3" i="11"/>
  <c r="S10" i="11"/>
  <c r="S13" i="11"/>
  <c r="S17" i="11"/>
  <c r="S19" i="11"/>
  <c r="S21" i="11"/>
  <c r="S25" i="11"/>
  <c r="S29" i="11"/>
  <c r="S33" i="11"/>
  <c r="S36" i="11"/>
  <c r="S39" i="11"/>
  <c r="S42" i="11"/>
  <c r="S44" i="11"/>
  <c r="S47" i="11"/>
  <c r="S3" i="11"/>
  <c r="T10" i="11"/>
  <c r="T13" i="11"/>
  <c r="T17" i="11"/>
  <c r="T19" i="11"/>
  <c r="T21" i="11"/>
  <c r="T25" i="11"/>
  <c r="T29" i="11"/>
  <c r="T33" i="11"/>
  <c r="T36" i="11"/>
  <c r="T39" i="11"/>
  <c r="T42" i="11"/>
  <c r="T44" i="11"/>
  <c r="T47" i="11"/>
  <c r="T3" i="11"/>
  <c r="U10" i="11"/>
  <c r="U13" i="11"/>
  <c r="U17" i="11"/>
  <c r="U19" i="11"/>
  <c r="U21" i="11"/>
  <c r="U25" i="11"/>
  <c r="U29" i="11"/>
  <c r="U33" i="11"/>
  <c r="U36" i="11"/>
  <c r="U39" i="11"/>
  <c r="U42" i="11"/>
  <c r="U44" i="11"/>
  <c r="U47" i="11"/>
  <c r="U3" i="11"/>
  <c r="V10" i="11"/>
  <c r="V13" i="11"/>
  <c r="V17" i="11"/>
  <c r="V19" i="11"/>
  <c r="V21" i="11"/>
  <c r="V25" i="11"/>
  <c r="V29" i="11"/>
  <c r="V33" i="11"/>
  <c r="V36" i="11"/>
  <c r="V39" i="11"/>
  <c r="V42" i="11"/>
  <c r="V44" i="11"/>
  <c r="V47" i="11"/>
  <c r="V3" i="11"/>
  <c r="W10" i="11"/>
  <c r="W13" i="11"/>
  <c r="W17" i="11"/>
  <c r="W19" i="11"/>
  <c r="W21" i="11"/>
  <c r="W25" i="11"/>
  <c r="W29" i="11"/>
  <c r="W33" i="11"/>
  <c r="W36" i="11"/>
  <c r="W39" i="11"/>
  <c r="W42" i="11"/>
  <c r="W44" i="11"/>
  <c r="W47" i="11"/>
  <c r="W3" i="11"/>
  <c r="X10" i="11"/>
  <c r="X13" i="11"/>
  <c r="X17" i="11"/>
  <c r="X19" i="11"/>
  <c r="X21" i="11"/>
  <c r="X25" i="11"/>
  <c r="X29" i="11"/>
  <c r="X33" i="11"/>
  <c r="X36" i="11"/>
  <c r="X39" i="11"/>
  <c r="X42" i="11"/>
  <c r="X44" i="11"/>
  <c r="X47" i="11"/>
  <c r="X3" i="11"/>
  <c r="Y10" i="11"/>
  <c r="Y13" i="11"/>
  <c r="Y17" i="11"/>
  <c r="Y19" i="11"/>
  <c r="Y21" i="11"/>
  <c r="Y25" i="11"/>
  <c r="Y29" i="11"/>
  <c r="Y36" i="11"/>
  <c r="Y39" i="11"/>
  <c r="Y42" i="11"/>
  <c r="Y44" i="11"/>
  <c r="Y47" i="11"/>
  <c r="Y3" i="11"/>
  <c r="Z10" i="11"/>
  <c r="Z13" i="11"/>
  <c r="Z17" i="11"/>
  <c r="Z19" i="11"/>
  <c r="Z21" i="11"/>
  <c r="Z25" i="11"/>
  <c r="Z29" i="11"/>
  <c r="Z36" i="11"/>
  <c r="Z39" i="11"/>
  <c r="Z42" i="11"/>
  <c r="Z44" i="11"/>
  <c r="Z47" i="11"/>
  <c r="Z3" i="11"/>
  <c r="AA10" i="11"/>
  <c r="AA13" i="11"/>
  <c r="AA17" i="11"/>
  <c r="AA19" i="11"/>
  <c r="AA21" i="11"/>
  <c r="AA25" i="11"/>
  <c r="AA29" i="11"/>
  <c r="AA36" i="11"/>
  <c r="AA39" i="11"/>
  <c r="AA42" i="11"/>
  <c r="AA44" i="11"/>
  <c r="AA47" i="11"/>
  <c r="AA3" i="11"/>
  <c r="AB10" i="11"/>
  <c r="AB13" i="11"/>
  <c r="AB17" i="11"/>
  <c r="AB19" i="11"/>
  <c r="AB21" i="11"/>
  <c r="AB25" i="11"/>
  <c r="AB29" i="11"/>
  <c r="AB36" i="11"/>
  <c r="AB39" i="11"/>
  <c r="AB42" i="11"/>
  <c r="AB44" i="11"/>
  <c r="AB47" i="11"/>
  <c r="AB3" i="11"/>
  <c r="AU10" i="11"/>
  <c r="AU13" i="11"/>
  <c r="AU17" i="11"/>
  <c r="AU19" i="11"/>
  <c r="AU21" i="11"/>
  <c r="AU25" i="11"/>
  <c r="AU29" i="11"/>
  <c r="AU33" i="11"/>
  <c r="AU36" i="11"/>
  <c r="AU39" i="11"/>
  <c r="AU42" i="11"/>
  <c r="AU44" i="11"/>
  <c r="AU47" i="11"/>
  <c r="AU3" i="11"/>
  <c r="AV10" i="11"/>
  <c r="AV13" i="11"/>
  <c r="AV17" i="11"/>
  <c r="AV19" i="11"/>
  <c r="AV21" i="11"/>
  <c r="AV25" i="11"/>
  <c r="AV29" i="11"/>
  <c r="AV33" i="11"/>
  <c r="AV36" i="11"/>
  <c r="AV39" i="11"/>
  <c r="AV42" i="11"/>
  <c r="AV44" i="11"/>
  <c r="AV47" i="11"/>
  <c r="AV3" i="11"/>
  <c r="AW10" i="11"/>
  <c r="AW13" i="11"/>
  <c r="AW17" i="11"/>
  <c r="AW19" i="11"/>
  <c r="AW21" i="11"/>
  <c r="AW25" i="11"/>
  <c r="AW29" i="11"/>
  <c r="AW33" i="11"/>
  <c r="AW36" i="11"/>
  <c r="AW39" i="11"/>
  <c r="AW42" i="11"/>
  <c r="AW44" i="11"/>
  <c r="AW47" i="11"/>
  <c r="AW3" i="11"/>
  <c r="AW15" i="11"/>
  <c r="AW4" i="11"/>
  <c r="AV15" i="11"/>
  <c r="AV4" i="11"/>
  <c r="AU15" i="11"/>
  <c r="AU4" i="11"/>
  <c r="AB15" i="11"/>
  <c r="AB4" i="11"/>
  <c r="AA15" i="11"/>
  <c r="AA4" i="11"/>
  <c r="Z15" i="11"/>
  <c r="Z4" i="11"/>
  <c r="Y15" i="11"/>
  <c r="Y4" i="11"/>
  <c r="X15" i="11"/>
  <c r="X4" i="11"/>
  <c r="W15" i="11"/>
  <c r="W4" i="11"/>
  <c r="V15" i="11"/>
  <c r="V4" i="11"/>
  <c r="U15" i="11"/>
  <c r="U4" i="11"/>
  <c r="T15" i="11"/>
  <c r="T4" i="11"/>
  <c r="S15" i="11"/>
  <c r="S4" i="11"/>
  <c r="R15" i="11"/>
  <c r="R4" i="11"/>
  <c r="Q15" i="11"/>
  <c r="Q4" i="11"/>
  <c r="P15" i="11"/>
  <c r="P4" i="11"/>
  <c r="O15" i="11"/>
  <c r="O4" i="11"/>
  <c r="N15" i="11"/>
  <c r="N4" i="11"/>
  <c r="K15" i="11"/>
  <c r="K4" i="11"/>
  <c r="J15" i="11"/>
  <c r="J4" i="11"/>
  <c r="I15" i="11"/>
  <c r="I4" i="11"/>
  <c r="H15" i="11"/>
  <c r="H4" i="11"/>
  <c r="G15" i="11"/>
  <c r="G4" i="11"/>
  <c r="E15" i="11"/>
  <c r="E4" i="11"/>
  <c r="D15" i="11"/>
  <c r="D4" i="11"/>
  <c r="C15" i="11"/>
  <c r="C4" i="11"/>
  <c r="F15" i="11"/>
  <c r="F40" i="11"/>
  <c r="F37" i="11"/>
  <c r="F34" i="11"/>
  <c r="F30" i="11"/>
  <c r="F26" i="11"/>
  <c r="F22" i="11"/>
  <c r="F11" i="11"/>
  <c r="F8" i="11"/>
  <c r="F7" i="11"/>
  <c r="F6" i="11"/>
  <c r="F5" i="11"/>
  <c r="F2" i="11"/>
  <c r="C11" i="11"/>
  <c r="C6" i="11"/>
  <c r="AW40" i="11"/>
  <c r="AW37" i="11"/>
  <c r="AW34" i="11"/>
  <c r="AW30" i="11"/>
  <c r="AW26" i="11"/>
  <c r="AW22" i="11"/>
  <c r="AW11" i="11"/>
  <c r="AW8" i="11"/>
  <c r="AW7" i="11"/>
  <c r="AW6" i="11"/>
  <c r="AW5" i="11"/>
  <c r="AW2" i="11"/>
  <c r="AV40" i="11"/>
  <c r="AV37" i="11"/>
  <c r="AV34" i="11"/>
  <c r="AV30" i="11"/>
  <c r="AV26" i="11"/>
  <c r="AV22" i="11"/>
  <c r="AV11" i="11"/>
  <c r="AV8" i="11"/>
  <c r="AV7" i="11"/>
  <c r="AV6" i="11"/>
  <c r="AV5" i="11"/>
  <c r="AV2" i="11"/>
  <c r="T9" i="1"/>
  <c r="C1" i="6"/>
  <c r="U9" i="1"/>
  <c r="D1" i="6"/>
  <c r="V9" i="1"/>
  <c r="E1" i="6"/>
  <c r="W9" i="1"/>
  <c r="F1" i="6"/>
  <c r="X9" i="1"/>
  <c r="G1" i="6"/>
  <c r="Y9" i="1"/>
  <c r="H1" i="6"/>
  <c r="Z9" i="1"/>
  <c r="I1" i="6"/>
  <c r="AA9" i="1"/>
  <c r="J1" i="6"/>
  <c r="AB9" i="1"/>
  <c r="AC9" i="1"/>
  <c r="AK9" i="1"/>
  <c r="J16" i="5"/>
  <c r="T23" i="1"/>
  <c r="S5" i="1"/>
  <c r="T15" i="1"/>
  <c r="C32" i="1"/>
  <c r="T24" i="1"/>
  <c r="T17" i="1"/>
  <c r="B32" i="1"/>
  <c r="T19" i="1"/>
  <c r="B22" i="1"/>
  <c r="B34" i="1"/>
  <c r="AC5" i="1"/>
  <c r="T18" i="1"/>
  <c r="B33" i="1"/>
  <c r="T20" i="1"/>
  <c r="B23" i="1"/>
  <c r="C34" i="1"/>
  <c r="C33" i="1"/>
  <c r="T25" i="1"/>
  <c r="T34" i="1"/>
  <c r="C2" i="6"/>
  <c r="U23" i="1"/>
  <c r="U15" i="1"/>
  <c r="U24" i="1"/>
  <c r="U17" i="1"/>
  <c r="U19" i="1"/>
  <c r="U18" i="1"/>
  <c r="U20" i="1"/>
  <c r="U25" i="1"/>
  <c r="U34" i="1"/>
  <c r="D2" i="6"/>
  <c r="V23" i="1"/>
  <c r="V15" i="1"/>
  <c r="V24" i="1"/>
  <c r="V17" i="1"/>
  <c r="V19" i="1"/>
  <c r="V18" i="1"/>
  <c r="V20" i="1"/>
  <c r="V25" i="1"/>
  <c r="V34" i="1"/>
  <c r="E2" i="6"/>
  <c r="W23" i="1"/>
  <c r="W15" i="1"/>
  <c r="W24" i="1"/>
  <c r="W17" i="1"/>
  <c r="W19" i="1"/>
  <c r="W18" i="1"/>
  <c r="W20" i="1"/>
  <c r="W25" i="1"/>
  <c r="W34" i="1"/>
  <c r="F2" i="6"/>
  <c r="X23" i="1"/>
  <c r="X15" i="1"/>
  <c r="X24" i="1"/>
  <c r="X17" i="1"/>
  <c r="X19" i="1"/>
  <c r="X18" i="1"/>
  <c r="X20" i="1"/>
  <c r="X25" i="1"/>
  <c r="X34" i="1"/>
  <c r="G2" i="6"/>
  <c r="Y23" i="1"/>
  <c r="Y15" i="1"/>
  <c r="Y24" i="1"/>
  <c r="Y17" i="1"/>
  <c r="Y19" i="1"/>
  <c r="Y18" i="1"/>
  <c r="Y20" i="1"/>
  <c r="Y25" i="1"/>
  <c r="Y34" i="1"/>
  <c r="H2" i="6"/>
  <c r="Z23" i="1"/>
  <c r="Z15" i="1"/>
  <c r="Z24" i="1"/>
  <c r="Z17" i="1"/>
  <c r="Z19" i="1"/>
  <c r="Z18" i="1"/>
  <c r="Z20" i="1"/>
  <c r="Z25" i="1"/>
  <c r="Z34" i="1"/>
  <c r="I2" i="6"/>
  <c r="AA23" i="1"/>
  <c r="AA15" i="1"/>
  <c r="AA24" i="1"/>
  <c r="AA17" i="1"/>
  <c r="AA19" i="1"/>
  <c r="AA18" i="1"/>
  <c r="AA20" i="1"/>
  <c r="AA25" i="1"/>
  <c r="AA34" i="1"/>
  <c r="J2" i="6"/>
  <c r="AB23" i="1"/>
  <c r="AB15" i="1"/>
  <c r="AB24" i="1"/>
  <c r="AB17" i="1"/>
  <c r="AB19" i="1"/>
  <c r="AB18" i="1"/>
  <c r="AB20" i="1"/>
  <c r="AB25" i="1"/>
  <c r="AB34" i="1"/>
  <c r="AC23" i="1"/>
  <c r="AC15" i="1"/>
  <c r="AC24" i="1"/>
  <c r="AC17" i="1"/>
  <c r="AC19" i="1"/>
  <c r="AC18" i="1"/>
  <c r="AC20" i="1"/>
  <c r="AC25" i="1"/>
  <c r="AC34" i="1"/>
  <c r="AK23" i="1"/>
  <c r="AK15" i="1"/>
  <c r="AK24" i="1"/>
  <c r="AK17" i="1"/>
  <c r="AK19" i="1"/>
  <c r="AK18" i="1"/>
  <c r="AK20" i="1"/>
  <c r="AK25" i="1"/>
  <c r="AK34" i="1"/>
  <c r="D19" i="4"/>
  <c r="U4" i="1"/>
  <c r="T28" i="1"/>
  <c r="D32" i="1"/>
  <c r="T30" i="1"/>
  <c r="B24" i="1"/>
  <c r="D34" i="1"/>
  <c r="W5" i="1"/>
  <c r="T29" i="1"/>
  <c r="D33" i="1"/>
  <c r="T31" i="1"/>
  <c r="T35" i="1"/>
  <c r="C3" i="6"/>
  <c r="G13" i="5"/>
  <c r="G14" i="5"/>
  <c r="G15" i="5"/>
  <c r="G16" i="5"/>
  <c r="D16" i="4"/>
  <c r="D17" i="4"/>
  <c r="U5" i="1"/>
  <c r="U28" i="1"/>
  <c r="U30" i="1"/>
  <c r="B7" i="1"/>
  <c r="W4" i="1"/>
  <c r="U29" i="1"/>
  <c r="U31" i="1"/>
  <c r="U35" i="1"/>
  <c r="D3" i="6"/>
  <c r="V28" i="1"/>
  <c r="V30" i="1"/>
  <c r="V29" i="1"/>
  <c r="V31" i="1"/>
  <c r="V35" i="1"/>
  <c r="E3" i="6"/>
  <c r="W28" i="1"/>
  <c r="W30" i="1"/>
  <c r="W29" i="1"/>
  <c r="W31" i="1"/>
  <c r="W35" i="1"/>
  <c r="F3" i="6"/>
  <c r="X28" i="1"/>
  <c r="X30" i="1"/>
  <c r="X29" i="1"/>
  <c r="X31" i="1"/>
  <c r="X35" i="1"/>
  <c r="G3" i="6"/>
  <c r="Y28" i="1"/>
  <c r="Y30" i="1"/>
  <c r="Y29" i="1"/>
  <c r="Y31" i="1"/>
  <c r="Y35" i="1"/>
  <c r="H3" i="6"/>
  <c r="Z28" i="1"/>
  <c r="Z30" i="1"/>
  <c r="Z29" i="1"/>
  <c r="Z31" i="1"/>
  <c r="Z35" i="1"/>
  <c r="I3" i="6"/>
  <c r="AA28" i="1"/>
  <c r="AA30" i="1"/>
  <c r="AA29" i="1"/>
  <c r="AA31" i="1"/>
  <c r="AA35" i="1"/>
  <c r="J3" i="6"/>
  <c r="AB28" i="1"/>
  <c r="AB30" i="1"/>
  <c r="AB29" i="1"/>
  <c r="AB31" i="1"/>
  <c r="AB35" i="1"/>
  <c r="AC28" i="1"/>
  <c r="AC30" i="1"/>
  <c r="AC29" i="1"/>
  <c r="AC31" i="1"/>
  <c r="AC35" i="1"/>
  <c r="AK28" i="1"/>
  <c r="AK30" i="1"/>
  <c r="AK29" i="1"/>
  <c r="AK31" i="1"/>
  <c r="AK35" i="1"/>
  <c r="C4" i="6"/>
  <c r="D4" i="6"/>
  <c r="E4" i="6"/>
  <c r="F4" i="6"/>
  <c r="G4" i="6"/>
  <c r="H4" i="6"/>
  <c r="I4" i="6"/>
  <c r="J4" i="6"/>
  <c r="T37" i="1"/>
  <c r="C5" i="6"/>
  <c r="U37" i="1"/>
  <c r="D5" i="6"/>
  <c r="V37" i="1"/>
  <c r="E5" i="6"/>
  <c r="W37" i="1"/>
  <c r="F5" i="6"/>
  <c r="X37" i="1"/>
  <c r="G5" i="6"/>
  <c r="Y37" i="1"/>
  <c r="H5" i="6"/>
  <c r="Z37" i="1"/>
  <c r="I5" i="6"/>
  <c r="AA37" i="1"/>
  <c r="J5" i="6"/>
  <c r="AB37" i="1"/>
  <c r="AC37" i="1"/>
  <c r="AK37" i="1"/>
  <c r="T38" i="1"/>
  <c r="C6" i="6"/>
  <c r="U38" i="1"/>
  <c r="D6" i="6"/>
  <c r="V38" i="1"/>
  <c r="E6" i="6"/>
  <c r="W38" i="1"/>
  <c r="F6" i="6"/>
  <c r="X38" i="1"/>
  <c r="G6" i="6"/>
  <c r="Y38" i="1"/>
  <c r="H6" i="6"/>
  <c r="Z38" i="1"/>
  <c r="I6" i="6"/>
  <c r="AA38" i="1"/>
  <c r="J6" i="6"/>
  <c r="AB38" i="1"/>
  <c r="AC38" i="1"/>
  <c r="AK38" i="1"/>
  <c r="T39" i="1"/>
  <c r="C7" i="6"/>
  <c r="U39" i="1"/>
  <c r="D7" i="6"/>
  <c r="V39" i="1"/>
  <c r="E7" i="6"/>
  <c r="W39" i="1"/>
  <c r="F7" i="6"/>
  <c r="X39" i="1"/>
  <c r="G7" i="6"/>
  <c r="Y39" i="1"/>
  <c r="H7" i="6"/>
  <c r="Z39" i="1"/>
  <c r="I7" i="6"/>
  <c r="AA39" i="1"/>
  <c r="J7" i="6"/>
  <c r="AB39" i="1"/>
  <c r="AC39" i="1"/>
  <c r="AK39" i="1"/>
  <c r="T40" i="1"/>
  <c r="C8" i="6"/>
  <c r="U40" i="1"/>
  <c r="D8" i="6"/>
  <c r="V40" i="1"/>
  <c r="E8" i="6"/>
  <c r="W40" i="1"/>
  <c r="F8" i="6"/>
  <c r="X40" i="1"/>
  <c r="G8" i="6"/>
  <c r="Y40" i="1"/>
  <c r="H8" i="6"/>
  <c r="Z40" i="1"/>
  <c r="I8" i="6"/>
  <c r="AA40" i="1"/>
  <c r="J8" i="6"/>
  <c r="AB40" i="1"/>
  <c r="AC40" i="1"/>
  <c r="AK40" i="1"/>
  <c r="S18" i="1"/>
  <c r="S37" i="1"/>
  <c r="B5" i="6"/>
  <c r="S17" i="1"/>
  <c r="S38" i="1"/>
  <c r="B6" i="6"/>
  <c r="S23" i="1"/>
  <c r="S39" i="1"/>
  <c r="B7" i="6"/>
  <c r="S28" i="1"/>
  <c r="S40" i="1"/>
  <c r="B8" i="6"/>
  <c r="R37" i="1"/>
  <c r="A5" i="6"/>
  <c r="R38" i="1"/>
  <c r="A6" i="6"/>
  <c r="R39" i="1"/>
  <c r="A7" i="6"/>
  <c r="R40" i="1"/>
  <c r="A8" i="6"/>
  <c r="AK53" i="1"/>
  <c r="AK54" i="1"/>
  <c r="AK55" i="1"/>
  <c r="AK56" i="1"/>
  <c r="AK57" i="1"/>
  <c r="AK58" i="1"/>
  <c r="AE4" i="1"/>
  <c r="AE7" i="1"/>
  <c r="AK59" i="1"/>
  <c r="AF4" i="1"/>
  <c r="AF5" i="1"/>
  <c r="AF6" i="1"/>
  <c r="AF7" i="1"/>
  <c r="AK60" i="1"/>
  <c r="AH4" i="1"/>
  <c r="AH7" i="1"/>
  <c r="AK61" i="1"/>
  <c r="AI4" i="1"/>
  <c r="AI5" i="1"/>
  <c r="AI6" i="1"/>
  <c r="AI7" i="1"/>
  <c r="AK62" i="1"/>
  <c r="AK52" i="1"/>
  <c r="AK48" i="1"/>
  <c r="AK49" i="1"/>
  <c r="AK46" i="1"/>
  <c r="AK47" i="1"/>
  <c r="AK44" i="1"/>
  <c r="AK45" i="1"/>
  <c r="AK14" i="1"/>
  <c r="D6" i="11"/>
  <c r="T52" i="1"/>
  <c r="U52" i="1"/>
  <c r="V52" i="1"/>
  <c r="W52" i="1"/>
  <c r="X52" i="1"/>
  <c r="Y52" i="1"/>
  <c r="Z52" i="1"/>
  <c r="AA52" i="1"/>
  <c r="AB52" i="1"/>
  <c r="AC52" i="1"/>
  <c r="S9" i="1"/>
  <c r="S52" i="1"/>
  <c r="C48" i="1"/>
  <c r="C50" i="1"/>
  <c r="C71" i="1"/>
  <c r="B50" i="1"/>
  <c r="B71" i="1"/>
  <c r="B72" i="1"/>
  <c r="AC53" i="1"/>
  <c r="AC54" i="1"/>
  <c r="AC55" i="1"/>
  <c r="AC56" i="1"/>
  <c r="AC57" i="1"/>
  <c r="AC58" i="1"/>
  <c r="AC59" i="1"/>
  <c r="AC60" i="1"/>
  <c r="AC61" i="1"/>
  <c r="AC62" i="1"/>
  <c r="D1" i="8"/>
  <c r="E1" i="8"/>
  <c r="F1" i="8"/>
  <c r="G1" i="8"/>
  <c r="T53" i="1"/>
  <c r="D2" i="8"/>
  <c r="U53" i="1"/>
  <c r="E2" i="8"/>
  <c r="V53" i="1"/>
  <c r="F2" i="8"/>
  <c r="W53" i="1"/>
  <c r="G2" i="8"/>
  <c r="X53" i="1"/>
  <c r="Y53" i="1"/>
  <c r="Z53" i="1"/>
  <c r="AA53" i="1"/>
  <c r="AB53" i="1"/>
  <c r="T54" i="1"/>
  <c r="D3" i="8"/>
  <c r="U54" i="1"/>
  <c r="E3" i="8"/>
  <c r="V54" i="1"/>
  <c r="F3" i="8"/>
  <c r="W54" i="1"/>
  <c r="G3" i="8"/>
  <c r="X54" i="1"/>
  <c r="Y54" i="1"/>
  <c r="Z54" i="1"/>
  <c r="AA54" i="1"/>
  <c r="AB54" i="1"/>
  <c r="T55" i="1"/>
  <c r="D4" i="8"/>
  <c r="U55" i="1"/>
  <c r="E4" i="8"/>
  <c r="V55" i="1"/>
  <c r="F4" i="8"/>
  <c r="W55" i="1"/>
  <c r="G4" i="8"/>
  <c r="X55" i="1"/>
  <c r="Y55" i="1"/>
  <c r="Z55" i="1"/>
  <c r="AA55" i="1"/>
  <c r="AB55" i="1"/>
  <c r="T56" i="1"/>
  <c r="D5" i="8"/>
  <c r="U56" i="1"/>
  <c r="E5" i="8"/>
  <c r="V56" i="1"/>
  <c r="F5" i="8"/>
  <c r="W56" i="1"/>
  <c r="G5" i="8"/>
  <c r="X56" i="1"/>
  <c r="Y56" i="1"/>
  <c r="Z56" i="1"/>
  <c r="AA56" i="1"/>
  <c r="AB56" i="1"/>
  <c r="D25" i="5"/>
  <c r="D26" i="5"/>
  <c r="D27" i="5"/>
  <c r="D28" i="5"/>
  <c r="D29" i="5"/>
  <c r="D30" i="5"/>
  <c r="D31" i="5"/>
  <c r="D8" i="4"/>
  <c r="T57" i="1"/>
  <c r="D6" i="8"/>
  <c r="U57" i="1"/>
  <c r="E6" i="8"/>
  <c r="V57" i="1"/>
  <c r="F6" i="8"/>
  <c r="W57" i="1"/>
  <c r="G6" i="8"/>
  <c r="X57" i="1"/>
  <c r="Y57" i="1"/>
  <c r="Z57" i="1"/>
  <c r="AA57" i="1"/>
  <c r="AB57" i="1"/>
  <c r="T58" i="1"/>
  <c r="D7" i="8"/>
  <c r="U58" i="1"/>
  <c r="E7" i="8"/>
  <c r="V58" i="1"/>
  <c r="F7" i="8"/>
  <c r="W58" i="1"/>
  <c r="G7" i="8"/>
  <c r="X58" i="1"/>
  <c r="Y58" i="1"/>
  <c r="Z58" i="1"/>
  <c r="AA58" i="1"/>
  <c r="AB58" i="1"/>
  <c r="T59" i="1"/>
  <c r="D8" i="8"/>
  <c r="AE5" i="1"/>
  <c r="U59" i="1"/>
  <c r="E8" i="8"/>
  <c r="AE6" i="1"/>
  <c r="V59" i="1"/>
  <c r="F8" i="8"/>
  <c r="W59" i="1"/>
  <c r="G8" i="8"/>
  <c r="X59" i="1"/>
  <c r="Y59" i="1"/>
  <c r="Z59" i="1"/>
  <c r="AA59" i="1"/>
  <c r="AB59" i="1"/>
  <c r="T60" i="1"/>
  <c r="D9" i="8"/>
  <c r="U60" i="1"/>
  <c r="E9" i="8"/>
  <c r="V60" i="1"/>
  <c r="F9" i="8"/>
  <c r="W60" i="1"/>
  <c r="G9" i="8"/>
  <c r="X60" i="1"/>
  <c r="Y60" i="1"/>
  <c r="Z60" i="1"/>
  <c r="AA60" i="1"/>
  <c r="AB60" i="1"/>
  <c r="T61" i="1"/>
  <c r="D10" i="8"/>
  <c r="U61" i="1"/>
  <c r="E10" i="8"/>
  <c r="V61" i="1"/>
  <c r="F10" i="8"/>
  <c r="W61" i="1"/>
  <c r="G10" i="8"/>
  <c r="AH5" i="1"/>
  <c r="X61" i="1"/>
  <c r="AH6" i="1"/>
  <c r="Y61" i="1"/>
  <c r="Z61" i="1"/>
  <c r="AA61" i="1"/>
  <c r="AB61" i="1"/>
  <c r="T62" i="1"/>
  <c r="D11" i="8"/>
  <c r="U62" i="1"/>
  <c r="E11" i="8"/>
  <c r="V62" i="1"/>
  <c r="F11" i="8"/>
  <c r="W62" i="1"/>
  <c r="G11" i="8"/>
  <c r="X62" i="1"/>
  <c r="Y62" i="1"/>
  <c r="Z62" i="1"/>
  <c r="AA62" i="1"/>
  <c r="AB62" i="1"/>
  <c r="T63" i="1"/>
  <c r="D12" i="8"/>
  <c r="U63" i="1"/>
  <c r="E12" i="8"/>
  <c r="V63" i="1"/>
  <c r="F12" i="8"/>
  <c r="W63" i="1"/>
  <c r="G12" i="8"/>
  <c r="T64" i="1"/>
  <c r="D13" i="8"/>
  <c r="U64" i="1"/>
  <c r="E13" i="8"/>
  <c r="V64" i="1"/>
  <c r="F13" i="8"/>
  <c r="W64" i="1"/>
  <c r="G13" i="8"/>
  <c r="AC48" i="1"/>
  <c r="AC49" i="1"/>
  <c r="AC46" i="1"/>
  <c r="AC47" i="1"/>
  <c r="AC44" i="1"/>
  <c r="AC45" i="1"/>
  <c r="AC14" i="1"/>
  <c r="AB48" i="1"/>
  <c r="AB49" i="1"/>
  <c r="AB46" i="1"/>
  <c r="AB47" i="1"/>
  <c r="AB44" i="1"/>
  <c r="AB45" i="1"/>
  <c r="AB14" i="1"/>
  <c r="Y48" i="1"/>
  <c r="Y49" i="1"/>
  <c r="Y46" i="1"/>
  <c r="Y47" i="1"/>
  <c r="Y44" i="1"/>
  <c r="Y45" i="1"/>
  <c r="Y14" i="1"/>
  <c r="X48" i="1"/>
  <c r="X49" i="1"/>
  <c r="X46" i="1"/>
  <c r="X47" i="1"/>
  <c r="X44" i="1"/>
  <c r="X45" i="1"/>
  <c r="X14" i="1"/>
  <c r="V48" i="1"/>
  <c r="V49" i="1"/>
  <c r="V46" i="1"/>
  <c r="V47" i="1"/>
  <c r="V44" i="1"/>
  <c r="V45" i="1"/>
  <c r="V14" i="1"/>
  <c r="U48" i="1"/>
  <c r="U49" i="1"/>
  <c r="U46" i="1"/>
  <c r="U47" i="1"/>
  <c r="U44" i="1"/>
  <c r="U45" i="1"/>
  <c r="U14" i="1"/>
  <c r="AB11" i="11"/>
  <c r="AB8" i="11"/>
  <c r="AA11" i="11"/>
  <c r="AA8" i="11"/>
  <c r="Z11" i="11"/>
  <c r="Z8" i="11"/>
  <c r="Y11" i="11"/>
  <c r="Y8" i="11"/>
  <c r="AU11" i="11"/>
  <c r="AU8" i="11"/>
  <c r="X11" i="11"/>
  <c r="X8" i="11"/>
  <c r="W11" i="11"/>
  <c r="W8" i="11"/>
  <c r="V11" i="11"/>
  <c r="V8" i="11"/>
  <c r="U11" i="11"/>
  <c r="U8" i="11"/>
  <c r="T11" i="11"/>
  <c r="T8" i="11"/>
  <c r="S11" i="11"/>
  <c r="S8" i="11"/>
  <c r="R11" i="11"/>
  <c r="R8" i="11"/>
  <c r="Q11" i="11"/>
  <c r="Q8" i="11"/>
  <c r="P11" i="11"/>
  <c r="P8" i="11"/>
  <c r="O11" i="11"/>
  <c r="O8" i="11"/>
  <c r="N11" i="11"/>
  <c r="N8" i="11"/>
  <c r="K11" i="11"/>
  <c r="K8" i="11"/>
  <c r="J11" i="11"/>
  <c r="J8" i="11"/>
  <c r="I11" i="11"/>
  <c r="I8" i="11"/>
  <c r="H11" i="11"/>
  <c r="H8" i="11"/>
  <c r="G11" i="11"/>
  <c r="G8" i="11"/>
  <c r="E11" i="11"/>
  <c r="E8" i="11"/>
  <c r="D11" i="11"/>
  <c r="D8" i="11"/>
  <c r="C8" i="11"/>
  <c r="AB40" i="11"/>
  <c r="AB37" i="11"/>
  <c r="AB34" i="11"/>
  <c r="AB30" i="11"/>
  <c r="AB26" i="11"/>
  <c r="AB22" i="11"/>
  <c r="AB7" i="11"/>
  <c r="AB6" i="11"/>
  <c r="AB5" i="11"/>
  <c r="AB2" i="11"/>
  <c r="AA40" i="11"/>
  <c r="Z40" i="11"/>
  <c r="Y40" i="11"/>
  <c r="AA37" i="11"/>
  <c r="Z37" i="11"/>
  <c r="Y37" i="11"/>
  <c r="AA34" i="11"/>
  <c r="Z34" i="11"/>
  <c r="Y34" i="11"/>
  <c r="AA30" i="11"/>
  <c r="Z30" i="11"/>
  <c r="Y30" i="11"/>
  <c r="AA26" i="11"/>
  <c r="Z26" i="11"/>
  <c r="Y26" i="11"/>
  <c r="AA22" i="11"/>
  <c r="Z22" i="11"/>
  <c r="Y22" i="11"/>
  <c r="AA7" i="11"/>
  <c r="Z7" i="11"/>
  <c r="Y7" i="11"/>
  <c r="AA6" i="11"/>
  <c r="Z6" i="11"/>
  <c r="Y6" i="11"/>
  <c r="AA5" i="11"/>
  <c r="Z5" i="11"/>
  <c r="Y5" i="11"/>
  <c r="AA2" i="11"/>
  <c r="Z2" i="11"/>
  <c r="Y2" i="11"/>
  <c r="D26" i="11"/>
  <c r="E26" i="11"/>
  <c r="G26" i="11"/>
  <c r="H26" i="11"/>
  <c r="I26" i="11"/>
  <c r="J26" i="11"/>
  <c r="K26" i="11"/>
  <c r="N26" i="11"/>
  <c r="O26" i="11"/>
  <c r="P26" i="11"/>
  <c r="Q26" i="11"/>
  <c r="R26" i="11"/>
  <c r="S26" i="11"/>
  <c r="T26" i="11"/>
  <c r="U26" i="11"/>
  <c r="V26" i="11"/>
  <c r="W26" i="11"/>
  <c r="X26" i="11"/>
  <c r="AU26" i="11"/>
  <c r="C26" i="11"/>
  <c r="X40" i="11"/>
  <c r="X37" i="11"/>
  <c r="X34" i="11"/>
  <c r="X30" i="11"/>
  <c r="X22" i="11"/>
  <c r="X7" i="11"/>
  <c r="X6" i="11"/>
  <c r="X5" i="11"/>
  <c r="X2" i="11"/>
  <c r="E2" i="11"/>
  <c r="D2" i="11"/>
  <c r="C2" i="11"/>
  <c r="A1" i="6"/>
  <c r="S15" i="1"/>
  <c r="S30" i="1"/>
  <c r="S24" i="1"/>
  <c r="S25" i="1"/>
  <c r="S29" i="1"/>
  <c r="S31" i="1"/>
  <c r="S35" i="1"/>
  <c r="S19" i="1"/>
  <c r="S20" i="1"/>
  <c r="S34" i="1"/>
  <c r="B1" i="6"/>
  <c r="A7" i="7"/>
  <c r="B7" i="7"/>
  <c r="S48" i="1"/>
  <c r="S49" i="1"/>
  <c r="C7" i="7"/>
  <c r="T48" i="1"/>
  <c r="T49" i="1"/>
  <c r="D7" i="7"/>
  <c r="E3" i="12"/>
  <c r="F3" i="12"/>
  <c r="E4" i="12"/>
  <c r="F4" i="12"/>
  <c r="E5" i="12"/>
  <c r="F5" i="12"/>
  <c r="E6" i="12"/>
  <c r="F6" i="12"/>
  <c r="AU40" i="11"/>
  <c r="W40" i="11"/>
  <c r="V40" i="11"/>
  <c r="U40" i="11"/>
  <c r="T40" i="11"/>
  <c r="S40" i="11"/>
  <c r="R40" i="11"/>
  <c r="Q40" i="11"/>
  <c r="P40" i="11"/>
  <c r="O40" i="11"/>
  <c r="N40" i="11"/>
  <c r="K40" i="11"/>
  <c r="J40" i="11"/>
  <c r="I40" i="11"/>
  <c r="H40" i="11"/>
  <c r="G40" i="11"/>
  <c r="E40" i="11"/>
  <c r="D40" i="11"/>
  <c r="C40" i="11"/>
  <c r="AU37" i="11"/>
  <c r="W37" i="11"/>
  <c r="V37" i="11"/>
  <c r="U37" i="11"/>
  <c r="T37" i="11"/>
  <c r="S37" i="11"/>
  <c r="R37" i="11"/>
  <c r="Q37" i="11"/>
  <c r="P37" i="11"/>
  <c r="O37" i="11"/>
  <c r="N37" i="11"/>
  <c r="K37" i="11"/>
  <c r="J37" i="11"/>
  <c r="I37" i="11"/>
  <c r="H37" i="11"/>
  <c r="G37" i="11"/>
  <c r="E37" i="11"/>
  <c r="D37" i="11"/>
  <c r="C37" i="11"/>
  <c r="AU34" i="11"/>
  <c r="W34" i="11"/>
  <c r="V34" i="11"/>
  <c r="U34" i="11"/>
  <c r="T34" i="11"/>
  <c r="S34" i="11"/>
  <c r="R34" i="11"/>
  <c r="Q34" i="11"/>
  <c r="P34" i="11"/>
  <c r="O34" i="11"/>
  <c r="N34" i="11"/>
  <c r="K34" i="11"/>
  <c r="J34" i="11"/>
  <c r="I34" i="11"/>
  <c r="H34" i="11"/>
  <c r="G34" i="11"/>
  <c r="E34" i="11"/>
  <c r="D34" i="11"/>
  <c r="C34" i="11"/>
  <c r="AU30" i="11"/>
  <c r="W30" i="11"/>
  <c r="V30" i="11"/>
  <c r="U30" i="11"/>
  <c r="T30" i="11"/>
  <c r="S30" i="11"/>
  <c r="R30" i="11"/>
  <c r="Q30" i="11"/>
  <c r="P30" i="11"/>
  <c r="O30" i="11"/>
  <c r="N30" i="11"/>
  <c r="K30" i="11"/>
  <c r="J30" i="11"/>
  <c r="I30" i="11"/>
  <c r="H30" i="11"/>
  <c r="G30" i="11"/>
  <c r="E30" i="11"/>
  <c r="D30" i="11"/>
  <c r="C30" i="11"/>
  <c r="AU22" i="11"/>
  <c r="W22" i="11"/>
  <c r="V22" i="11"/>
  <c r="U22" i="11"/>
  <c r="T22" i="11"/>
  <c r="S22" i="11"/>
  <c r="R22" i="11"/>
  <c r="Q22" i="11"/>
  <c r="P22" i="11"/>
  <c r="O22" i="11"/>
  <c r="N22" i="11"/>
  <c r="K22" i="11"/>
  <c r="J22" i="11"/>
  <c r="I22" i="11"/>
  <c r="H22" i="11"/>
  <c r="G22" i="11"/>
  <c r="E22" i="11"/>
  <c r="D22" i="11"/>
  <c r="C22" i="11"/>
  <c r="AU7" i="11"/>
  <c r="W7" i="11"/>
  <c r="V7" i="11"/>
  <c r="U7" i="11"/>
  <c r="T7" i="11"/>
  <c r="S7" i="11"/>
  <c r="R7" i="11"/>
  <c r="Q7" i="11"/>
  <c r="P7" i="11"/>
  <c r="O7" i="11"/>
  <c r="N7" i="11"/>
  <c r="K7" i="11"/>
  <c r="J7" i="11"/>
  <c r="I7" i="11"/>
  <c r="H7" i="11"/>
  <c r="G7" i="11"/>
  <c r="E7" i="11"/>
  <c r="D7" i="11"/>
  <c r="C7" i="11"/>
  <c r="AU6" i="11"/>
  <c r="W6" i="11"/>
  <c r="V6" i="11"/>
  <c r="U6" i="11"/>
  <c r="T6" i="11"/>
  <c r="S6" i="11"/>
  <c r="R6" i="11"/>
  <c r="Q6" i="11"/>
  <c r="P6" i="11"/>
  <c r="O6" i="11"/>
  <c r="N6" i="11"/>
  <c r="K6" i="11"/>
  <c r="J6" i="11"/>
  <c r="I6" i="11"/>
  <c r="H6" i="11"/>
  <c r="G6" i="11"/>
  <c r="E6" i="11"/>
  <c r="AU5" i="11"/>
  <c r="W5" i="11"/>
  <c r="V5" i="11"/>
  <c r="U5" i="11"/>
  <c r="T5" i="11"/>
  <c r="S5" i="11"/>
  <c r="R5" i="11"/>
  <c r="Q5" i="11"/>
  <c r="P5" i="11"/>
  <c r="O5" i="11"/>
  <c r="N5" i="11"/>
  <c r="K5" i="11"/>
  <c r="J5" i="11"/>
  <c r="I5" i="11"/>
  <c r="H5" i="11"/>
  <c r="G5" i="11"/>
  <c r="E5" i="11"/>
  <c r="D5" i="11"/>
  <c r="C5" i="11"/>
  <c r="AU2" i="11"/>
  <c r="W2" i="11"/>
  <c r="V2" i="11"/>
  <c r="U2" i="11"/>
  <c r="T2" i="11"/>
  <c r="S2" i="11"/>
  <c r="R2" i="11"/>
  <c r="Q2" i="11"/>
  <c r="P2" i="11"/>
  <c r="O2" i="11"/>
  <c r="N2" i="11"/>
  <c r="K2" i="11"/>
  <c r="J2" i="11"/>
  <c r="I2" i="11"/>
  <c r="H2" i="11"/>
  <c r="G2" i="11"/>
  <c r="C1" i="8"/>
  <c r="B1" i="8"/>
  <c r="B2" i="8"/>
  <c r="S53" i="1"/>
  <c r="C2" i="8"/>
  <c r="B3" i="8"/>
  <c r="S54" i="1"/>
  <c r="C3" i="8"/>
  <c r="B4" i="8"/>
  <c r="S55" i="1"/>
  <c r="C4" i="8"/>
  <c r="B5" i="8"/>
  <c r="S56" i="1"/>
  <c r="C5" i="8"/>
  <c r="B6" i="8"/>
  <c r="S57" i="1"/>
  <c r="C6" i="8"/>
  <c r="B7" i="8"/>
  <c r="S58" i="1"/>
  <c r="C7" i="8"/>
  <c r="B8" i="8"/>
  <c r="S59" i="1"/>
  <c r="C8" i="8"/>
  <c r="B9" i="8"/>
  <c r="S60" i="1"/>
  <c r="C9" i="8"/>
  <c r="B10" i="8"/>
  <c r="S61" i="1"/>
  <c r="C10" i="8"/>
  <c r="B11" i="8"/>
  <c r="S62" i="1"/>
  <c r="C11" i="8"/>
  <c r="B12" i="8"/>
  <c r="S63" i="1"/>
  <c r="C12" i="8"/>
  <c r="B13" i="8"/>
  <c r="S64" i="1"/>
  <c r="C13" i="8"/>
  <c r="A2" i="8"/>
  <c r="A3" i="8"/>
  <c r="A4" i="8"/>
  <c r="A5" i="8"/>
  <c r="A6" i="8"/>
  <c r="A7" i="8"/>
  <c r="A8" i="8"/>
  <c r="A9" i="8"/>
  <c r="A10" i="8"/>
  <c r="A11" i="8"/>
  <c r="A12" i="8"/>
  <c r="A13" i="8"/>
  <c r="A1" i="8"/>
  <c r="AA48" i="1"/>
  <c r="AA49" i="1"/>
  <c r="AA46" i="1"/>
  <c r="AA47" i="1"/>
  <c r="AA44" i="1"/>
  <c r="AA45" i="1"/>
  <c r="AA14" i="1"/>
  <c r="Z48" i="1"/>
  <c r="Z49" i="1"/>
  <c r="Z46" i="1"/>
  <c r="Z47" i="1"/>
  <c r="Z44" i="1"/>
  <c r="Z45" i="1"/>
  <c r="Z14" i="1"/>
  <c r="W48" i="1"/>
  <c r="W49" i="1"/>
  <c r="W46" i="1"/>
  <c r="W47" i="1"/>
  <c r="W44" i="1"/>
  <c r="W45" i="1"/>
  <c r="W14" i="1"/>
  <c r="T44" i="1"/>
  <c r="B17" i="1"/>
  <c r="AC4" i="1"/>
  <c r="T45" i="1"/>
  <c r="T46" i="1"/>
  <c r="T47" i="1"/>
  <c r="D1" i="7"/>
  <c r="D2" i="7"/>
  <c r="D3" i="7"/>
  <c r="D4" i="7"/>
  <c r="D5" i="7"/>
  <c r="D6" i="7"/>
  <c r="C1" i="7"/>
  <c r="A2" i="7"/>
  <c r="B2" i="7"/>
  <c r="S44" i="1"/>
  <c r="C2" i="7"/>
  <c r="A3" i="7"/>
  <c r="B3" i="7"/>
  <c r="S45" i="1"/>
  <c r="C3" i="7"/>
  <c r="A4" i="7"/>
  <c r="B4" i="7"/>
  <c r="S46" i="1"/>
  <c r="C4" i="7"/>
  <c r="A5" i="7"/>
  <c r="B5" i="7"/>
  <c r="S47" i="1"/>
  <c r="C5" i="7"/>
  <c r="A6" i="7"/>
  <c r="B6" i="7"/>
  <c r="C6" i="7"/>
  <c r="B1" i="7"/>
  <c r="A1" i="7"/>
  <c r="D48" i="1"/>
  <c r="D50" i="1"/>
  <c r="D51" i="1"/>
  <c r="D53" i="1"/>
  <c r="B2" i="6"/>
  <c r="C31" i="1"/>
  <c r="C51" i="1"/>
  <c r="B18" i="1"/>
  <c r="B3" i="6"/>
  <c r="B4" i="6"/>
  <c r="A3" i="6"/>
  <c r="A4" i="6"/>
  <c r="A2" i="6"/>
  <c r="S6" i="1"/>
  <c r="S4" i="1"/>
  <c r="T14" i="1"/>
  <c r="S14" i="1"/>
  <c r="B31" i="1"/>
  <c r="C36" i="1"/>
  <c r="D36" i="1"/>
  <c r="B36" i="1"/>
  <c r="B19" i="1"/>
  <c r="C65" i="4"/>
  <c r="C69" i="4"/>
  <c r="B60" i="4"/>
  <c r="C60" i="4"/>
  <c r="C62" i="4"/>
  <c r="B65" i="4"/>
  <c r="B69" i="4"/>
  <c r="B62" i="4"/>
  <c r="B70" i="4"/>
  <c r="C70" i="4"/>
  <c r="D63" i="1"/>
  <c r="D35" i="1"/>
  <c r="B12" i="1"/>
  <c r="B21" i="1"/>
  <c r="B20" i="1"/>
  <c r="C8" i="4"/>
  <c r="F8" i="4"/>
  <c r="G8" i="4"/>
  <c r="B8" i="4"/>
  <c r="J31" i="5"/>
  <c r="C6" i="4"/>
  <c r="D6" i="4"/>
  <c r="F6" i="4"/>
  <c r="B6" i="4"/>
  <c r="C31" i="4"/>
  <c r="D31" i="4"/>
  <c r="F31" i="4"/>
  <c r="G31" i="4"/>
  <c r="B31" i="4"/>
  <c r="C30" i="4"/>
  <c r="D30" i="4"/>
  <c r="F30" i="4"/>
  <c r="G30" i="4"/>
  <c r="B30" i="4"/>
  <c r="K32" i="5"/>
  <c r="J32" i="5"/>
  <c r="I30" i="5"/>
  <c r="I31" i="5"/>
  <c r="I32" i="5"/>
  <c r="H29" i="5"/>
  <c r="H30" i="5"/>
  <c r="H31" i="5"/>
  <c r="H32" i="5"/>
  <c r="G28" i="5"/>
  <c r="G29" i="5"/>
  <c r="G30" i="5"/>
  <c r="G31" i="5"/>
  <c r="G32" i="5"/>
  <c r="F27" i="5"/>
  <c r="F28" i="5"/>
  <c r="F29" i="5"/>
  <c r="F30" i="5"/>
  <c r="F31" i="5"/>
  <c r="F32" i="5"/>
  <c r="E26" i="5"/>
  <c r="E27" i="5"/>
  <c r="E28" i="5"/>
  <c r="E29" i="5"/>
  <c r="E30" i="5"/>
  <c r="E31" i="5"/>
  <c r="E32" i="5"/>
  <c r="D32" i="5"/>
  <c r="C24" i="5"/>
  <c r="C25" i="5"/>
  <c r="C26" i="5"/>
  <c r="C27" i="5"/>
  <c r="C28" i="5"/>
  <c r="C29" i="5"/>
  <c r="C30" i="5"/>
  <c r="C31" i="5"/>
  <c r="C32" i="5"/>
  <c r="D13" i="4"/>
  <c r="D14" i="4"/>
  <c r="E13" i="4"/>
  <c r="E14" i="4"/>
  <c r="E16" i="4"/>
  <c r="E17" i="4"/>
  <c r="C10" i="4"/>
  <c r="C11" i="4"/>
  <c r="D10" i="4"/>
  <c r="D11" i="4"/>
  <c r="E10" i="4"/>
  <c r="E11" i="4"/>
  <c r="B10" i="4"/>
  <c r="B11" i="4"/>
  <c r="E11" i="5"/>
  <c r="E12" i="5"/>
  <c r="E13" i="5"/>
  <c r="E14" i="5"/>
  <c r="E15" i="5"/>
  <c r="E16" i="5"/>
  <c r="E17" i="5"/>
  <c r="D10" i="5"/>
  <c r="D11" i="5"/>
  <c r="D12" i="5"/>
  <c r="D13" i="5"/>
  <c r="D14" i="5"/>
  <c r="D15" i="5"/>
  <c r="D16" i="5"/>
  <c r="D17" i="5"/>
  <c r="K17" i="5"/>
  <c r="J17" i="5"/>
  <c r="I15" i="5"/>
  <c r="I16" i="5"/>
  <c r="I17" i="5"/>
  <c r="H14" i="5"/>
  <c r="H15" i="5"/>
  <c r="H16" i="5"/>
  <c r="H17" i="5"/>
  <c r="G17" i="5"/>
  <c r="F12" i="5"/>
  <c r="F13" i="5"/>
  <c r="F14" i="5"/>
  <c r="F15" i="5"/>
  <c r="F16" i="5"/>
  <c r="F17" i="5"/>
  <c r="C9" i="5"/>
  <c r="C10" i="5"/>
  <c r="C11" i="5"/>
  <c r="C12" i="5"/>
  <c r="C13" i="5"/>
  <c r="C14" i="5"/>
  <c r="C15" i="5"/>
  <c r="C16" i="5"/>
  <c r="C17" i="5"/>
  <c r="B40" i="4"/>
  <c r="C40" i="4"/>
  <c r="D40" i="4"/>
  <c r="C38" i="4"/>
  <c r="B38" i="4"/>
  <c r="D38" i="4"/>
  <c r="B23" i="4"/>
  <c r="E23" i="4"/>
  <c r="C23" i="4"/>
  <c r="D23" i="4"/>
  <c r="C42" i="1"/>
  <c r="G41" i="1"/>
  <c r="G40" i="1"/>
  <c r="B9" i="1"/>
  <c r="B10" i="1"/>
  <c r="B11" i="1"/>
  <c r="D42" i="1"/>
  <c r="D61" i="1"/>
  <c r="B51" i="1"/>
  <c r="D62" i="1"/>
  <c r="B52" i="1"/>
  <c r="B61" i="1"/>
  <c r="C52" i="1"/>
  <c r="C61" i="1"/>
  <c r="C54" i="1"/>
  <c r="C35" i="1"/>
  <c r="B42" i="1"/>
  <c r="B35" i="1"/>
  <c r="D52" i="1"/>
  <c r="B53" i="1"/>
  <c r="B54" i="1"/>
  <c r="B13" i="1"/>
  <c r="C62" i="1"/>
  <c r="B62" i="1"/>
  <c r="C55" i="1"/>
  <c r="C63" i="1"/>
  <c r="B56" i="1"/>
  <c r="B55" i="1"/>
  <c r="H52" i="1"/>
  <c r="H54" i="1"/>
  <c r="H55" i="1"/>
  <c r="B63" i="1"/>
  <c r="I52" i="1"/>
  <c r="I54" i="1"/>
  <c r="I55" i="1"/>
  <c r="J52" i="1"/>
  <c r="J54" i="1"/>
  <c r="J55" i="1"/>
  <c r="H33" i="1"/>
  <c r="H32" i="1"/>
  <c r="I32" i="1"/>
  <c r="J32" i="1"/>
  <c r="I33" i="1"/>
  <c r="J33" i="1"/>
  <c r="H31" i="1"/>
  <c r="J31" i="1"/>
  <c r="D43" i="1"/>
  <c r="D44" i="1"/>
  <c r="D45" i="1"/>
  <c r="C43" i="1"/>
  <c r="C44" i="1"/>
  <c r="C45" i="1"/>
  <c r="B43" i="1"/>
  <c r="B44" i="1"/>
  <c r="B45" i="1"/>
  <c r="I31" i="1"/>
</calcChain>
</file>

<file path=xl/comments1.xml><?xml version="1.0" encoding="utf-8"?>
<comments xmlns="http://schemas.openxmlformats.org/spreadsheetml/2006/main">
  <authors>
    <author>Ranjit</author>
    <author>Ranjit Deshmukh</author>
  </authors>
  <commentList>
    <comment ref="A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For scenarios with different upfront costs like wind, solar, battery, there will be a common econ dispatch suffix.</t>
        </r>
      </text>
    </comment>
    <comment ref="D6" authorId="1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net load for high cost coal should be same as low cost coal.
</t>
        </r>
      </text>
    </comment>
    <comment ref="M8" authorId="1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I could change this to coallc. Didn't need to run this separately as net load is the same as coallc.
</t>
        </r>
      </text>
    </comment>
  </commentList>
</comments>
</file>

<file path=xl/comments2.xml><?xml version="1.0" encoding="utf-8"?>
<comments xmlns="http://schemas.openxmlformats.org/spreadsheetml/2006/main">
  <authors>
    <author>Ranjit Deshmukh</author>
    <author>Ranjit</author>
  </authors>
  <commentList>
    <comment ref="AC5" authorId="0">
      <text>
        <r>
          <rPr>
            <b/>
            <sz val="9"/>
            <color indexed="81"/>
            <rFont val="Calibri"/>
            <family val="2"/>
          </rPr>
          <t>Ranjit Deshmukh:</t>
        </r>
        <r>
          <rPr>
            <sz val="9"/>
            <color indexed="81"/>
            <rFont val="Calibri"/>
            <family val="2"/>
          </rPr>
          <t xml:space="preserve">
Note that this is USD/MMBTU. It's an error. But USD/GJ is not tha different - 9.5.
</t>
        </r>
      </text>
    </comment>
    <comment ref="B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A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Sub-bituminous http://www.industry.gov.au/Office-of-the-Chief-Economist/Publications/Documents/Coal-in-India.pdf</t>
        </r>
      </text>
    </comment>
    <comment ref="B16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http://cornerstonemag.net/coal-based-electricity-generation-in-india/
</t>
        </r>
      </text>
    </comment>
    <comment ref="B18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multiple sources. See Data and Sources Worksheet.</t>
        </r>
      </text>
    </comment>
    <comment ref="D34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This B&amp;V number 
matched CERC 2014 numbers</t>
        </r>
      </text>
    </comment>
    <comment ref="B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Key difference between CT vs CCGT/coal is that it can start stop during the day.</t>
        </r>
      </text>
    </comment>
    <comment ref="D37" authorId="1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India's regulation. B&amp;V 's was 40%.</t>
        </r>
      </text>
    </comment>
  </commentList>
</comments>
</file>

<file path=xl/comments3.xml><?xml version="1.0" encoding="utf-8"?>
<comments xmlns="http://schemas.openxmlformats.org/spreadsheetml/2006/main">
  <authors>
    <author>Ranjit Deshmukh</author>
  </authors>
  <commentList>
    <comment ref="C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 and 12 GW by 2017</t>
        </r>
      </text>
    </comment>
    <comment ref="D7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MNRE reports 25 GW installed capacity by 12/12/2018
</t>
        </r>
      </text>
    </comment>
    <comment ref="C25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C43" authorId="0">
      <text>
        <r>
          <rPr>
            <b/>
            <sz val="10"/>
            <color indexed="81"/>
            <rFont val="Calibri"/>
            <family val="2"/>
          </rPr>
          <t>Ranjit Deshmukh:</t>
        </r>
        <r>
          <rPr>
            <sz val="10"/>
            <color indexed="81"/>
            <rFont val="Calibri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Ranjit</author>
  </authors>
  <commentList>
    <comment ref="B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Small gas turbine power gen 2016-17 costs
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page 74, CCGT 2016-17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CERC 2014 for 2016-17 for supercritical 600 MW coal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72 500 MW subcritical coal. 2016-17 costs
</t>
        </r>
      </text>
    </comment>
    <comment ref="E34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page 103; 500 MW plant</t>
        </r>
      </text>
    </comment>
    <comment ref="B61" authorId="0">
      <text>
        <r>
          <rPr>
            <b/>
            <sz val="9"/>
            <color indexed="81"/>
            <rFont val="Tahoma"/>
            <family val="2"/>
          </rPr>
          <t>Ranjit:</t>
        </r>
        <r>
          <rPr>
            <sz val="9"/>
            <color indexed="81"/>
            <rFont val="Tahoma"/>
            <family val="2"/>
          </rPr>
          <t xml:space="preserve">
US wind installed cost in 2015 - $1690/kW - Wind report 2015 market data</t>
        </r>
      </text>
    </comment>
  </commentList>
</comments>
</file>

<file path=xl/sharedStrings.xml><?xml version="1.0" encoding="utf-8"?>
<sst xmlns="http://schemas.openxmlformats.org/spreadsheetml/2006/main" count="1201" uniqueCount="524">
  <si>
    <t>Screening curves</t>
  </si>
  <si>
    <t>CT</t>
  </si>
  <si>
    <t>CCGT</t>
  </si>
  <si>
    <t>Coal</t>
  </si>
  <si>
    <t>Capital cost (USD/kW)</t>
  </si>
  <si>
    <t>Capital cost (INR/kW)</t>
  </si>
  <si>
    <t>Fixed O&amp;M (USD/kW-y)</t>
  </si>
  <si>
    <t>Variable O&amp;M (USD/MWh)</t>
  </si>
  <si>
    <t>Heat Rate (Btu/kWh)</t>
  </si>
  <si>
    <t>Minimum load</t>
  </si>
  <si>
    <t>Emissions CO2 (lbs/mmbtu)</t>
  </si>
  <si>
    <t>Emissions SO2 (lbs/mmbtu)</t>
  </si>
  <si>
    <t>Emissions Nox (lbs/mmbtu)</t>
  </si>
  <si>
    <t>PM10 (lbs/mmbtu)</t>
  </si>
  <si>
    <t>Fixed O&amp;M (INR/kW-y)</t>
  </si>
  <si>
    <t>Variable O&amp;M (INR/MWh)</t>
  </si>
  <si>
    <t>source: B&amp;V 2012</t>
  </si>
  <si>
    <t>Discount rate</t>
  </si>
  <si>
    <t>Plant life</t>
  </si>
  <si>
    <t>CRF</t>
  </si>
  <si>
    <t>Annualized fixed costs (USD/kW-y)</t>
  </si>
  <si>
    <t>Emissions CO2 (tonnes/MWh)</t>
  </si>
  <si>
    <t>Emissions SO2 (kg/MWh)</t>
  </si>
  <si>
    <t>Emissions Nox (kg/MWh)</t>
  </si>
  <si>
    <t>PM10 (kg/MWh)</t>
  </si>
  <si>
    <t>Fuel cost (Rangan's article)</t>
  </si>
  <si>
    <t>Coal (INR/GJ)</t>
  </si>
  <si>
    <t>NG (INR/GJ)</t>
  </si>
  <si>
    <t>Coal Calorific value (kcal/kg)</t>
  </si>
  <si>
    <t>Coal (INR/tonne)</t>
  </si>
  <si>
    <t>Coal Calorific value (GJ/tonne)</t>
  </si>
  <si>
    <t>Coal (USD/tonne)</t>
  </si>
  <si>
    <t>Variable cost (USD/MWh)</t>
  </si>
  <si>
    <t>Coal (USD/GJ)</t>
  </si>
  <si>
    <t>GJ per MMBTU</t>
  </si>
  <si>
    <t>lbs per kg</t>
  </si>
  <si>
    <t>INR per USD</t>
  </si>
  <si>
    <t>Variable cost (INR/MWh)</t>
  </si>
  <si>
    <t>NG (USD/GJ)</t>
  </si>
  <si>
    <t>Annualized fixed costs (INR/kW-y)</t>
  </si>
  <si>
    <t>Coal (kg/kWh)</t>
  </si>
  <si>
    <t>source</t>
  </si>
  <si>
    <t>CERC 2014</t>
  </si>
  <si>
    <t>source: http://cercind.gov.in/2014/regulation/reg21.pdf</t>
  </si>
  <si>
    <t>CERC</t>
  </si>
  <si>
    <t>B&amp;V</t>
  </si>
  <si>
    <t>Coal (kcal/kWh)</t>
  </si>
  <si>
    <t>NG heat rate - CT (kcal/kWh)</t>
  </si>
  <si>
    <t>CERC 2014 average</t>
  </si>
  <si>
    <t>NG heat rate - CCGT (kcal/kWh)</t>
  </si>
  <si>
    <t>Auxillary consumption</t>
  </si>
  <si>
    <t>B&amp;V average</t>
  </si>
  <si>
    <t>NG heat rate - CT (Btu/kWh)</t>
  </si>
  <si>
    <t>NG heat rate - CCGT (Btu/kWh)</t>
  </si>
  <si>
    <t>Btu per kcal</t>
  </si>
  <si>
    <t>gas_ct</t>
  </si>
  <si>
    <t>gas_ccgt</t>
  </si>
  <si>
    <t>coal</t>
  </si>
  <si>
    <t>gas_price</t>
  </si>
  <si>
    <t>0.61 - IESS coal and gas power stations GoI</t>
  </si>
  <si>
    <t>cap_cost_ct</t>
  </si>
  <si>
    <t>cap_cost_ccgt</t>
  </si>
  <si>
    <t>cap_cost_coal</t>
  </si>
  <si>
    <t>Expected PLF in hours</t>
  </si>
  <si>
    <t>See NEP Vol I page 241; page 309 shows gas as 0.49, coal as 1.01</t>
  </si>
  <si>
    <t>O&amp;M</t>
  </si>
  <si>
    <t>Coal SC</t>
  </si>
  <si>
    <t>Coal SubC</t>
  </si>
  <si>
    <t>Sources</t>
  </si>
  <si>
    <t>CERC (Terms and Conditions of Tariff) Regulations 2014</t>
  </si>
  <si>
    <t>Heat rates</t>
  </si>
  <si>
    <t>kcal/kWh</t>
  </si>
  <si>
    <t>CERC 2014 "Recommendations on Operation Norms for Thermal Power Stations Tariff Period 2014-19"</t>
  </si>
  <si>
    <t>CERC 2014 Operating norms for gas</t>
  </si>
  <si>
    <t>Heat Rate (kcal/kWh) (converted from Btu/kWh)</t>
  </si>
  <si>
    <t>See NEP Vol I page 151 for more estimates</t>
  </si>
  <si>
    <t>B&amp;V &amp; CERC 2014 operating norms</t>
  </si>
  <si>
    <t>CERC 2014 heat rate for super critical is 2375; NEP Vol I for coal is 2350; gas is 1850 (doesn't say which gas).</t>
  </si>
  <si>
    <t>Capital costs</t>
  </si>
  <si>
    <t>EIA Capital cost estimates for utility scale elec gen plants 2016; coal cost is only for ultra-supercritical; CT is advanced (regular one is 1101)</t>
  </si>
  <si>
    <t>Nuclear</t>
  </si>
  <si>
    <t>Hydro</t>
  </si>
  <si>
    <t xml:space="preserve">O&amp;M (USD/kW-y) </t>
  </si>
  <si>
    <t>Btu/kWh</t>
  </si>
  <si>
    <t>B&amp;V-NREL 2012</t>
  </si>
  <si>
    <t>USD/kW (2009$)</t>
  </si>
  <si>
    <t>B&amp;V (combine with variable)</t>
  </si>
  <si>
    <t>B&amp;V (combine with fixed)</t>
  </si>
  <si>
    <t>O&amp;M (USD/MWh)</t>
  </si>
  <si>
    <t>B&amp;V-NREL 2012; coal is pulverized coal plant</t>
  </si>
  <si>
    <t>EIA 2016</t>
  </si>
  <si>
    <t>EIA 2016 (combine with variable)</t>
  </si>
  <si>
    <t>EIA 2016 (combine with fixed)</t>
  </si>
  <si>
    <t>National Electricity Plan Draft - CEA 2016; page 152 coal 660 MW unit</t>
  </si>
  <si>
    <t>CERC Operating norms for thermal power generating plants 2014; Average of plants mentioned in order</t>
  </si>
  <si>
    <t>kcal/kWh (converted)</t>
  </si>
  <si>
    <t>Coal (kg/kWh) computed</t>
  </si>
  <si>
    <t>INR Rs lakhs/MW (2012)</t>
  </si>
  <si>
    <t>IESS 2047; first apply inflation rate and then convert to USD</t>
  </si>
  <si>
    <t>Data and sources</t>
  </si>
  <si>
    <t>IESS 2047; gas costs are not split into CCGT and CT. don't use</t>
  </si>
  <si>
    <t>Phadke et al 2016</t>
  </si>
  <si>
    <t>INR Rs lakhs/MW (2015)</t>
  </si>
  <si>
    <t>CERC 2012 Benchmark capital costs for thermal power stations with coal as fuel; average of costs of six units of 660 MW for SC and another six units of 500 MW for SubC</t>
  </si>
  <si>
    <t>India Inflation rates</t>
  </si>
  <si>
    <t>http://www.inflation.eu/inflation-rates/india/historic-inflation/cpi-inflation-india.aspx</t>
  </si>
  <si>
    <t>source: Consumer Price Index India</t>
  </si>
  <si>
    <t>Average annual inflation rate</t>
  </si>
  <si>
    <t>INR Rs lakhs/MW (2016)</t>
  </si>
  <si>
    <t>Cumulative inflation factors</t>
  </si>
  <si>
    <t>IESS 2047 adjusted for inflation</t>
  </si>
  <si>
    <t>USD/kW (2016 USD)</t>
  </si>
  <si>
    <t>CERC 2012 adjusted for inflation</t>
  </si>
  <si>
    <t>Phadke et al 2016 adjusted for inflation</t>
  </si>
  <si>
    <t>USD/kW (2016)</t>
  </si>
  <si>
    <t>USD/kW (2015 $)</t>
  </si>
  <si>
    <t>O&amp;M (USD/kW-y)(2016)</t>
  </si>
  <si>
    <t>CERC (Terms and Conditions of Tariff) Regulations 2014; values are for 2016-17, so no inflation rate applied</t>
  </si>
  <si>
    <t>O&amp;M (USD/kW-y) (2009$)</t>
  </si>
  <si>
    <t>O&amp;M (USD/MWh) (2009$)</t>
  </si>
  <si>
    <t>INDIA</t>
  </si>
  <si>
    <t>US</t>
  </si>
  <si>
    <t>O&amp;M (USD/kW-y) (2016$)</t>
  </si>
  <si>
    <t>O&amp;M (USD/MWh) (2016$)</t>
  </si>
  <si>
    <t xml:space="preserve">CERC (Terms and Conditions of Tariff) Regulations 2014 - not sure if these include variable O&amp;M as well. I am assuming not. Then gas O&amp;M make sense, but coal for India is much lower than US, which also makes sense. </t>
  </si>
  <si>
    <t>USD/kW (2016 $)</t>
  </si>
  <si>
    <t>B&amp;V-NREL 2012; adjusted for inflation</t>
  </si>
  <si>
    <t>EIA 2016 adjusted for inflation</t>
  </si>
  <si>
    <t>CERC 2014 assumed zero</t>
  </si>
  <si>
    <t>O&amp;M (INR/kW-y)(2016)</t>
  </si>
  <si>
    <t>O&amp;M (INR/MWh) (2016)</t>
  </si>
  <si>
    <t>O&amp;M (USD/MWh) (2016)</t>
  </si>
  <si>
    <t>NEP 2016</t>
  </si>
  <si>
    <t>NG heat rate - coal super critical (kcal/kWh)</t>
  </si>
  <si>
    <t>Aux consumption</t>
  </si>
  <si>
    <t>Discount rates</t>
  </si>
  <si>
    <t>%</t>
  </si>
  <si>
    <t>Central bank December 2016</t>
  </si>
  <si>
    <t>CERC regulations (I think this is nominal discount rate because it determines tariff over the lifetime of the plant)</t>
  </si>
  <si>
    <t>CERC - 10.8% is probably nominal, so using 7%</t>
  </si>
  <si>
    <t>LNG</t>
  </si>
  <si>
    <t>USD/MMBTU</t>
  </si>
  <si>
    <t>World Bank forecast (2017) for 2030 for Natural Gas LNG in Japan</t>
  </si>
  <si>
    <t>12.7 - Indonesian LNG in Japan - source IMF (2016) - Quarterly average from 2014 Q1 to 2016 Q2 ; 10.7 - Indonesian LNG in Japan - IMF - average of medium term commodity baseline that includes past baseline data from 2009 to 2016, and future projections till 2021</t>
  </si>
  <si>
    <t>IMF (2017) LNG forecast for 2017-2022 Indonesian gas in Japan</t>
  </si>
  <si>
    <t>World LNG Estimated Landed Prices June 2017 - Federal Energy Regulatory Commission (2017)</t>
  </si>
  <si>
    <t>Outage rates</t>
  </si>
  <si>
    <t>Hour</t>
  </si>
  <si>
    <t>Cutoff Hour</t>
  </si>
  <si>
    <t>For screening curve plots</t>
  </si>
  <si>
    <t>Solar and wind costs</t>
  </si>
  <si>
    <t>1USD to Rs</t>
  </si>
  <si>
    <t>Capital cost adjusted (USD/kW)</t>
  </si>
  <si>
    <t>LCOE (USD/MWh)</t>
  </si>
  <si>
    <t>Average capacity factor</t>
  </si>
  <si>
    <t>LCOE (INR/kWh)</t>
  </si>
  <si>
    <t>Plant Life (years)</t>
  </si>
  <si>
    <t>Fixed O&amp;M Costs (USD/kW)</t>
  </si>
  <si>
    <t>Variable O&amp;M Costs (USD/kWh)</t>
  </si>
  <si>
    <t>Wind</t>
  </si>
  <si>
    <t>Solar PV</t>
  </si>
  <si>
    <t>These are average capacity factors from S0W400 and S400W0 generation profiles</t>
  </si>
  <si>
    <t>Capital cost adjusted (INR/kW)</t>
  </si>
  <si>
    <t>LNG (USD/MMBTU)</t>
  </si>
  <si>
    <t>(FERC - 5.57 landed in India - https://www.ferc.gov/market-oversight/mkt-gas/overview/ngas-ovr-lng-wld-pr-est.pdf)</t>
  </si>
  <si>
    <t>LNG (USD/GJ)</t>
  </si>
  <si>
    <t>Heat Rate (MJ/kWh) converted from Btu/kWh)</t>
  </si>
  <si>
    <t>coallc</t>
  </si>
  <si>
    <t>Coal Capital Cost (USD/kW)</t>
  </si>
  <si>
    <t>coalhc</t>
  </si>
  <si>
    <t>Coal Fuel Cost (USD/GJ)</t>
  </si>
  <si>
    <t>coalhvc</t>
  </si>
  <si>
    <t>coallvc</t>
  </si>
  <si>
    <t>CT Capital Cost (USD/kW)</t>
  </si>
  <si>
    <t>Gas Fuel Cost USD/GJ)</t>
  </si>
  <si>
    <t>ctlc</t>
  </si>
  <si>
    <t>cthc</t>
  </si>
  <si>
    <t>ccgtlc</t>
  </si>
  <si>
    <t>ccgthc</t>
  </si>
  <si>
    <t>gaslvc</t>
  </si>
  <si>
    <t>CCGT Capital Cost (USD/kW)</t>
  </si>
  <si>
    <t>gashvc</t>
  </si>
  <si>
    <t>scenario</t>
  </si>
  <si>
    <t>fuel_cost_coal</t>
  </si>
  <si>
    <t>disc_rate</t>
  </si>
  <si>
    <t>Discount Rate</t>
  </si>
  <si>
    <t>discr7</t>
  </si>
  <si>
    <t>discr10</t>
  </si>
  <si>
    <t>discr4</t>
  </si>
  <si>
    <t>crf</t>
  </si>
  <si>
    <t>Crossover points</t>
  </si>
  <si>
    <t>Crossover points - only CT and coal</t>
  </si>
  <si>
    <t>Screening Curves</t>
  </si>
  <si>
    <t>technology</t>
  </si>
  <si>
    <t>hour</t>
  </si>
  <si>
    <t>CT-LNG</t>
  </si>
  <si>
    <t>CCGT-LNG</t>
  </si>
  <si>
    <t>generator_cost_all</t>
  </si>
  <si>
    <t>cost_type</t>
  </si>
  <si>
    <t>ct</t>
  </si>
  <si>
    <t>ccgt</t>
  </si>
  <si>
    <t>wind</t>
  </si>
  <si>
    <t>solarPV</t>
  </si>
  <si>
    <t>capital</t>
  </si>
  <si>
    <t>om</t>
  </si>
  <si>
    <t>Total cost INR per kWh</t>
  </si>
  <si>
    <t>Fixed cost INR per kWh</t>
  </si>
  <si>
    <t>USD/kW</t>
  </si>
  <si>
    <t>USD/GJ</t>
  </si>
  <si>
    <t>Wind Capital Cost (USD/kW)</t>
  </si>
  <si>
    <t>W10lc</t>
  </si>
  <si>
    <t>W20lc</t>
  </si>
  <si>
    <t>W30lc</t>
  </si>
  <si>
    <t>Solar PV Capital Cost (USD/kW)</t>
  </si>
  <si>
    <t>S10lc</t>
  </si>
  <si>
    <t>S20lc</t>
  </si>
  <si>
    <t>S30lc</t>
  </si>
  <si>
    <t>Solar O&amp;M Cost (USD/kW-y)</t>
  </si>
  <si>
    <t>Wind O&amp;M Cost(USD/kW-y)</t>
  </si>
  <si>
    <t>scenario_coal_gas</t>
  </si>
  <si>
    <t>base</t>
  </si>
  <si>
    <t>Battery Capital Cost (USD/kW)</t>
  </si>
  <si>
    <t>battery</t>
  </si>
  <si>
    <t>Battery O&amp;M Cost (USD/kW-y)</t>
  </si>
  <si>
    <t>MAIN COST DATA</t>
  </si>
  <si>
    <t>parameter</t>
  </si>
  <si>
    <t>comment</t>
  </si>
  <si>
    <t>high_cost_coal</t>
  </si>
  <si>
    <t>hydro_low25p</t>
  </si>
  <si>
    <t>hydro_high25p</t>
  </si>
  <si>
    <t>nuclear64</t>
  </si>
  <si>
    <t>battery15</t>
  </si>
  <si>
    <t>battery30</t>
  </si>
  <si>
    <t>wind10LC</t>
  </si>
  <si>
    <t>wind20LC</t>
  </si>
  <si>
    <t>wind30LC</t>
  </si>
  <si>
    <t>solar10LC</t>
  </si>
  <si>
    <t>solar20LC</t>
  </si>
  <si>
    <t>solar30LC</t>
  </si>
  <si>
    <t>wind30LC_solar30LC</t>
  </si>
  <si>
    <t>wind120HH</t>
  </si>
  <si>
    <t>solar1A</t>
  </si>
  <si>
    <t>solar90deg</t>
  </si>
  <si>
    <t>scenario_suffix</t>
  </si>
  <si>
    <t>input</t>
  </si>
  <si>
    <t>suggested_scenario_suffix</t>
  </si>
  <si>
    <t>new_conventional_capacity_folder_suffix</t>
  </si>
  <si>
    <t>net_load_folder_suffix</t>
  </si>
  <si>
    <t>REvalue_folder_suffix</t>
  </si>
  <si>
    <t>generator_cost_suffix</t>
  </si>
  <si>
    <t>coal_cost</t>
  </si>
  <si>
    <t>low, mid, or high. Low is base.</t>
  </si>
  <si>
    <t>low</t>
  </si>
  <si>
    <t>high</t>
  </si>
  <si>
    <t>coal_cost_suffix</t>
  </si>
  <si>
    <t>coal_cost_fkey</t>
  </si>
  <si>
    <t>coal_min_gen</t>
  </si>
  <si>
    <t>percentage, 70p is base</t>
  </si>
  <si>
    <t>coal_min_gen_suffix</t>
  </si>
  <si>
    <t>hydro_energy_mod</t>
  </si>
  <si>
    <t>percentage, 0 is base, pos or neg direction</t>
  </si>
  <si>
    <t>hydro_energy_mod_suffix</t>
  </si>
  <si>
    <t>nuclear_new_cap</t>
  </si>
  <si>
    <t>GW. 0 is base. 64 GW is India plan</t>
  </si>
  <si>
    <t>nuclear_new_cap_suffix</t>
  </si>
  <si>
    <t>battery_cap_gw</t>
  </si>
  <si>
    <t>gw capacity. 0 is base</t>
  </si>
  <si>
    <t>battery_cap_gw_suffix</t>
  </si>
  <si>
    <t>battery_cap_gw_fkey</t>
  </si>
  <si>
    <t>wind_cost</t>
  </si>
  <si>
    <t>percentage change</t>
  </si>
  <si>
    <t>wind_cost_direction</t>
  </si>
  <si>
    <t>low or high</t>
  </si>
  <si>
    <t>wind_cost_suffix</t>
  </si>
  <si>
    <t>wind_cost_fkey</t>
  </si>
  <si>
    <t>solar_cost</t>
  </si>
  <si>
    <t>solar_cost_direction</t>
  </si>
  <si>
    <t>solar_cost_suffix</t>
  </si>
  <si>
    <t>solar_cost_fkey</t>
  </si>
  <si>
    <t>wind_HH</t>
  </si>
  <si>
    <t>Hub height in meters. 80m is base</t>
  </si>
  <si>
    <t>wind_HH_suffix</t>
  </si>
  <si>
    <t>wind_HH_fkey</t>
  </si>
  <si>
    <t>solar_orient</t>
  </si>
  <si>
    <t>degrees to west 0d, 45d, 90d or 1A for 1 axis tracking</t>
  </si>
  <si>
    <t>0d</t>
  </si>
  <si>
    <t>1A</t>
  </si>
  <si>
    <t>90d</t>
  </si>
  <si>
    <t>solar_orient_suffix</t>
  </si>
  <si>
    <t>solar_orient_fkey</t>
  </si>
  <si>
    <t>load_year</t>
  </si>
  <si>
    <t>load_year_suffix</t>
  </si>
  <si>
    <t>load_modifier</t>
  </si>
  <si>
    <t>"none", "mod", "mod1".</t>
  </si>
  <si>
    <t>none</t>
  </si>
  <si>
    <t>load_modified_suffix</t>
  </si>
  <si>
    <t>dispatch_horizon</t>
  </si>
  <si>
    <t>RT or LA. If LA, include days</t>
  </si>
  <si>
    <t>RT</t>
  </si>
  <si>
    <t>LA_days</t>
  </si>
  <si>
    <t>dispatch_time_suffix</t>
  </si>
  <si>
    <t>nolookahead</t>
  </si>
  <si>
    <t>no battery</t>
  </si>
  <si>
    <t>S200W00</t>
  </si>
  <si>
    <t>lookahead</t>
  </si>
  <si>
    <t>mins</t>
  </si>
  <si>
    <t>estimated time for 16 mixes and targets</t>
  </si>
  <si>
    <t>hours</t>
  </si>
  <si>
    <t>minutes</t>
  </si>
  <si>
    <t>run</t>
  </si>
  <si>
    <t>econ dispatch net load script</t>
  </si>
  <si>
    <t>econ dispatch script</t>
  </si>
  <si>
    <t>Simulations</t>
  </si>
  <si>
    <t>70min/55min</t>
  </si>
  <si>
    <t>gasLC/HC</t>
  </si>
  <si>
    <t>coalLC/HC</t>
  </si>
  <si>
    <t>stoBat30/60</t>
  </si>
  <si>
    <t>loadMod</t>
  </si>
  <si>
    <t>nuc0/64</t>
  </si>
  <si>
    <t>hydro0/HE25/LE25</t>
  </si>
  <si>
    <t>solar0/45/90/1A</t>
  </si>
  <si>
    <t>windLC10p/20p/30p</t>
  </si>
  <si>
    <t>wind80/100/120</t>
  </si>
  <si>
    <t>solarLC10p/20p/30p</t>
  </si>
  <si>
    <t>Energy value</t>
  </si>
  <si>
    <t>Capacity value</t>
  </si>
  <si>
    <t>Cost</t>
  </si>
  <si>
    <t>cost summary R script</t>
  </si>
  <si>
    <t>screening curve script</t>
  </si>
  <si>
    <t>net load script</t>
  </si>
  <si>
    <t>Solar 90deg West</t>
  </si>
  <si>
    <t>solar45deg</t>
  </si>
  <si>
    <t>Solar 45deg Southwest</t>
  </si>
  <si>
    <t>Solar 1axis tracking</t>
  </si>
  <si>
    <t>wind120</t>
  </si>
  <si>
    <t>Wind 120m HH</t>
  </si>
  <si>
    <t>wind100</t>
  </si>
  <si>
    <t>Wind 100m HH</t>
  </si>
  <si>
    <t>maybe</t>
  </si>
  <si>
    <t>2013 load</t>
  </si>
  <si>
    <t>2012 load</t>
  </si>
  <si>
    <t>loadMod2014</t>
  </si>
  <si>
    <t>Load shape change</t>
  </si>
  <si>
    <t>CANCEL?</t>
  </si>
  <si>
    <t>Discount rate 10% VRE costs</t>
  </si>
  <si>
    <t>Discount rate 10%</t>
  </si>
  <si>
    <t>Discount rate 4% VRE costs</t>
  </si>
  <si>
    <t>Discount rate 4%</t>
  </si>
  <si>
    <t>CANCEL; just compare DR to storage in text. Storage efficiency, which leads to additional energy for charging is akin to DR rebound whre consumption may increase in non-peak hours.</t>
  </si>
  <si>
    <t>Demand response 10% daily energy</t>
  </si>
  <si>
    <t>Demand response 5% daily energy</t>
  </si>
  <si>
    <t>that's 30% of solar 200 GW target</t>
  </si>
  <si>
    <t>input file with extension</t>
  </si>
  <si>
    <t>stoBat60</t>
  </si>
  <si>
    <t>Battery Storage 20% peak ~ 60 GW</t>
  </si>
  <si>
    <t>stoBat45</t>
  </si>
  <si>
    <t>Battery Storage 15% peak ~ 45 GW</t>
  </si>
  <si>
    <t>that's 15% of solar 200 GW target</t>
  </si>
  <si>
    <t>stoBat30</t>
  </si>
  <si>
    <t>Battery Storage 10% peak ~ 30 GW</t>
  </si>
  <si>
    <t>stoBat15</t>
  </si>
  <si>
    <t>Battery Storage 5% peak ~ 15 GW</t>
  </si>
  <si>
    <t>I don't have capacity costs for nuclear. Can only determine energy value</t>
  </si>
  <si>
    <t>nuc64</t>
  </si>
  <si>
    <t>Nuclear 64 GW</t>
  </si>
  <si>
    <t>low energy</t>
  </si>
  <si>
    <t>hydroLE25p</t>
  </si>
  <si>
    <t>Hydro 25% higher</t>
  </si>
  <si>
    <t>high energy</t>
  </si>
  <si>
    <t>hydroHE25p</t>
  </si>
  <si>
    <t>Hydro 25% lower</t>
  </si>
  <si>
    <t>R script</t>
  </si>
  <si>
    <t>windLC20p</t>
  </si>
  <si>
    <t>Wind lower costs 20%</t>
  </si>
  <si>
    <t>windLC10p</t>
  </si>
  <si>
    <t>Wind lower costs 10%</t>
  </si>
  <si>
    <t>solarLC20p</t>
  </si>
  <si>
    <t>Solar lower costs 20%</t>
  </si>
  <si>
    <t>solarLC10p</t>
  </si>
  <si>
    <t>Solar lower costs 10%</t>
  </si>
  <si>
    <t>55min</t>
  </si>
  <si>
    <t>Minimum gen level 55%</t>
  </si>
  <si>
    <t>coalHC</t>
  </si>
  <si>
    <t>High Cost Coal</t>
  </si>
  <si>
    <t>coalLC</t>
  </si>
  <si>
    <t>Low Cost Coal</t>
  </si>
  <si>
    <t>Discount rate 7%, Min gen level 70%</t>
  </si>
  <si>
    <t>Base case</t>
  </si>
  <si>
    <t>Sensitivities</t>
  </si>
  <si>
    <t>S100 - W0</t>
  </si>
  <si>
    <t>S75 - W25</t>
  </si>
  <si>
    <t>S50 - W50</t>
  </si>
  <si>
    <t>S25 - W75</t>
  </si>
  <si>
    <t>S0 - W100</t>
  </si>
  <si>
    <t>S0 - W0</t>
  </si>
  <si>
    <t>Base</t>
  </si>
  <si>
    <t>method</t>
  </si>
  <si>
    <t>scenario abbreviation</t>
  </si>
  <si>
    <t>Exogenous to models</t>
  </si>
  <si>
    <t>System operations</t>
  </si>
  <si>
    <t>Capacity expansion</t>
  </si>
  <si>
    <t>VRE Buildout share</t>
  </si>
  <si>
    <t>VRE Buildout Capacity</t>
  </si>
  <si>
    <t>Scenarios</t>
  </si>
  <si>
    <t>Scenarios and sensitivities</t>
  </si>
  <si>
    <t>scenario (generator_cost_suffix)</t>
  </si>
  <si>
    <t>net load</t>
  </si>
  <si>
    <t>screening curves</t>
  </si>
  <si>
    <t>economic dispatch</t>
  </si>
  <si>
    <t>wind profiles</t>
  </si>
  <si>
    <t>solar profiles</t>
  </si>
  <si>
    <t>done</t>
  </si>
  <si>
    <t>coal_55mingen</t>
  </si>
  <si>
    <t>economic_dispatch_folder_suffix</t>
  </si>
  <si>
    <t>wind120HH_solar1A</t>
  </si>
  <si>
    <t>battery_cost</t>
  </si>
  <si>
    <t>battery_cost_direction</t>
  </si>
  <si>
    <t>battery_cost_suffix</t>
  </si>
  <si>
    <t>battery_cost_fkey</t>
  </si>
  <si>
    <t>battery15B25LC</t>
  </si>
  <si>
    <t>battery15B50LC</t>
  </si>
  <si>
    <t>battery30B25LC</t>
  </si>
  <si>
    <t>battery30B50LC</t>
  </si>
  <si>
    <t>B25lc</t>
  </si>
  <si>
    <t>B50lc</t>
  </si>
  <si>
    <t>Only fixed costs USD/kW-y. Variable costs accounted for in Econ dispatch.</t>
  </si>
  <si>
    <t>Renewable Energy LCOE</t>
  </si>
  <si>
    <t>Capital Cost (USD/kW)</t>
  </si>
  <si>
    <t>O&amp;M Cost(USD/kW-y)</t>
  </si>
  <si>
    <t>Auction Prices (INR/kWh)</t>
  </si>
  <si>
    <t>Capacity factor (Average 80m Revalue gen profiles)</t>
  </si>
  <si>
    <t>Prayas analysis forthcoming report - Rs 7 crore per MW from CEA data</t>
  </si>
  <si>
    <t>USD/kW (2018)</t>
  </si>
  <si>
    <t>Prayas analysis forthcoming report - Rs 7 crore per MW from CEA data + FGD cost of Rs 40 lakhs per MW from http://www.cercind.gov.in/2018/orders/104.pdf</t>
  </si>
  <si>
    <t xml:space="preserve">Coal High Cost (USD/GJ) </t>
  </si>
  <si>
    <t>backcalculated to get VC INR2.99/kWh (~3) as per Prayas forthcoming report.</t>
  </si>
  <si>
    <t>screening curve and econ dispatch</t>
  </si>
  <si>
    <t>add FGD and other adders from CEA report to FC and use INR 3 per kWh VC, change coal price accordingly</t>
  </si>
  <si>
    <t>wind30LC_solar30LC_coalHC</t>
  </si>
  <si>
    <t>ClcC70m</t>
  </si>
  <si>
    <t>ChcC70m</t>
  </si>
  <si>
    <t>ClcC55m</t>
  </si>
  <si>
    <t>ClcC70mH-25</t>
  </si>
  <si>
    <t>ClcC70mH25</t>
  </si>
  <si>
    <t>ClcC70mN64</t>
  </si>
  <si>
    <t>ClcC70mB15</t>
  </si>
  <si>
    <t>ClcC70mB30</t>
  </si>
  <si>
    <t>ClcC70mW10lc</t>
  </si>
  <si>
    <t>ClcC70mW20lc</t>
  </si>
  <si>
    <t>ClcC70mW30lc</t>
  </si>
  <si>
    <t>ClcC70mS10lc</t>
  </si>
  <si>
    <t>ClcC70mS20lc</t>
  </si>
  <si>
    <t>ClcC70mS30lc</t>
  </si>
  <si>
    <t>ClcC70mW30lcS30lc</t>
  </si>
  <si>
    <t>ClcC70mW120</t>
  </si>
  <si>
    <t>ClcC70mS1A</t>
  </si>
  <si>
    <t>ClcC70mS90d</t>
  </si>
  <si>
    <t>ClcC70mW120S1A</t>
  </si>
  <si>
    <t>ClcC70mB15B25lc</t>
  </si>
  <si>
    <t>ClcC70mB15B50lc</t>
  </si>
  <si>
    <t>ClcC70mB30B25lc</t>
  </si>
  <si>
    <t>ClcC70mB30B50lc</t>
  </si>
  <si>
    <t>ChcC70mW30lcS30lc</t>
  </si>
  <si>
    <t>redo</t>
  </si>
  <si>
    <t>load_modD0M0_energyOnly</t>
  </si>
  <si>
    <t>mod_D0_M0_energyOnly</t>
  </si>
  <si>
    <t>load_modD50M0_energyOnly</t>
  </si>
  <si>
    <t>load_modD25M25_energyOnly</t>
  </si>
  <si>
    <t>mod_D50_M0_energyOnly</t>
  </si>
  <si>
    <t>mod_D25_M25_energyOnly</t>
  </si>
  <si>
    <t>ClcC70mLmod_D0_M0_energyOnly</t>
  </si>
  <si>
    <t>ClcC70mLmod_D50_M0_energyOnly</t>
  </si>
  <si>
    <t>ClcC70mLmod_D25_M25_energyOnly</t>
  </si>
  <si>
    <t>coal_ccgt_0mingen</t>
  </si>
  <si>
    <t>ccgt_min_gen</t>
  </si>
  <si>
    <t>ccgt_min_gen_suffix</t>
  </si>
  <si>
    <t>percentage, 50p is base</t>
  </si>
  <si>
    <t>scenario_wind</t>
  </si>
  <si>
    <t>scenario_solar</t>
  </si>
  <si>
    <t xml:space="preserve">scenario_battery </t>
  </si>
  <si>
    <t>battery60</t>
  </si>
  <si>
    <t>battery60B50LC</t>
  </si>
  <si>
    <t>ClcC70mB60</t>
  </si>
  <si>
    <t>ClcC70mB60B50lc</t>
  </si>
  <si>
    <t>FGD costs from CEA</t>
  </si>
  <si>
    <t>CEA new emissions norms 2019</t>
  </si>
  <si>
    <t>Capacity (MW)</t>
  </si>
  <si>
    <t>INR per MW</t>
  </si>
  <si>
    <t>USD per MW</t>
  </si>
  <si>
    <t>INR/USD</t>
  </si>
  <si>
    <t>battery60B50LC_coalHC</t>
  </si>
  <si>
    <t>battery60_coalHC</t>
  </si>
  <si>
    <t>Solar</t>
  </si>
  <si>
    <t>Capacity_target_2030_solar</t>
  </si>
  <si>
    <t>Annual_Growth_Rate_solar</t>
  </si>
  <si>
    <t>Total_capacity_solar</t>
  </si>
  <si>
    <t>Capacity_target_2030_wind</t>
  </si>
  <si>
    <t>Annual_Growth_Rate_wind</t>
  </si>
  <si>
    <t>Total_capacity_wind</t>
  </si>
  <si>
    <t>capacity_solarPV_GW</t>
  </si>
  <si>
    <t>capacity_wind_GW</t>
  </si>
  <si>
    <t>Wind_old</t>
  </si>
  <si>
    <t>Solar PV_old</t>
  </si>
  <si>
    <t>obsolete 4/21/2019. Use same costs as RE paper</t>
  </si>
  <si>
    <t>coal_55mingen_wind30LC</t>
  </si>
  <si>
    <t>coal_55mingen_solar30LC</t>
  </si>
  <si>
    <t>coal_55mingen_wind30LC_solar30LC</t>
  </si>
  <si>
    <t>battery60B50LC_wind30LC</t>
  </si>
  <si>
    <t>battery60B50LC_solar30LC</t>
  </si>
  <si>
    <t>battery60B50LC_wind30LC_solar30LC</t>
  </si>
  <si>
    <t>battery60B50LC_wind30LC_coalHC</t>
  </si>
  <si>
    <t>battery60B50LC_solar30LC_coalHC</t>
  </si>
  <si>
    <t>battery60B50LC_wind30LC_solar30LC_coalHC</t>
  </si>
  <si>
    <t>Battery 4h</t>
  </si>
  <si>
    <t>Annual_Growth_Rate_battery</t>
  </si>
  <si>
    <t>Capacity_target_2030_battery</t>
  </si>
  <si>
    <t>Total_capacity_battery</t>
  </si>
  <si>
    <t>NREL ATB 2019</t>
  </si>
  <si>
    <t>coal_55mingen_battery60_wind30LC_solar30LC_coalHC</t>
  </si>
  <si>
    <t>coal_55mingen_battery60_wind30LC_solar30LC</t>
  </si>
  <si>
    <t>coal_55mingen_battery60</t>
  </si>
  <si>
    <t>coal_55mingen_battery60_coalHC</t>
  </si>
  <si>
    <t>coal_55mingen_battery60B50LC_wind30LC_solar30LC</t>
  </si>
  <si>
    <t>coal_55mingen_battery60B50LC_wind30LC_solar30LC_coalHC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</si>
</sst>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"/>
    <numFmt numFmtId="165" formatCode="0.0"/>
    <numFmt numFmtId="166" formatCode="0.0000"/>
    <numFmt numFmtId="167" formatCode="0.0%"/>
    <numFmt numFmtId="168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5">
    <xf numFmtId="0" fontId="0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166" fontId="0" fillId="0" borderId="0" xfId="0" applyNumberFormat="1"/>
    <xf numFmtId="0" fontId="4" fillId="0" borderId="0" xfId="0" applyFont="1"/>
    <xf numFmtId="10" fontId="0" fillId="0" borderId="0" xfId="0" applyNumberFormat="1"/>
    <xf numFmtId="164" fontId="5" fillId="0" borderId="0" xfId="0" applyNumberFormat="1" applyFont="1" applyFill="1" applyBorder="1" applyAlignment="1">
      <alignment horizontal="right"/>
    </xf>
    <xf numFmtId="10" fontId="4" fillId="0" borderId="0" xfId="0" applyNumberFormat="1" applyFont="1"/>
    <xf numFmtId="9" fontId="0" fillId="0" borderId="0" xfId="1" applyFont="1"/>
    <xf numFmtId="167" fontId="0" fillId="0" borderId="0" xfId="1" applyNumberFormat="1" applyFont="1"/>
    <xf numFmtId="0" fontId="0" fillId="0" borderId="0" xfId="0" applyAlignment="1">
      <alignment wrapText="1"/>
    </xf>
    <xf numFmtId="1" fontId="4" fillId="0" borderId="0" xfId="0" applyNumberFormat="1" applyFont="1"/>
    <xf numFmtId="1" fontId="0" fillId="0" borderId="0" xfId="0" applyNumberFormat="1" applyFont="1"/>
    <xf numFmtId="168" fontId="5" fillId="0" borderId="0" xfId="2" applyNumberFormat="1" applyFont="1" applyFill="1" applyBorder="1" applyAlignment="1">
      <alignment horizontal="right"/>
    </xf>
    <xf numFmtId="168" fontId="0" fillId="0" borderId="0" xfId="2" applyNumberFormat="1" applyFont="1" applyBorder="1" applyAlignment="1">
      <alignment horizontal="right"/>
    </xf>
    <xf numFmtId="10" fontId="5" fillId="0" borderId="0" xfId="0" applyNumberFormat="1" applyFont="1" applyFill="1" applyBorder="1" applyAlignment="1">
      <alignment horizontal="right"/>
    </xf>
    <xf numFmtId="1" fontId="5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ont="1"/>
    <xf numFmtId="0" fontId="2" fillId="0" borderId="0" xfId="49"/>
    <xf numFmtId="9" fontId="2" fillId="0" borderId="0" xfId="49" applyNumberFormat="1"/>
    <xf numFmtId="1" fontId="2" fillId="0" borderId="0" xfId="49" applyNumberFormat="1"/>
    <xf numFmtId="9" fontId="0" fillId="0" borderId="0" xfId="50" applyNumberFormat="1" applyFont="1"/>
    <xf numFmtId="0" fontId="1" fillId="0" borderId="0" xfId="49" applyFont="1"/>
  </cellXfs>
  <cellStyles count="55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2" builtinId="9" hidden="1"/>
    <cellStyle name="Followed Hyperlink" xfId="5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1" builtinId="8" hidden="1"/>
    <cellStyle name="Hyperlink" xfId="53" builtinId="8" hidden="1"/>
    <cellStyle name="Normal" xfId="0" builtinId="0"/>
    <cellStyle name="Normal 2" xfId="49"/>
    <cellStyle name="Percent" xfId="1" builtinId="5"/>
    <cellStyle name="Percent 2" xfId="5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W47"/>
  <sheetViews>
    <sheetView tabSelected="1" workbookViewId="0">
      <pane xSplit="1" ySplit="8" topLeftCell="AJ9" activePane="bottomRight" state="frozen"/>
      <selection pane="topRight" activeCell="B1" sqref="B1"/>
      <selection pane="bottomLeft" activeCell="A8" sqref="A8"/>
      <selection pane="bottomRight" activeCell="AO54" sqref="AO54"/>
    </sheetView>
  </sheetViews>
  <sheetFormatPr baseColWidth="10" defaultColWidth="8.83203125" defaultRowHeight="15" x14ac:dyDescent="0.2"/>
  <cols>
    <col min="1" max="1" width="39" bestFit="1" customWidth="1"/>
    <col min="2" max="2" width="39" customWidth="1"/>
    <col min="3" max="3" width="13.1640625" bestFit="1" customWidth="1"/>
    <col min="4" max="4" width="14.1640625" bestFit="1" customWidth="1"/>
    <col min="5" max="5" width="13.1640625" bestFit="1" customWidth="1"/>
    <col min="6" max="6" width="17.83203125" bestFit="1" customWidth="1"/>
    <col min="7" max="7" width="13.6640625" bestFit="1" customWidth="1"/>
    <col min="8" max="8" width="14.33203125" bestFit="1" customWidth="1"/>
    <col min="9" max="12" width="13.1640625" bestFit="1" customWidth="1"/>
    <col min="13" max="13" width="25" bestFit="1" customWidth="1"/>
    <col min="14" max="17" width="13.1640625" bestFit="1" customWidth="1"/>
    <col min="18" max="19" width="12.83203125" bestFit="1" customWidth="1"/>
    <col min="20" max="20" width="19" bestFit="1" customWidth="1"/>
    <col min="21" max="21" width="13.5" bestFit="1" customWidth="1"/>
    <col min="22" max="22" width="11.6640625" bestFit="1" customWidth="1"/>
    <col min="23" max="23" width="13.1640625" bestFit="1" customWidth="1"/>
    <col min="24" max="24" width="18.83203125" bestFit="1" customWidth="1"/>
    <col min="25" max="27" width="16.33203125" bestFit="1" customWidth="1"/>
    <col min="28" max="29" width="14.6640625" bestFit="1" customWidth="1"/>
    <col min="30" max="31" width="19.33203125" bestFit="1" customWidth="1"/>
    <col min="32" max="32" width="25.6640625" bestFit="1" customWidth="1"/>
    <col min="33" max="35" width="25" bestFit="1" customWidth="1"/>
    <col min="36" max="36" width="31.6640625" bestFit="1" customWidth="1"/>
    <col min="37" max="37" width="19" bestFit="1" customWidth="1"/>
    <col min="38" max="39" width="20.6640625" bestFit="1" customWidth="1"/>
    <col min="40" max="46" width="28.83203125" bestFit="1" customWidth="1"/>
    <col min="47" max="48" width="27.83203125" bestFit="1" customWidth="1"/>
    <col min="49" max="49" width="34.5" bestFit="1" customWidth="1"/>
  </cols>
  <sheetData>
    <row r="1" spans="1:49" x14ac:dyDescent="0.2">
      <c r="A1" t="s">
        <v>225</v>
      </c>
      <c r="B1" t="s">
        <v>226</v>
      </c>
      <c r="C1" t="s">
        <v>220</v>
      </c>
      <c r="D1" t="s">
        <v>227</v>
      </c>
      <c r="E1" t="s">
        <v>412</v>
      </c>
      <c r="F1" t="s">
        <v>473</v>
      </c>
      <c r="G1" t="s">
        <v>228</v>
      </c>
      <c r="H1" t="s">
        <v>229</v>
      </c>
      <c r="I1" t="s">
        <v>230</v>
      </c>
      <c r="J1" t="s">
        <v>231</v>
      </c>
      <c r="K1" t="s">
        <v>232</v>
      </c>
      <c r="L1" t="s">
        <v>480</v>
      </c>
      <c r="M1" t="s">
        <v>491</v>
      </c>
      <c r="N1" t="s">
        <v>233</v>
      </c>
      <c r="O1" t="s">
        <v>234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241</v>
      </c>
      <c r="W1" t="s">
        <v>242</v>
      </c>
      <c r="X1" t="s">
        <v>414</v>
      </c>
      <c r="Y1" t="s">
        <v>419</v>
      </c>
      <c r="Z1" t="s">
        <v>420</v>
      </c>
      <c r="AA1" t="s">
        <v>421</v>
      </c>
      <c r="AB1" t="s">
        <v>422</v>
      </c>
      <c r="AC1" t="s">
        <v>481</v>
      </c>
      <c r="AD1" t="s">
        <v>507</v>
      </c>
      <c r="AE1" t="s">
        <v>508</v>
      </c>
      <c r="AF1" t="s">
        <v>509</v>
      </c>
      <c r="AG1" t="s">
        <v>490</v>
      </c>
      <c r="AH1" t="s">
        <v>510</v>
      </c>
      <c r="AI1" t="s">
        <v>511</v>
      </c>
      <c r="AJ1" t="s">
        <v>512</v>
      </c>
      <c r="AK1" t="s">
        <v>438</v>
      </c>
      <c r="AL1" t="s">
        <v>504</v>
      </c>
      <c r="AM1" t="s">
        <v>505</v>
      </c>
      <c r="AN1" t="s">
        <v>506</v>
      </c>
      <c r="AO1" t="s">
        <v>520</v>
      </c>
      <c r="AP1" t="s">
        <v>519</v>
      </c>
      <c r="AQ1" t="s">
        <v>522</v>
      </c>
      <c r="AR1" t="s">
        <v>521</v>
      </c>
      <c r="AS1" t="s">
        <v>518</v>
      </c>
      <c r="AT1" t="s">
        <v>523</v>
      </c>
      <c r="AU1" t="s">
        <v>464</v>
      </c>
      <c r="AV1" t="s">
        <v>466</v>
      </c>
      <c r="AW1" t="s">
        <v>467</v>
      </c>
    </row>
    <row r="2" spans="1:49" x14ac:dyDescent="0.2">
      <c r="A2" s="21" t="s">
        <v>243</v>
      </c>
      <c r="B2" s="21" t="s">
        <v>244</v>
      </c>
      <c r="C2" s="21" t="str">
        <f>C3</f>
        <v>ClcC70m</v>
      </c>
      <c r="D2" s="21" t="str">
        <f>D3</f>
        <v>ChcC70m</v>
      </c>
      <c r="E2" s="21" t="str">
        <f t="shared" ref="E2:AT2" si="0">E3</f>
        <v>ClcC55m</v>
      </c>
      <c r="F2" s="21" t="str">
        <f t="shared" si="0"/>
        <v>ClcC0m</v>
      </c>
      <c r="G2" s="21" t="str">
        <f t="shared" si="0"/>
        <v>ClcC70mH-25</v>
      </c>
      <c r="H2" s="21" t="str">
        <f t="shared" si="0"/>
        <v>ClcC70mH25</v>
      </c>
      <c r="I2" s="21" t="str">
        <f t="shared" si="0"/>
        <v>ClcC70mN64</v>
      </c>
      <c r="J2" s="21" t="str">
        <f t="shared" si="0"/>
        <v>ClcC70mB15</v>
      </c>
      <c r="K2" s="21" t="str">
        <f t="shared" si="0"/>
        <v>ClcC70mB30</v>
      </c>
      <c r="L2" s="21" t="str">
        <f t="shared" si="0"/>
        <v>ClcC70mB60</v>
      </c>
      <c r="M2" s="21" t="str">
        <f t="shared" si="0"/>
        <v>ChcC70mB60</v>
      </c>
      <c r="N2" s="21" t="str">
        <f t="shared" si="0"/>
        <v>ClcC70mW10lc</v>
      </c>
      <c r="O2" s="21" t="str">
        <f t="shared" si="0"/>
        <v>ClcC70mW20lc</v>
      </c>
      <c r="P2" s="21" t="str">
        <f t="shared" si="0"/>
        <v>ClcC70mW30lc</v>
      </c>
      <c r="Q2" s="21" t="str">
        <f t="shared" si="0"/>
        <v>ClcC70mS10lc</v>
      </c>
      <c r="R2" s="21" t="str">
        <f t="shared" si="0"/>
        <v>ClcC70mS20lc</v>
      </c>
      <c r="S2" s="21" t="str">
        <f t="shared" si="0"/>
        <v>ClcC70mS30lc</v>
      </c>
      <c r="T2" s="21" t="str">
        <f t="shared" si="0"/>
        <v>ClcC70mW30lcS30lc</v>
      </c>
      <c r="U2" s="21" t="str">
        <f t="shared" si="0"/>
        <v>ClcC70mW120</v>
      </c>
      <c r="V2" s="21" t="str">
        <f t="shared" si="0"/>
        <v>ClcC70mS1A</v>
      </c>
      <c r="W2" s="21" t="str">
        <f t="shared" si="0"/>
        <v>ClcC70mS90d</v>
      </c>
      <c r="X2" s="21" t="str">
        <f t="shared" si="0"/>
        <v>ClcC70mW120S1A</v>
      </c>
      <c r="Y2" s="21" t="str">
        <f t="shared" si="0"/>
        <v>ClcC70mB15B25lc</v>
      </c>
      <c r="Z2" s="21" t="str">
        <f t="shared" si="0"/>
        <v>ClcC70mB15B50lc</v>
      </c>
      <c r="AA2" s="21" t="str">
        <f t="shared" si="0"/>
        <v>ClcC70mB30B25lc</v>
      </c>
      <c r="AB2" s="21" t="str">
        <f t="shared" si="0"/>
        <v>ClcC70mB30B50lc</v>
      </c>
      <c r="AC2" s="21" t="str">
        <f t="shared" si="0"/>
        <v>ClcC70mB60B50lc</v>
      </c>
      <c r="AD2" s="21" t="str">
        <f t="shared" si="0"/>
        <v>ClcC70mB60B50lcW30lc</v>
      </c>
      <c r="AE2" s="21" t="str">
        <f t="shared" si="0"/>
        <v>ClcC70mB60B50lcS30lc</v>
      </c>
      <c r="AF2" s="21" t="str">
        <f t="shared" si="0"/>
        <v>ClcC70mB60B50lcW30lcS30lc</v>
      </c>
      <c r="AG2" s="21" t="str">
        <f t="shared" si="0"/>
        <v>ChcC70mB60B50lc</v>
      </c>
      <c r="AH2" s="21" t="str">
        <f t="shared" si="0"/>
        <v>ChcC70mB60B50lcW30lc</v>
      </c>
      <c r="AI2" s="21" t="str">
        <f t="shared" si="0"/>
        <v>ChcC70mB60B50lcS30lc</v>
      </c>
      <c r="AJ2" s="21" t="str">
        <f t="shared" si="0"/>
        <v>ChcC70mB60B50lcW30lcS30lc</v>
      </c>
      <c r="AK2" s="21" t="str">
        <f t="shared" si="0"/>
        <v>ChcC70mW30lcS30lc</v>
      </c>
      <c r="AL2" s="21" t="str">
        <f t="shared" si="0"/>
        <v>ClcC55mW30lc</v>
      </c>
      <c r="AM2" s="21" t="str">
        <f t="shared" si="0"/>
        <v>ClcC55mS30lc</v>
      </c>
      <c r="AN2" s="21" t="str">
        <f t="shared" si="0"/>
        <v>ClcC55mW30lcS30lc</v>
      </c>
      <c r="AO2" s="21" t="str">
        <f t="shared" si="0"/>
        <v>ClcC55mB60</v>
      </c>
      <c r="AP2" s="21" t="str">
        <f t="shared" si="0"/>
        <v>ClcC55mB60W30lcS30lc</v>
      </c>
      <c r="AQ2" s="21" t="str">
        <f t="shared" si="0"/>
        <v>ClcC55mB60B50lcW30lcS30lc</v>
      </c>
      <c r="AR2" s="21" t="str">
        <f t="shared" si="0"/>
        <v>ChcC55mB60</v>
      </c>
      <c r="AS2" s="21" t="str">
        <f t="shared" si="0"/>
        <v>ChcC55mB60W30lcS30lc</v>
      </c>
      <c r="AT2" s="21" t="str">
        <f t="shared" si="0"/>
        <v>ChcC55mB60B50lcW30lcS30lc</v>
      </c>
      <c r="AU2" s="21" t="str">
        <f>AU3</f>
        <v>ClcC70mLmod_D0_M0_energyOnly</v>
      </c>
      <c r="AV2" s="21" t="str">
        <f>AV3</f>
        <v>ClcC70mLmod_D50_M0_energyOnly</v>
      </c>
      <c r="AW2" s="21" t="str">
        <f>AW3</f>
        <v>ClcC70mLmod_D25_M25_energyOnly</v>
      </c>
    </row>
    <row r="3" spans="1:49" x14ac:dyDescent="0.2">
      <c r="A3" t="s">
        <v>245</v>
      </c>
      <c r="C3" t="str">
        <f>CONCATENATE(C10,C13,C17,C19,C21,C25,C29,C33,C36,C39,C42,C44,C47)</f>
        <v>ClcC70m</v>
      </c>
      <c r="D3" t="str">
        <f t="shared" ref="D3:AB3" si="1">CONCATENATE(D10,D13,D17,D19,D21,D25,D29,D33,D36,D39,D42,D44,D47)</f>
        <v>ChcC70m</v>
      </c>
      <c r="E3" t="str">
        <f t="shared" si="1"/>
        <v>ClcC55m</v>
      </c>
      <c r="F3" t="str">
        <f t="shared" ref="F3" si="2">CONCATENATE(F10,F13,F17,F19,F21,F25,F29,F33,F36,F39,F42,F44,F47)</f>
        <v>ClcC0m</v>
      </c>
      <c r="G3" t="str">
        <f t="shared" si="1"/>
        <v>ClcC70mH-25</v>
      </c>
      <c r="H3" t="str">
        <f t="shared" si="1"/>
        <v>ClcC70mH25</v>
      </c>
      <c r="I3" t="str">
        <f t="shared" si="1"/>
        <v>ClcC70mN64</v>
      </c>
      <c r="J3" t="str">
        <f t="shared" si="1"/>
        <v>ClcC70mB15</v>
      </c>
      <c r="K3" t="str">
        <f t="shared" si="1"/>
        <v>ClcC70mB30</v>
      </c>
      <c r="L3" t="str">
        <f t="shared" ref="L3:M3" si="3">CONCATENATE(L10,L13,L17,L19,L21,L25,L29,L33,L36,L39,L42,L44,L47)</f>
        <v>ClcC70mB60</v>
      </c>
      <c r="M3" t="str">
        <f t="shared" si="3"/>
        <v>ChcC70mB60</v>
      </c>
      <c r="N3" t="str">
        <f t="shared" si="1"/>
        <v>ClcC70mW10lc</v>
      </c>
      <c r="O3" t="str">
        <f t="shared" si="1"/>
        <v>ClcC70mW20lc</v>
      </c>
      <c r="P3" t="str">
        <f t="shared" si="1"/>
        <v>ClcC70mW30lc</v>
      </c>
      <c r="Q3" t="str">
        <f t="shared" si="1"/>
        <v>ClcC70mS10lc</v>
      </c>
      <c r="R3" t="str">
        <f t="shared" si="1"/>
        <v>ClcC70mS20lc</v>
      </c>
      <c r="S3" t="str">
        <f t="shared" si="1"/>
        <v>ClcC70mS30lc</v>
      </c>
      <c r="T3" t="str">
        <f t="shared" si="1"/>
        <v>ClcC70mW30lcS30lc</v>
      </c>
      <c r="U3" t="str">
        <f t="shared" si="1"/>
        <v>ClcC70mW120</v>
      </c>
      <c r="V3" t="str">
        <f t="shared" si="1"/>
        <v>ClcC70mS1A</v>
      </c>
      <c r="W3" t="str">
        <f t="shared" si="1"/>
        <v>ClcC70mS90d</v>
      </c>
      <c r="X3" t="str">
        <f t="shared" si="1"/>
        <v>ClcC70mW120S1A</v>
      </c>
      <c r="Y3" t="str">
        <f t="shared" si="1"/>
        <v>ClcC70mB15B25lc</v>
      </c>
      <c r="Z3" t="str">
        <f t="shared" si="1"/>
        <v>ClcC70mB15B50lc</v>
      </c>
      <c r="AA3" t="str">
        <f t="shared" si="1"/>
        <v>ClcC70mB30B25lc</v>
      </c>
      <c r="AB3" t="str">
        <f t="shared" si="1"/>
        <v>ClcC70mB30B50lc</v>
      </c>
      <c r="AC3" t="str">
        <f t="shared" ref="AC3:AG3" si="4">CONCATENATE(AC10,AC13,AC17,AC19,AC21,AC25,AC29,AC33,AC36,AC39,AC42,AC44,AC47)</f>
        <v>ClcC70mB60B50lc</v>
      </c>
      <c r="AD3" t="str">
        <f t="shared" ref="AD3:AF3" si="5">CONCATENATE(AD10,AD13,AD17,AD19,AD21,AD25,AD29,AD33,AD36,AD39,AD42,AD44,AD47)</f>
        <v>ClcC70mB60B50lcW30lc</v>
      </c>
      <c r="AE3" t="str">
        <f t="shared" ref="AE3" si="6">CONCATENATE(AE10,AE13,AE17,AE19,AE21,AE25,AE29,AE33,AE36,AE39,AE42,AE44,AE47)</f>
        <v>ClcC70mB60B50lcS30lc</v>
      </c>
      <c r="AF3" t="str">
        <f t="shared" si="5"/>
        <v>ClcC70mB60B50lcW30lcS30lc</v>
      </c>
      <c r="AG3" t="str">
        <f t="shared" si="4"/>
        <v>ChcC70mB60B50lc</v>
      </c>
      <c r="AH3" t="str">
        <f t="shared" ref="AH3:AK3" si="7">CONCATENATE(AH10,AH13,AH17,AH19,AH21,AH25,AH29,AH33,AH36,AH39,AH42,AH44,AH47)</f>
        <v>ChcC70mB60B50lcW30lc</v>
      </c>
      <c r="AI3" t="str">
        <f t="shared" ref="AI3" si="8">CONCATENATE(AI10,AI13,AI17,AI19,AI21,AI25,AI29,AI33,AI36,AI39,AI42,AI44,AI47)</f>
        <v>ChcC70mB60B50lcS30lc</v>
      </c>
      <c r="AJ3" t="str">
        <f t="shared" si="7"/>
        <v>ChcC70mB60B50lcW30lcS30lc</v>
      </c>
      <c r="AK3" t="str">
        <f t="shared" si="7"/>
        <v>ChcC70mW30lcS30lc</v>
      </c>
      <c r="AL3" t="str">
        <f t="shared" ref="AL3" si="9">CONCATENATE(AL10,AL13,AL17,AL19,AL21,AL25,AL29,AL33,AL36,AL39,AL42,AL44,AL47)</f>
        <v>ClcC55mW30lc</v>
      </c>
      <c r="AM3" t="str">
        <f t="shared" ref="AM3:AN3" si="10">CONCATENATE(AM10,AM13,AM17,AM19,AM21,AM25,AM29,AM33,AM36,AM39,AM42,AM44,AM47)</f>
        <v>ClcC55mS30lc</v>
      </c>
      <c r="AN3" t="str">
        <f t="shared" si="10"/>
        <v>ClcC55mW30lcS30lc</v>
      </c>
      <c r="AO3" t="str">
        <f t="shared" ref="AO3:AR3" si="11">CONCATENATE(AO10,AO13,AO17,AO19,AO21,AO25,AO29,AO33,AO36,AO39,AO42,AO44,AO47)</f>
        <v>ClcC55mB60</v>
      </c>
      <c r="AP3" t="str">
        <f t="shared" ref="AP3:AQ3" si="12">CONCATENATE(AP10,AP13,AP17,AP19,AP21,AP25,AP29,AP33,AP36,AP39,AP42,AP44,AP47)</f>
        <v>ClcC55mB60W30lcS30lc</v>
      </c>
      <c r="AQ3" t="str">
        <f t="shared" si="12"/>
        <v>ClcC55mB60B50lcW30lcS30lc</v>
      </c>
      <c r="AR3" t="str">
        <f t="shared" si="11"/>
        <v>ChcC55mB60</v>
      </c>
      <c r="AS3" t="str">
        <f t="shared" ref="AS3:AT3" si="13">CONCATENATE(AS10,AS13,AS17,AS19,AS21,AS25,AS29,AS33,AS36,AS39,AS42,AS44,AS47)</f>
        <v>ChcC55mB60W30lcS30lc</v>
      </c>
      <c r="AT3" t="str">
        <f t="shared" si="13"/>
        <v>ChcC55mB60B50lcW30lcS30lc</v>
      </c>
      <c r="AU3" t="str">
        <f>CONCATENATE(AU10,AU13,AU17,AU19,AU21,AU25,AU29,AU33,AU36,AU39,AU42,AU44,AU47)</f>
        <v>ClcC70mLmod_D0_M0_energyOnly</v>
      </c>
      <c r="AV3" t="str">
        <f>CONCATENATE(AV10,AV13,AV17,AV19,AV21,AV25,AV29,AV33,AV36,AV39,AV42,AV44,AV47)</f>
        <v>ClcC70mLmod_D50_M0_energyOnly</v>
      </c>
      <c r="AW3" t="str">
        <f>CONCATENATE(AW10,AW13,AW17,AW19,AW21,AW25,AW29,AW33,AW36,AW39,AW42,AW44,AW47)</f>
        <v>ClcC70mLmod_D25_M25_energyOnly</v>
      </c>
    </row>
    <row r="4" spans="1:49" x14ac:dyDescent="0.2">
      <c r="A4" t="s">
        <v>413</v>
      </c>
      <c r="C4" t="str">
        <f t="shared" ref="C4:E4" si="14">CONCATENATE(C10,C13,C15,C17,C19,C21,C36,C39,C42,C44,C47)</f>
        <v>ClcC70m</v>
      </c>
      <c r="D4" t="str">
        <f t="shared" si="14"/>
        <v>ChcC70m</v>
      </c>
      <c r="E4" t="str">
        <f t="shared" si="14"/>
        <v>ClcC55m</v>
      </c>
      <c r="F4" t="str">
        <f>CONCATENATE(F10,F13,F17,F19,F21,F36,F39,F42,F44,F47)</f>
        <v>ClcC0m</v>
      </c>
      <c r="G4" t="str">
        <f t="shared" ref="G4:AW4" si="15">CONCATENATE(G10,G13,G15,G17,G19,G21,G36,G39,G42,G44,G47)</f>
        <v>ClcC70mH-25</v>
      </c>
      <c r="H4" t="str">
        <f t="shared" si="15"/>
        <v>ClcC70mH25</v>
      </c>
      <c r="I4" t="str">
        <f t="shared" si="15"/>
        <v>ClcC70mN64</v>
      </c>
      <c r="J4" t="str">
        <f t="shared" si="15"/>
        <v>ClcC70mB15</v>
      </c>
      <c r="K4" t="str">
        <f t="shared" si="15"/>
        <v>ClcC70mB30</v>
      </c>
      <c r="L4" t="str">
        <f t="shared" ref="L4:M4" si="16">CONCATENATE(L10,L13,L15,L17,L19,L21,L36,L39,L42,L44,L47)</f>
        <v>ClcC70mB60</v>
      </c>
      <c r="M4" t="str">
        <f t="shared" si="16"/>
        <v>ChcC70mB60</v>
      </c>
      <c r="N4" t="str">
        <f t="shared" si="15"/>
        <v>ClcC70m</v>
      </c>
      <c r="O4" t="str">
        <f t="shared" si="15"/>
        <v>ClcC70m</v>
      </c>
      <c r="P4" t="str">
        <f t="shared" si="15"/>
        <v>ClcC70m</v>
      </c>
      <c r="Q4" t="str">
        <f t="shared" si="15"/>
        <v>ClcC70m</v>
      </c>
      <c r="R4" t="str">
        <f t="shared" si="15"/>
        <v>ClcC70m</v>
      </c>
      <c r="S4" t="str">
        <f t="shared" si="15"/>
        <v>ClcC70m</v>
      </c>
      <c r="T4" t="str">
        <f t="shared" si="15"/>
        <v>ClcC70m</v>
      </c>
      <c r="U4" t="str">
        <f t="shared" si="15"/>
        <v>ClcC70mW120</v>
      </c>
      <c r="V4" t="str">
        <f t="shared" si="15"/>
        <v>ClcC70mS1A</v>
      </c>
      <c r="W4" t="str">
        <f t="shared" si="15"/>
        <v>ClcC70mS90d</v>
      </c>
      <c r="X4" t="str">
        <f t="shared" si="15"/>
        <v>ClcC70mW120S1A</v>
      </c>
      <c r="Y4" t="str">
        <f t="shared" si="15"/>
        <v>ClcC70mB15</v>
      </c>
      <c r="Z4" t="str">
        <f t="shared" si="15"/>
        <v>ClcC70mB15</v>
      </c>
      <c r="AA4" t="str">
        <f t="shared" si="15"/>
        <v>ClcC70mB30</v>
      </c>
      <c r="AB4" t="str">
        <f t="shared" si="15"/>
        <v>ClcC70mB30</v>
      </c>
      <c r="AC4" t="str">
        <f t="shared" ref="AC4:AG4" si="17">CONCATENATE(AC10,AC13,AC15,AC17,AC19,AC21,AC36,AC39,AC42,AC44,AC47)</f>
        <v>ClcC70mB60</v>
      </c>
      <c r="AD4" t="str">
        <f t="shared" ref="AD4:AF4" si="18">CONCATENATE(AD10,AD13,AD15,AD17,AD19,AD21,AD36,AD39,AD42,AD44,AD47)</f>
        <v>ClcC70mB60</v>
      </c>
      <c r="AE4" t="str">
        <f t="shared" ref="AE4" si="19">CONCATENATE(AE10,AE13,AE15,AE17,AE19,AE21,AE36,AE39,AE42,AE44,AE47)</f>
        <v>ClcC70mB60</v>
      </c>
      <c r="AF4" t="str">
        <f t="shared" si="18"/>
        <v>ClcC70mB60</v>
      </c>
      <c r="AG4" t="str">
        <f t="shared" si="17"/>
        <v>ChcC70mB60</v>
      </c>
      <c r="AH4" t="str">
        <f t="shared" ref="AH4:AK4" si="20">CONCATENATE(AH10,AH13,AH15,AH17,AH19,AH21,AH36,AH39,AH42,AH44,AH47)</f>
        <v>ChcC70mB60</v>
      </c>
      <c r="AI4" t="str">
        <f t="shared" ref="AI4" si="21">CONCATENATE(AI10,AI13,AI15,AI17,AI19,AI21,AI36,AI39,AI42,AI44,AI47)</f>
        <v>ChcC70mB60</v>
      </c>
      <c r="AJ4" t="str">
        <f t="shared" si="20"/>
        <v>ChcC70mB60</v>
      </c>
      <c r="AK4" t="str">
        <f t="shared" si="20"/>
        <v>ChcC70m</v>
      </c>
      <c r="AL4" t="str">
        <f t="shared" si="15"/>
        <v>ClcC55m</v>
      </c>
      <c r="AM4" t="str">
        <f t="shared" ref="AM4:AN4" si="22">CONCATENATE(AM10,AM13,AM15,AM17,AM19,AM21,AM36,AM39,AM42,AM44,AM47)</f>
        <v>ClcC55m</v>
      </c>
      <c r="AN4" t="str">
        <f t="shared" si="22"/>
        <v>ClcC55m</v>
      </c>
      <c r="AO4" t="str">
        <f t="shared" ref="AO4:AR4" si="23">CONCATENATE(AO10,AO13,AO15,AO17,AO19,AO21,AO36,AO39,AO42,AO44,AO47)</f>
        <v>ClcC55mB60</v>
      </c>
      <c r="AP4" t="str">
        <f t="shared" ref="AP4:AQ4" si="24">CONCATENATE(AP10,AP13,AP15,AP17,AP19,AP21,AP36,AP39,AP42,AP44,AP47)</f>
        <v>ClcC55mB60</v>
      </c>
      <c r="AQ4" t="str">
        <f t="shared" si="24"/>
        <v>ClcC55mB60</v>
      </c>
      <c r="AR4" t="str">
        <f t="shared" si="23"/>
        <v>ChcC55mB60</v>
      </c>
      <c r="AS4" t="str">
        <f t="shared" ref="AS4:AT4" si="25">CONCATENATE(AS10,AS13,AS15,AS17,AS19,AS21,AS36,AS39,AS42,AS44,AS47)</f>
        <v>ChcC55mB60</v>
      </c>
      <c r="AT4" t="str">
        <f t="shared" si="25"/>
        <v>ChcC55mB60</v>
      </c>
      <c r="AU4" t="str">
        <f t="shared" si="15"/>
        <v>ClcC70mLmod_D0_M0_energyOnly</v>
      </c>
      <c r="AV4" t="str">
        <f t="shared" si="15"/>
        <v>ClcC70mLmod_D50_M0_energyOnly</v>
      </c>
      <c r="AW4" t="str">
        <f t="shared" si="15"/>
        <v>ClcC70mLmod_D25_M25_energyOnly</v>
      </c>
    </row>
    <row r="5" spans="1:49" x14ac:dyDescent="0.2">
      <c r="A5" t="s">
        <v>246</v>
      </c>
      <c r="C5" t="str">
        <f t="shared" ref="C5:W5" si="26">CONCATENATE(C11,C17,C19,C21,C36,C39,C42,C44,C47)</f>
        <v>coallc</v>
      </c>
      <c r="D5" t="str">
        <f t="shared" si="26"/>
        <v>coalhc</v>
      </c>
      <c r="E5" t="str">
        <f t="shared" si="26"/>
        <v>coallc</v>
      </c>
      <c r="F5" t="str">
        <f t="shared" ref="F5" si="27">CONCATENATE(F11,F17,F19,F21,F36,F39,F42,F44,F47)</f>
        <v>coallc</v>
      </c>
      <c r="G5" t="str">
        <f t="shared" si="26"/>
        <v>coallcH-25</v>
      </c>
      <c r="H5" t="str">
        <f t="shared" si="26"/>
        <v>coallcH25</v>
      </c>
      <c r="I5" t="str">
        <f t="shared" si="26"/>
        <v>coallcN64</v>
      </c>
      <c r="J5" t="str">
        <f t="shared" si="26"/>
        <v>coallcB15</v>
      </c>
      <c r="K5" t="str">
        <f t="shared" si="26"/>
        <v>coallcB30</v>
      </c>
      <c r="L5" t="str">
        <f t="shared" ref="L5:M5" si="28">CONCATENATE(L11,L17,L19,L21,L36,L39,L42,L44,L47)</f>
        <v>coallcB60</v>
      </c>
      <c r="M5" t="str">
        <f t="shared" si="28"/>
        <v>coalhcB60</v>
      </c>
      <c r="N5" t="str">
        <f t="shared" si="26"/>
        <v>coallc</v>
      </c>
      <c r="O5" t="str">
        <f t="shared" si="26"/>
        <v>coallc</v>
      </c>
      <c r="P5" t="str">
        <f t="shared" si="26"/>
        <v>coallc</v>
      </c>
      <c r="Q5" t="str">
        <f t="shared" si="26"/>
        <v>coallc</v>
      </c>
      <c r="R5" t="str">
        <f t="shared" si="26"/>
        <v>coallc</v>
      </c>
      <c r="S5" t="str">
        <f t="shared" si="26"/>
        <v>coallc</v>
      </c>
      <c r="T5" t="str">
        <f t="shared" si="26"/>
        <v>coallc</v>
      </c>
      <c r="U5" t="str">
        <f t="shared" si="26"/>
        <v>coallcW120</v>
      </c>
      <c r="V5" t="str">
        <f t="shared" si="26"/>
        <v>coallcS1A</v>
      </c>
      <c r="W5" t="str">
        <f t="shared" si="26"/>
        <v>coallcS90d</v>
      </c>
      <c r="X5" t="str">
        <f t="shared" ref="X5:AC5" si="29">CONCATENATE(X11,X17,X19,X21,X36,X39,X42,X44,X47)</f>
        <v>coallcW120S1A</v>
      </c>
      <c r="Y5" t="str">
        <f t="shared" si="29"/>
        <v>coallcB15</v>
      </c>
      <c r="Z5" t="str">
        <f t="shared" si="29"/>
        <v>coallcB15</v>
      </c>
      <c r="AA5" t="str">
        <f t="shared" si="29"/>
        <v>coallcB30</v>
      </c>
      <c r="AB5" t="str">
        <f t="shared" si="29"/>
        <v>coallcB30</v>
      </c>
      <c r="AC5" t="str">
        <f t="shared" si="29"/>
        <v>coallcB60</v>
      </c>
      <c r="AD5" t="str">
        <f t="shared" ref="AD5:AF5" si="30">CONCATENATE(AD11,AD17,AD19,AD21,AD36,AD39,AD42,AD44,AD47)</f>
        <v>coallcB60</v>
      </c>
      <c r="AE5" t="str">
        <f t="shared" ref="AE5" si="31">CONCATENATE(AE11,AE17,AE19,AE21,AE36,AE39,AE42,AE44,AE47)</f>
        <v>coallcB60</v>
      </c>
      <c r="AF5" t="str">
        <f t="shared" si="30"/>
        <v>coallcB60</v>
      </c>
      <c r="AG5" t="str">
        <f t="shared" ref="AG5:AH5" si="32">CONCATENATE(AG11,AG17,AG19,AG21,AG36,AG39,AG42,AG44,AG47)</f>
        <v>coalhcB60</v>
      </c>
      <c r="AH5" t="str">
        <f t="shared" si="32"/>
        <v>coalhcB60</v>
      </c>
      <c r="AI5" t="str">
        <f t="shared" ref="AI5" si="33">CONCATENATE(AI11,AI17,AI19,AI21,AI36,AI39,AI42,AI44,AI47)</f>
        <v>coalhcB60</v>
      </c>
      <c r="AJ5" t="str">
        <f t="shared" ref="AJ5:AK5" si="34">CONCATENATE(AJ11,AJ17,AJ19,AJ21,AJ36,AJ39,AJ42,AJ44,AJ47)</f>
        <v>coalhcB60</v>
      </c>
      <c r="AK5" t="str">
        <f t="shared" si="34"/>
        <v>coalhc</v>
      </c>
      <c r="AL5" t="str">
        <f t="shared" ref="AL5" si="35">CONCATENATE(AL11,AL17,AL19,AL21,AL36,AL39,AL42,AL44,AL47)</f>
        <v>coallc</v>
      </c>
      <c r="AM5" t="str">
        <f t="shared" ref="AM5:AN5" si="36">CONCATENATE(AM11,AM17,AM19,AM21,AM36,AM39,AM42,AM44,AM47)</f>
        <v>coallc</v>
      </c>
      <c r="AN5" t="str">
        <f t="shared" si="36"/>
        <v>coallc</v>
      </c>
      <c r="AO5" t="str">
        <f t="shared" ref="AO5:AR5" si="37">CONCATENATE(AO11,AO17,AO19,AO21,AO36,AO39,AO42,AO44,AO47)</f>
        <v>coallcB60</v>
      </c>
      <c r="AP5" t="str">
        <f t="shared" ref="AP5:AQ5" si="38">CONCATENATE(AP11,AP17,AP19,AP21,AP36,AP39,AP42,AP44,AP47)</f>
        <v>coallcB60</v>
      </c>
      <c r="AQ5" t="str">
        <f t="shared" si="38"/>
        <v>coallcB60</v>
      </c>
      <c r="AR5" t="str">
        <f t="shared" si="37"/>
        <v>coalhcB60</v>
      </c>
      <c r="AS5" t="str">
        <f t="shared" ref="AS5:AT5" si="39">CONCATENATE(AS11,AS17,AS19,AS21,AS36,AS39,AS42,AS44,AS47)</f>
        <v>coalhcB60</v>
      </c>
      <c r="AT5" t="str">
        <f t="shared" si="39"/>
        <v>coalhcB60</v>
      </c>
      <c r="AU5" t="str">
        <f>CONCATENATE(AU11,AU17,AU19,AU21,AU36,AU39,AU42,AU44,AU47)</f>
        <v>coallcLmod_D0_M0_energyOnly</v>
      </c>
      <c r="AV5" t="str">
        <f>CONCATENATE(AV11,AV17,AV19,AV21,AV36,AV39,AV42,AV44,AV47)</f>
        <v>coallcLmod_D50_M0_energyOnly</v>
      </c>
      <c r="AW5" t="str">
        <f>CONCATENATE(AW11,AW17,AW19,AW21,AW36,AW39,AW42,AW44,AW47)</f>
        <v>coallcLmod_D25_M25_energyOnly</v>
      </c>
    </row>
    <row r="6" spans="1:49" x14ac:dyDescent="0.2">
      <c r="A6" t="s">
        <v>247</v>
      </c>
      <c r="C6" t="str">
        <f t="shared" ref="C6:W6" si="40">CONCATENATE(C11,C17,C19,C21,C36,C39,C42,C44,C47)</f>
        <v>coallc</v>
      </c>
      <c r="D6" t="str">
        <f>C6</f>
        <v>coallc</v>
      </c>
      <c r="E6" t="str">
        <f t="shared" si="40"/>
        <v>coallc</v>
      </c>
      <c r="F6" t="str">
        <f t="shared" ref="F6" si="41">CONCATENATE(F11,F17,F19,F21,F36,F39,F42,F44,F47)</f>
        <v>coallc</v>
      </c>
      <c r="G6" t="str">
        <f t="shared" si="40"/>
        <v>coallcH-25</v>
      </c>
      <c r="H6" t="str">
        <f t="shared" si="40"/>
        <v>coallcH25</v>
      </c>
      <c r="I6" t="str">
        <f t="shared" si="40"/>
        <v>coallcN64</v>
      </c>
      <c r="J6" t="str">
        <f t="shared" si="40"/>
        <v>coallcB15</v>
      </c>
      <c r="K6" t="str">
        <f t="shared" si="40"/>
        <v>coallcB30</v>
      </c>
      <c r="L6" t="str">
        <f t="shared" ref="L6:M6" si="42">CONCATENATE(L11,L17,L19,L21,L36,L39,L42,L44,L47)</f>
        <v>coallcB60</v>
      </c>
      <c r="M6" t="str">
        <f t="shared" si="42"/>
        <v>coalhcB60</v>
      </c>
      <c r="N6" t="str">
        <f t="shared" si="40"/>
        <v>coallc</v>
      </c>
      <c r="O6" t="str">
        <f t="shared" si="40"/>
        <v>coallc</v>
      </c>
      <c r="P6" t="str">
        <f t="shared" si="40"/>
        <v>coallc</v>
      </c>
      <c r="Q6" t="str">
        <f t="shared" si="40"/>
        <v>coallc</v>
      </c>
      <c r="R6" t="str">
        <f t="shared" si="40"/>
        <v>coallc</v>
      </c>
      <c r="S6" t="str">
        <f t="shared" si="40"/>
        <v>coallc</v>
      </c>
      <c r="T6" t="str">
        <f t="shared" si="40"/>
        <v>coallc</v>
      </c>
      <c r="U6" t="str">
        <f t="shared" si="40"/>
        <v>coallcW120</v>
      </c>
      <c r="V6" t="str">
        <f t="shared" si="40"/>
        <v>coallcS1A</v>
      </c>
      <c r="W6" t="str">
        <f t="shared" si="40"/>
        <v>coallcS90d</v>
      </c>
      <c r="X6" t="str">
        <f t="shared" ref="X6:AC6" si="43">CONCATENATE(X11,X17,X19,X21,X36,X39,X42,X44,X47)</f>
        <v>coallcW120S1A</v>
      </c>
      <c r="Y6" t="str">
        <f t="shared" si="43"/>
        <v>coallcB15</v>
      </c>
      <c r="Z6" t="str">
        <f t="shared" si="43"/>
        <v>coallcB15</v>
      </c>
      <c r="AA6" t="str">
        <f t="shared" si="43"/>
        <v>coallcB30</v>
      </c>
      <c r="AB6" t="str">
        <f t="shared" si="43"/>
        <v>coallcB30</v>
      </c>
      <c r="AC6" t="str">
        <f t="shared" si="43"/>
        <v>coallcB60</v>
      </c>
      <c r="AD6" t="str">
        <f t="shared" ref="AD6:AF6" si="44">CONCATENATE(AD11,AD17,AD19,AD21,AD36,AD39,AD42,AD44,AD47)</f>
        <v>coallcB60</v>
      </c>
      <c r="AE6" t="str">
        <f t="shared" ref="AE6" si="45">CONCATENATE(AE11,AE17,AE19,AE21,AE36,AE39,AE42,AE44,AE47)</f>
        <v>coallcB60</v>
      </c>
      <c r="AF6" t="str">
        <f t="shared" si="44"/>
        <v>coallcB60</v>
      </c>
      <c r="AG6" t="str">
        <f t="shared" ref="AG6:AH6" si="46">CONCATENATE(AG11,AG17,AG19,AG21,AG36,AG39,AG42,AG44,AG47)</f>
        <v>coalhcB60</v>
      </c>
      <c r="AH6" t="str">
        <f t="shared" si="46"/>
        <v>coalhcB60</v>
      </c>
      <c r="AI6" t="str">
        <f t="shared" ref="AI6" si="47">CONCATENATE(AI11,AI17,AI19,AI21,AI36,AI39,AI42,AI44,AI47)</f>
        <v>coalhcB60</v>
      </c>
      <c r="AJ6" t="str">
        <f t="shared" ref="AJ6:AK6" si="48">CONCATENATE(AJ11,AJ17,AJ19,AJ21,AJ36,AJ39,AJ42,AJ44,AJ47)</f>
        <v>coalhcB60</v>
      </c>
      <c r="AK6" t="str">
        <f t="shared" si="48"/>
        <v>coalhc</v>
      </c>
      <c r="AL6" t="str">
        <f t="shared" ref="AL6:AM6" si="49">CONCATENATE(AL11,AL17,AL19,AL21,AL36,AL39,AL42,AL44,AL47)</f>
        <v>coallc</v>
      </c>
      <c r="AM6" t="str">
        <f t="shared" si="49"/>
        <v>coallc</v>
      </c>
      <c r="AN6" t="str">
        <f t="shared" ref="AN6:AO6" si="50">CONCATENATE(AN11,AN17,AN19,AN21,AN36,AN39,AN42,AN44,AN47)</f>
        <v>coallc</v>
      </c>
      <c r="AO6" t="str">
        <f t="shared" si="50"/>
        <v>coallcB60</v>
      </c>
      <c r="AP6" t="str">
        <f t="shared" ref="AP6:AQ6" si="51">CONCATENATE(AP11,AP17,AP19,AP21,AP36,AP39,AP42,AP44,AP47)</f>
        <v>coallcB60</v>
      </c>
      <c r="AQ6" t="str">
        <f t="shared" si="51"/>
        <v>coallcB60</v>
      </c>
      <c r="AR6" t="str">
        <f t="shared" ref="AR6:AT6" si="52">CONCATENATE(AR11,AR17,AR19,AR21,AR36,AR39,AR42,AR44,AR47)</f>
        <v>coalhcB60</v>
      </c>
      <c r="AS6" t="str">
        <f t="shared" si="52"/>
        <v>coalhcB60</v>
      </c>
      <c r="AT6" t="str">
        <f t="shared" si="52"/>
        <v>coalhcB60</v>
      </c>
      <c r="AU6" t="str">
        <f>CONCATENATE(AU11,AU17,AU19,AU21,AU36,AU39,AU42,AU44,AU47)</f>
        <v>coallcLmod_D0_M0_energyOnly</v>
      </c>
      <c r="AV6" t="str">
        <f>CONCATENATE(AV11,AV17,AV19,AV21,AV36,AV39,AV42,AV44,AV47)</f>
        <v>coallcLmod_D50_M0_energyOnly</v>
      </c>
      <c r="AW6" t="str">
        <f>CONCATENATE(AW11,AW17,AW19,AW21,AW36,AW39,AW42,AW44,AW47)</f>
        <v>coallcLmod_D25_M25_energyOnly</v>
      </c>
    </row>
    <row r="7" spans="1:49" x14ac:dyDescent="0.2">
      <c r="A7" t="s">
        <v>248</v>
      </c>
      <c r="C7" t="str">
        <f t="shared" ref="C7:W7" si="53">CONCATENATE(C37,"_",C40)</f>
        <v>W80_S0d</v>
      </c>
      <c r="D7" t="str">
        <f t="shared" si="53"/>
        <v>W80_S0d</v>
      </c>
      <c r="E7" t="str">
        <f t="shared" si="53"/>
        <v>W80_S0d</v>
      </c>
      <c r="F7" t="str">
        <f t="shared" ref="F7" si="54">CONCATENATE(F37,"_",F40)</f>
        <v>W80_S0d</v>
      </c>
      <c r="G7" t="str">
        <f t="shared" si="53"/>
        <v>W80_S0d</v>
      </c>
      <c r="H7" t="str">
        <f t="shared" si="53"/>
        <v>W80_S0d</v>
      </c>
      <c r="I7" t="str">
        <f t="shared" si="53"/>
        <v>W80_S0d</v>
      </c>
      <c r="J7" t="str">
        <f t="shared" si="53"/>
        <v>W80_S0d</v>
      </c>
      <c r="K7" t="str">
        <f t="shared" si="53"/>
        <v>W80_S0d</v>
      </c>
      <c r="L7" t="str">
        <f t="shared" ref="L7:M7" si="55">CONCATENATE(L37,"_",L40)</f>
        <v>W80_S0d</v>
      </c>
      <c r="M7" t="str">
        <f t="shared" si="55"/>
        <v>W80_S0d</v>
      </c>
      <c r="N7" t="str">
        <f t="shared" si="53"/>
        <v>W80_S0d</v>
      </c>
      <c r="O7" t="str">
        <f t="shared" si="53"/>
        <v>W80_S0d</v>
      </c>
      <c r="P7" t="str">
        <f t="shared" si="53"/>
        <v>W80_S0d</v>
      </c>
      <c r="Q7" t="str">
        <f t="shared" si="53"/>
        <v>W80_S0d</v>
      </c>
      <c r="R7" t="str">
        <f t="shared" si="53"/>
        <v>W80_S0d</v>
      </c>
      <c r="S7" t="str">
        <f t="shared" si="53"/>
        <v>W80_S0d</v>
      </c>
      <c r="T7" t="str">
        <f t="shared" si="53"/>
        <v>W80_S0d</v>
      </c>
      <c r="U7" t="str">
        <f t="shared" si="53"/>
        <v>W120_S0d</v>
      </c>
      <c r="V7" t="str">
        <f t="shared" si="53"/>
        <v>W80_S1A</v>
      </c>
      <c r="W7" t="str">
        <f t="shared" si="53"/>
        <v>W80_S90d</v>
      </c>
      <c r="X7" t="str">
        <f t="shared" ref="X7:AC7" si="56">CONCATENATE(X37,"_",X40)</f>
        <v>W120_S1A</v>
      </c>
      <c r="Y7" t="str">
        <f t="shared" si="56"/>
        <v>W80_S0d</v>
      </c>
      <c r="Z7" t="str">
        <f t="shared" si="56"/>
        <v>W80_S0d</v>
      </c>
      <c r="AA7" t="str">
        <f t="shared" si="56"/>
        <v>W80_S0d</v>
      </c>
      <c r="AB7" t="str">
        <f t="shared" si="56"/>
        <v>W80_S0d</v>
      </c>
      <c r="AC7" t="str">
        <f t="shared" si="56"/>
        <v>W80_S0d</v>
      </c>
      <c r="AD7" t="str">
        <f t="shared" ref="AD7:AF7" si="57">CONCATENATE(AD37,"_",AD40)</f>
        <v>W80_S0d</v>
      </c>
      <c r="AE7" t="str">
        <f t="shared" ref="AE7" si="58">CONCATENATE(AE37,"_",AE40)</f>
        <v>W80_S0d</v>
      </c>
      <c r="AF7" t="str">
        <f t="shared" si="57"/>
        <v>W80_S0d</v>
      </c>
      <c r="AG7" t="str">
        <f t="shared" ref="AG7:AH7" si="59">CONCATENATE(AG37,"_",AG40)</f>
        <v>W80_S0d</v>
      </c>
      <c r="AH7" t="str">
        <f t="shared" si="59"/>
        <v>W80_S0d</v>
      </c>
      <c r="AI7" t="str">
        <f t="shared" ref="AI7" si="60">CONCATENATE(AI37,"_",AI40)</f>
        <v>W80_S0d</v>
      </c>
      <c r="AJ7" t="str">
        <f t="shared" ref="AJ7:AK7" si="61">CONCATENATE(AJ37,"_",AJ40)</f>
        <v>W80_S0d</v>
      </c>
      <c r="AK7" t="str">
        <f t="shared" si="61"/>
        <v>W80_S0d</v>
      </c>
      <c r="AL7" t="str">
        <f t="shared" ref="AL7" si="62">CONCATENATE(AL37,"_",AL40)</f>
        <v>W80_S0d</v>
      </c>
      <c r="AM7" t="str">
        <f t="shared" ref="AM7:AN7" si="63">CONCATENATE(AM37,"_",AM40)</f>
        <v>W80_S0d</v>
      </c>
      <c r="AN7" t="str">
        <f t="shared" si="63"/>
        <v>W80_S0d</v>
      </c>
      <c r="AO7" t="str">
        <f t="shared" ref="AO7:AR7" si="64">CONCATENATE(AO37,"_",AO40)</f>
        <v>W80_S0d</v>
      </c>
      <c r="AP7" t="str">
        <f t="shared" ref="AP7:AQ7" si="65">CONCATENATE(AP37,"_",AP40)</f>
        <v>W80_S0d</v>
      </c>
      <c r="AQ7" t="str">
        <f t="shared" si="65"/>
        <v>W80_S0d</v>
      </c>
      <c r="AR7" t="str">
        <f t="shared" si="64"/>
        <v>W80_S0d</v>
      </c>
      <c r="AS7" t="str">
        <f t="shared" ref="AS7:AT7" si="66">CONCATENATE(AS37,"_",AS40)</f>
        <v>W80_S0d</v>
      </c>
      <c r="AT7" t="str">
        <f t="shared" si="66"/>
        <v>W80_S0d</v>
      </c>
      <c r="AU7" t="str">
        <f>CONCATENATE(AU37,"_",AU40)</f>
        <v>W80_S0d</v>
      </c>
      <c r="AV7" t="str">
        <f>CONCATENATE(AV37,"_",AV40)</f>
        <v>W80_S0d</v>
      </c>
      <c r="AW7" t="str">
        <f>CONCATENATE(AW37,"_",AW40)</f>
        <v>W80_S0d</v>
      </c>
    </row>
    <row r="8" spans="1:49" x14ac:dyDescent="0.2">
      <c r="A8" t="s">
        <v>249</v>
      </c>
      <c r="C8" t="str">
        <f>CONCATENATE(C11,C29,C33,C25)</f>
        <v>coallc</v>
      </c>
      <c r="D8" t="str">
        <f t="shared" ref="D8:AB8" si="67">CONCATENATE(D11,D29,D33,D25)</f>
        <v>coalhc</v>
      </c>
      <c r="E8" t="str">
        <f t="shared" si="67"/>
        <v>coallc</v>
      </c>
      <c r="F8" t="str">
        <f t="shared" ref="F8" si="68">CONCATENATE(F11,F29,F33,F25)</f>
        <v>coallc</v>
      </c>
      <c r="G8" t="str">
        <f t="shared" si="67"/>
        <v>coallc</v>
      </c>
      <c r="H8" t="str">
        <f t="shared" si="67"/>
        <v>coallc</v>
      </c>
      <c r="I8" t="str">
        <f t="shared" si="67"/>
        <v>coallc</v>
      </c>
      <c r="J8" t="str">
        <f t="shared" si="67"/>
        <v>coallc</v>
      </c>
      <c r="K8" t="str">
        <f t="shared" si="67"/>
        <v>coallc</v>
      </c>
      <c r="L8" t="str">
        <f t="shared" ref="L8:M8" si="69">CONCATENATE(L11,L29,L33,L25)</f>
        <v>coallc</v>
      </c>
      <c r="M8" t="str">
        <f t="shared" si="69"/>
        <v>coalhc</v>
      </c>
      <c r="N8" t="str">
        <f t="shared" si="67"/>
        <v>coallcW10lc</v>
      </c>
      <c r="O8" t="str">
        <f t="shared" si="67"/>
        <v>coallcW20lc</v>
      </c>
      <c r="P8" t="str">
        <f t="shared" si="67"/>
        <v>coallcW30lc</v>
      </c>
      <c r="Q8" t="str">
        <f t="shared" si="67"/>
        <v>coallcS10lc</v>
      </c>
      <c r="R8" t="str">
        <f t="shared" si="67"/>
        <v>coallcS20lc</v>
      </c>
      <c r="S8" t="str">
        <f t="shared" si="67"/>
        <v>coallcS30lc</v>
      </c>
      <c r="T8" t="str">
        <f t="shared" si="67"/>
        <v>coallcW30lcS30lc</v>
      </c>
      <c r="U8" t="str">
        <f t="shared" si="67"/>
        <v>coallc</v>
      </c>
      <c r="V8" t="str">
        <f t="shared" si="67"/>
        <v>coallc</v>
      </c>
      <c r="W8" t="str">
        <f t="shared" si="67"/>
        <v>coallc</v>
      </c>
      <c r="X8" t="str">
        <f t="shared" si="67"/>
        <v>coallc</v>
      </c>
      <c r="Y8" t="str">
        <f t="shared" si="67"/>
        <v>coallcB25lc</v>
      </c>
      <c r="Z8" t="str">
        <f t="shared" si="67"/>
        <v>coallcB50lc</v>
      </c>
      <c r="AA8" t="str">
        <f t="shared" si="67"/>
        <v>coallcB25lc</v>
      </c>
      <c r="AB8" t="str">
        <f t="shared" si="67"/>
        <v>coallcB50lc</v>
      </c>
      <c r="AC8" t="str">
        <f t="shared" ref="AC8:AG8" si="70">CONCATENATE(AC11,AC29,AC33,AC25)</f>
        <v>coallcB50lc</v>
      </c>
      <c r="AD8" t="str">
        <f t="shared" ref="AD8:AF8" si="71">CONCATENATE(AD11,AD29,AD33,AD25)</f>
        <v>coallcW30lcB50lc</v>
      </c>
      <c r="AE8" t="str">
        <f t="shared" ref="AE8" si="72">CONCATENATE(AE11,AE29,AE33,AE25)</f>
        <v>coallcS30lcB50lc</v>
      </c>
      <c r="AF8" t="str">
        <f t="shared" si="71"/>
        <v>coallcW30lcS30lcB50lc</v>
      </c>
      <c r="AG8" t="str">
        <f t="shared" si="70"/>
        <v>coalhcB50lc</v>
      </c>
      <c r="AH8" t="str">
        <f t="shared" ref="AH8:AK8" si="73">CONCATENATE(AH11,AH29,AH33,AH25)</f>
        <v>coalhcW30lcB50lc</v>
      </c>
      <c r="AI8" t="str">
        <f t="shared" ref="AI8" si="74">CONCATENATE(AI11,AI29,AI33,AI25)</f>
        <v>coalhcS30lcB50lc</v>
      </c>
      <c r="AJ8" t="str">
        <f t="shared" si="73"/>
        <v>coalhcW30lcS30lcB50lc</v>
      </c>
      <c r="AK8" t="str">
        <f t="shared" si="73"/>
        <v>coalhcW30lcS30lc</v>
      </c>
      <c r="AL8" t="str">
        <f t="shared" ref="AL8" si="75">CONCATENATE(AL11,AL29,AL33,AL25)</f>
        <v>coallcW30lc</v>
      </c>
      <c r="AM8" t="str">
        <f t="shared" ref="AM8:AN8" si="76">CONCATENATE(AM11,AM29,AM33,AM25)</f>
        <v>coallcS30lc</v>
      </c>
      <c r="AN8" t="str">
        <f t="shared" si="76"/>
        <v>coallcW30lcS30lc</v>
      </c>
      <c r="AO8" t="str">
        <f t="shared" ref="AO8:AR8" si="77">CONCATENATE(AO11,AO29,AO33,AO25)</f>
        <v>coallc</v>
      </c>
      <c r="AP8" t="str">
        <f t="shared" ref="AP8:AQ8" si="78">CONCATENATE(AP11,AP29,AP33,AP25)</f>
        <v>coallcW30lcS30lc</v>
      </c>
      <c r="AQ8" t="str">
        <f t="shared" si="78"/>
        <v>coallcW30lcS30lcB50lc</v>
      </c>
      <c r="AR8" t="str">
        <f t="shared" si="77"/>
        <v>coalhc</v>
      </c>
      <c r="AS8" t="str">
        <f t="shared" ref="AS8:AT8" si="79">CONCATENATE(AS11,AS29,AS33,AS25)</f>
        <v>coalhcW30lcS30lc</v>
      </c>
      <c r="AT8" t="str">
        <f t="shared" si="79"/>
        <v>coalhcW30lcS30lcB50lc</v>
      </c>
      <c r="AU8" t="str">
        <f>CONCATENATE(AU11,AU29,AU33,AU25)</f>
        <v>coallc</v>
      </c>
      <c r="AV8" t="str">
        <f>CONCATENATE(AV11,AV29,AV33,AV25)</f>
        <v>coallc</v>
      </c>
      <c r="AW8" t="str">
        <f>CONCATENATE(AW11,AW29,AW33,AW25)</f>
        <v>coallc</v>
      </c>
    </row>
    <row r="9" spans="1:49" x14ac:dyDescent="0.2">
      <c r="A9" s="21" t="s">
        <v>250</v>
      </c>
      <c r="B9" s="21" t="s">
        <v>251</v>
      </c>
      <c r="C9" s="21" t="s">
        <v>252</v>
      </c>
      <c r="D9" s="21" t="s">
        <v>253</v>
      </c>
      <c r="E9" s="21" t="s">
        <v>252</v>
      </c>
      <c r="F9" s="21" t="s">
        <v>252</v>
      </c>
      <c r="G9" s="21" t="s">
        <v>252</v>
      </c>
      <c r="H9" s="21" t="s">
        <v>252</v>
      </c>
      <c r="I9" s="21" t="s">
        <v>252</v>
      </c>
      <c r="J9" s="21" t="s">
        <v>252</v>
      </c>
      <c r="K9" s="21" t="s">
        <v>252</v>
      </c>
      <c r="L9" s="21" t="s">
        <v>252</v>
      </c>
      <c r="M9" s="21" t="s">
        <v>253</v>
      </c>
      <c r="N9" s="21" t="s">
        <v>252</v>
      </c>
      <c r="O9" s="21" t="s">
        <v>252</v>
      </c>
      <c r="P9" s="21" t="s">
        <v>252</v>
      </c>
      <c r="Q9" s="21" t="s">
        <v>252</v>
      </c>
      <c r="R9" s="21" t="s">
        <v>252</v>
      </c>
      <c r="S9" s="21" t="s">
        <v>252</v>
      </c>
      <c r="T9" s="21" t="s">
        <v>252</v>
      </c>
      <c r="U9" s="21" t="s">
        <v>252</v>
      </c>
      <c r="V9" s="21" t="s">
        <v>252</v>
      </c>
      <c r="W9" s="21" t="s">
        <v>252</v>
      </c>
      <c r="X9" s="21" t="s">
        <v>252</v>
      </c>
      <c r="Y9" s="21" t="s">
        <v>252</v>
      </c>
      <c r="Z9" s="21" t="s">
        <v>252</v>
      </c>
      <c r="AA9" s="21" t="s">
        <v>252</v>
      </c>
      <c r="AB9" s="21" t="s">
        <v>252</v>
      </c>
      <c r="AC9" s="21" t="s">
        <v>252</v>
      </c>
      <c r="AD9" s="21" t="s">
        <v>252</v>
      </c>
      <c r="AE9" s="21" t="s">
        <v>252</v>
      </c>
      <c r="AF9" s="21" t="s">
        <v>252</v>
      </c>
      <c r="AG9" s="21" t="s">
        <v>253</v>
      </c>
      <c r="AH9" s="21" t="s">
        <v>253</v>
      </c>
      <c r="AI9" s="21" t="s">
        <v>253</v>
      </c>
      <c r="AJ9" s="21" t="s">
        <v>253</v>
      </c>
      <c r="AK9" s="21" t="s">
        <v>253</v>
      </c>
      <c r="AL9" s="21" t="s">
        <v>252</v>
      </c>
      <c r="AM9" s="21" t="s">
        <v>252</v>
      </c>
      <c r="AN9" s="21" t="s">
        <v>252</v>
      </c>
      <c r="AO9" s="21" t="s">
        <v>252</v>
      </c>
      <c r="AP9" s="21" t="s">
        <v>252</v>
      </c>
      <c r="AQ9" s="21" t="s">
        <v>252</v>
      </c>
      <c r="AR9" s="21" t="s">
        <v>253</v>
      </c>
      <c r="AS9" s="21" t="s">
        <v>253</v>
      </c>
      <c r="AT9" s="21" t="s">
        <v>253</v>
      </c>
      <c r="AU9" s="21" t="s">
        <v>252</v>
      </c>
      <c r="AV9" s="21" t="s">
        <v>252</v>
      </c>
      <c r="AW9" s="21" t="s">
        <v>252</v>
      </c>
    </row>
    <row r="10" spans="1:49" x14ac:dyDescent="0.2">
      <c r="A10" t="s">
        <v>254</v>
      </c>
      <c r="C10" t="str">
        <f>CONCATENATE("C", LEFT(C9,1), "c")</f>
        <v>Clc</v>
      </c>
      <c r="D10" t="str">
        <f t="shared" ref="D10:W10" si="80">CONCATENATE("C", LEFT(D9,1), "c")</f>
        <v>Chc</v>
      </c>
      <c r="E10" t="str">
        <f t="shared" si="80"/>
        <v>Clc</v>
      </c>
      <c r="F10" t="str">
        <f t="shared" ref="F10" si="81">CONCATENATE("C", LEFT(F9,1), "c")</f>
        <v>Clc</v>
      </c>
      <c r="G10" t="str">
        <f t="shared" si="80"/>
        <v>Clc</v>
      </c>
      <c r="H10" t="str">
        <f t="shared" si="80"/>
        <v>Clc</v>
      </c>
      <c r="I10" t="str">
        <f t="shared" si="80"/>
        <v>Clc</v>
      </c>
      <c r="J10" t="str">
        <f t="shared" si="80"/>
        <v>Clc</v>
      </c>
      <c r="K10" t="str">
        <f t="shared" si="80"/>
        <v>Clc</v>
      </c>
      <c r="L10" t="str">
        <f t="shared" ref="L10:M10" si="82">CONCATENATE("C", LEFT(L9,1), "c")</f>
        <v>Clc</v>
      </c>
      <c r="M10" t="str">
        <f t="shared" si="82"/>
        <v>Chc</v>
      </c>
      <c r="N10" t="str">
        <f t="shared" si="80"/>
        <v>Clc</v>
      </c>
      <c r="O10" t="str">
        <f t="shared" si="80"/>
        <v>Clc</v>
      </c>
      <c r="P10" t="str">
        <f t="shared" si="80"/>
        <v>Clc</v>
      </c>
      <c r="Q10" t="str">
        <f t="shared" si="80"/>
        <v>Clc</v>
      </c>
      <c r="R10" t="str">
        <f t="shared" si="80"/>
        <v>Clc</v>
      </c>
      <c r="S10" t="str">
        <f t="shared" si="80"/>
        <v>Clc</v>
      </c>
      <c r="T10" t="str">
        <f t="shared" si="80"/>
        <v>Clc</v>
      </c>
      <c r="U10" t="str">
        <f t="shared" si="80"/>
        <v>Clc</v>
      </c>
      <c r="V10" t="str">
        <f t="shared" si="80"/>
        <v>Clc</v>
      </c>
      <c r="W10" t="str">
        <f t="shared" si="80"/>
        <v>Clc</v>
      </c>
      <c r="X10" t="str">
        <f t="shared" ref="X10:AC10" si="83">CONCATENATE("C", LEFT(X9,1), "c")</f>
        <v>Clc</v>
      </c>
      <c r="Y10" t="str">
        <f t="shared" si="83"/>
        <v>Clc</v>
      </c>
      <c r="Z10" t="str">
        <f t="shared" si="83"/>
        <v>Clc</v>
      </c>
      <c r="AA10" t="str">
        <f t="shared" si="83"/>
        <v>Clc</v>
      </c>
      <c r="AB10" t="str">
        <f t="shared" si="83"/>
        <v>Clc</v>
      </c>
      <c r="AC10" t="str">
        <f t="shared" si="83"/>
        <v>Clc</v>
      </c>
      <c r="AD10" t="str">
        <f t="shared" ref="AD10:AF10" si="84">CONCATENATE("C", LEFT(AD9,1), "c")</f>
        <v>Clc</v>
      </c>
      <c r="AE10" t="str">
        <f t="shared" ref="AE10" si="85">CONCATENATE("C", LEFT(AE9,1), "c")</f>
        <v>Clc</v>
      </c>
      <c r="AF10" t="str">
        <f t="shared" si="84"/>
        <v>Clc</v>
      </c>
      <c r="AG10" t="str">
        <f t="shared" ref="AG10:AH10" si="86">CONCATENATE("C", LEFT(AG9,1), "c")</f>
        <v>Chc</v>
      </c>
      <c r="AH10" t="str">
        <f t="shared" si="86"/>
        <v>Chc</v>
      </c>
      <c r="AI10" t="str">
        <f t="shared" ref="AI10" si="87">CONCATENATE("C", LEFT(AI9,1), "c")</f>
        <v>Chc</v>
      </c>
      <c r="AJ10" t="str">
        <f t="shared" ref="AJ10:AK10" si="88">CONCATENATE("C", LEFT(AJ9,1), "c")</f>
        <v>Chc</v>
      </c>
      <c r="AK10" t="str">
        <f t="shared" si="88"/>
        <v>Chc</v>
      </c>
      <c r="AL10" t="str">
        <f t="shared" ref="AL10" si="89">CONCATENATE("C", LEFT(AL9,1), "c")</f>
        <v>Clc</v>
      </c>
      <c r="AM10" t="str">
        <f t="shared" ref="AM10:AN10" si="90">CONCATENATE("C", LEFT(AM9,1), "c")</f>
        <v>Clc</v>
      </c>
      <c r="AN10" t="str">
        <f t="shared" si="90"/>
        <v>Clc</v>
      </c>
      <c r="AO10" t="str">
        <f t="shared" ref="AO10:AR10" si="91">CONCATENATE("C", LEFT(AO9,1), "c")</f>
        <v>Clc</v>
      </c>
      <c r="AP10" t="str">
        <f t="shared" ref="AP10:AQ10" si="92">CONCATENATE("C", LEFT(AP9,1), "c")</f>
        <v>Clc</v>
      </c>
      <c r="AQ10" t="str">
        <f t="shared" si="92"/>
        <v>Clc</v>
      </c>
      <c r="AR10" t="str">
        <f t="shared" si="91"/>
        <v>Chc</v>
      </c>
      <c r="AS10" t="str">
        <f t="shared" ref="AS10:AT10" si="93">CONCATENATE("C", LEFT(AS9,1), "c")</f>
        <v>Chc</v>
      </c>
      <c r="AT10" t="str">
        <f t="shared" si="93"/>
        <v>Chc</v>
      </c>
      <c r="AU10" t="str">
        <f>CONCATENATE("C", LEFT(AU9,1), "c")</f>
        <v>Clc</v>
      </c>
      <c r="AV10" t="str">
        <f>CONCATENATE("C", LEFT(AV9,1), "c")</f>
        <v>Clc</v>
      </c>
      <c r="AW10" t="str">
        <f>CONCATENATE("C", LEFT(AW9,1), "c")</f>
        <v>Clc</v>
      </c>
    </row>
    <row r="11" spans="1:49" x14ac:dyDescent="0.2">
      <c r="A11" t="s">
        <v>255</v>
      </c>
      <c r="C11" t="str">
        <f t="shared" ref="C11:W11" si="94">CONCATENATE("coal",LEFT(C9,1), "c")</f>
        <v>coallc</v>
      </c>
      <c r="D11" t="str">
        <f t="shared" si="94"/>
        <v>coalhc</v>
      </c>
      <c r="E11" t="str">
        <f t="shared" si="94"/>
        <v>coallc</v>
      </c>
      <c r="F11" t="str">
        <f t="shared" ref="F11" si="95">CONCATENATE("coal",LEFT(F9,1), "c")</f>
        <v>coallc</v>
      </c>
      <c r="G11" t="str">
        <f t="shared" si="94"/>
        <v>coallc</v>
      </c>
      <c r="H11" t="str">
        <f t="shared" si="94"/>
        <v>coallc</v>
      </c>
      <c r="I11" t="str">
        <f t="shared" si="94"/>
        <v>coallc</v>
      </c>
      <c r="J11" t="str">
        <f t="shared" si="94"/>
        <v>coallc</v>
      </c>
      <c r="K11" t="str">
        <f t="shared" si="94"/>
        <v>coallc</v>
      </c>
      <c r="L11" t="str">
        <f t="shared" ref="L11:M11" si="96">CONCATENATE("coal",LEFT(L9,1), "c")</f>
        <v>coallc</v>
      </c>
      <c r="M11" t="str">
        <f t="shared" si="96"/>
        <v>coalhc</v>
      </c>
      <c r="N11" t="str">
        <f t="shared" si="94"/>
        <v>coallc</v>
      </c>
      <c r="O11" t="str">
        <f t="shared" si="94"/>
        <v>coallc</v>
      </c>
      <c r="P11" t="str">
        <f t="shared" si="94"/>
        <v>coallc</v>
      </c>
      <c r="Q11" t="str">
        <f t="shared" si="94"/>
        <v>coallc</v>
      </c>
      <c r="R11" t="str">
        <f t="shared" si="94"/>
        <v>coallc</v>
      </c>
      <c r="S11" t="str">
        <f t="shared" si="94"/>
        <v>coallc</v>
      </c>
      <c r="T11" t="str">
        <f t="shared" si="94"/>
        <v>coallc</v>
      </c>
      <c r="U11" t="str">
        <f t="shared" si="94"/>
        <v>coallc</v>
      </c>
      <c r="V11" t="str">
        <f t="shared" si="94"/>
        <v>coallc</v>
      </c>
      <c r="W11" t="str">
        <f t="shared" si="94"/>
        <v>coallc</v>
      </c>
      <c r="X11" t="str">
        <f t="shared" ref="X11:AC11" si="97">CONCATENATE("coal",LEFT(X9,1), "c")</f>
        <v>coallc</v>
      </c>
      <c r="Y11" t="str">
        <f t="shared" si="97"/>
        <v>coallc</v>
      </c>
      <c r="Z11" t="str">
        <f t="shared" si="97"/>
        <v>coallc</v>
      </c>
      <c r="AA11" t="str">
        <f t="shared" si="97"/>
        <v>coallc</v>
      </c>
      <c r="AB11" t="str">
        <f t="shared" si="97"/>
        <v>coallc</v>
      </c>
      <c r="AC11" t="str">
        <f t="shared" si="97"/>
        <v>coallc</v>
      </c>
      <c r="AD11" t="str">
        <f t="shared" ref="AD11:AF11" si="98">CONCATENATE("coal",LEFT(AD9,1), "c")</f>
        <v>coallc</v>
      </c>
      <c r="AE11" t="str">
        <f t="shared" ref="AE11" si="99">CONCATENATE("coal",LEFT(AE9,1), "c")</f>
        <v>coallc</v>
      </c>
      <c r="AF11" t="str">
        <f t="shared" si="98"/>
        <v>coallc</v>
      </c>
      <c r="AG11" t="str">
        <f t="shared" ref="AG11:AH11" si="100">CONCATENATE("coal",LEFT(AG9,1), "c")</f>
        <v>coalhc</v>
      </c>
      <c r="AH11" t="str">
        <f t="shared" si="100"/>
        <v>coalhc</v>
      </c>
      <c r="AI11" t="str">
        <f t="shared" ref="AI11" si="101">CONCATENATE("coal",LEFT(AI9,1), "c")</f>
        <v>coalhc</v>
      </c>
      <c r="AJ11" t="str">
        <f t="shared" ref="AJ11:AK11" si="102">CONCATENATE("coal",LEFT(AJ9,1), "c")</f>
        <v>coalhc</v>
      </c>
      <c r="AK11" t="str">
        <f t="shared" si="102"/>
        <v>coalhc</v>
      </c>
      <c r="AL11" t="str">
        <f t="shared" ref="AL11" si="103">CONCATENATE("coal",LEFT(AL9,1), "c")</f>
        <v>coallc</v>
      </c>
      <c r="AM11" t="str">
        <f t="shared" ref="AM11:AN11" si="104">CONCATENATE("coal",LEFT(AM9,1), "c")</f>
        <v>coallc</v>
      </c>
      <c r="AN11" t="str">
        <f t="shared" si="104"/>
        <v>coallc</v>
      </c>
      <c r="AO11" t="str">
        <f t="shared" ref="AO11:AR11" si="105">CONCATENATE("coal",LEFT(AO9,1), "c")</f>
        <v>coallc</v>
      </c>
      <c r="AP11" t="str">
        <f t="shared" ref="AP11:AQ11" si="106">CONCATENATE("coal",LEFT(AP9,1), "c")</f>
        <v>coallc</v>
      </c>
      <c r="AQ11" t="str">
        <f t="shared" si="106"/>
        <v>coallc</v>
      </c>
      <c r="AR11" t="str">
        <f t="shared" si="105"/>
        <v>coalhc</v>
      </c>
      <c r="AS11" t="str">
        <f t="shared" ref="AS11:AT11" si="107">CONCATENATE("coal",LEFT(AS9,1), "c")</f>
        <v>coalhc</v>
      </c>
      <c r="AT11" t="str">
        <f t="shared" si="107"/>
        <v>coalhc</v>
      </c>
      <c r="AU11" t="str">
        <f>CONCATENATE("coal",LEFT(AU9,1), "c")</f>
        <v>coallc</v>
      </c>
      <c r="AV11" t="str">
        <f>CONCATENATE("coal",LEFT(AV9,1), "c")</f>
        <v>coallc</v>
      </c>
      <c r="AW11" t="str">
        <f>CONCATENATE("coal",LEFT(AW9,1), "c")</f>
        <v>coallc</v>
      </c>
    </row>
    <row r="12" spans="1:49" x14ac:dyDescent="0.2">
      <c r="A12" s="21" t="s">
        <v>256</v>
      </c>
      <c r="B12" s="21" t="s">
        <v>257</v>
      </c>
      <c r="C12" s="21">
        <v>70</v>
      </c>
      <c r="D12" s="21">
        <v>70</v>
      </c>
      <c r="E12" s="21">
        <v>55</v>
      </c>
      <c r="F12" s="21">
        <v>0</v>
      </c>
      <c r="G12" s="21">
        <v>70</v>
      </c>
      <c r="H12" s="21">
        <v>70</v>
      </c>
      <c r="I12" s="21">
        <v>70</v>
      </c>
      <c r="J12" s="21">
        <v>70</v>
      </c>
      <c r="K12" s="21">
        <v>70</v>
      </c>
      <c r="L12" s="21">
        <v>70</v>
      </c>
      <c r="M12" s="21">
        <v>70</v>
      </c>
      <c r="N12" s="21">
        <v>70</v>
      </c>
      <c r="O12" s="21">
        <v>70</v>
      </c>
      <c r="P12" s="21">
        <v>70</v>
      </c>
      <c r="Q12" s="21">
        <v>70</v>
      </c>
      <c r="R12" s="21">
        <v>70</v>
      </c>
      <c r="S12" s="21">
        <v>70</v>
      </c>
      <c r="T12" s="21">
        <v>70</v>
      </c>
      <c r="U12" s="21">
        <v>70</v>
      </c>
      <c r="V12" s="21">
        <v>70</v>
      </c>
      <c r="W12" s="21">
        <v>70</v>
      </c>
      <c r="X12" s="21">
        <v>70</v>
      </c>
      <c r="Y12" s="21">
        <v>70</v>
      </c>
      <c r="Z12" s="21">
        <v>70</v>
      </c>
      <c r="AA12" s="21">
        <v>70</v>
      </c>
      <c r="AB12" s="21">
        <v>70</v>
      </c>
      <c r="AC12" s="21">
        <v>70</v>
      </c>
      <c r="AD12" s="21">
        <v>70</v>
      </c>
      <c r="AE12" s="21">
        <v>70</v>
      </c>
      <c r="AF12" s="21">
        <v>70</v>
      </c>
      <c r="AG12" s="21">
        <v>70</v>
      </c>
      <c r="AH12" s="21">
        <v>70</v>
      </c>
      <c r="AI12" s="21">
        <v>70</v>
      </c>
      <c r="AJ12" s="21">
        <v>70</v>
      </c>
      <c r="AK12" s="21">
        <v>70</v>
      </c>
      <c r="AL12" s="21">
        <v>55</v>
      </c>
      <c r="AM12" s="21">
        <v>55</v>
      </c>
      <c r="AN12" s="21">
        <v>55</v>
      </c>
      <c r="AO12" s="21">
        <v>55</v>
      </c>
      <c r="AP12" s="21">
        <v>55</v>
      </c>
      <c r="AQ12" s="21">
        <v>55</v>
      </c>
      <c r="AR12" s="21">
        <v>55</v>
      </c>
      <c r="AS12" s="21">
        <v>55</v>
      </c>
      <c r="AT12" s="21">
        <v>55</v>
      </c>
      <c r="AU12" s="21">
        <v>70</v>
      </c>
      <c r="AV12" s="21">
        <v>70</v>
      </c>
      <c r="AW12" s="21">
        <v>70</v>
      </c>
    </row>
    <row r="13" spans="1:49" x14ac:dyDescent="0.2">
      <c r="A13" t="s">
        <v>258</v>
      </c>
      <c r="C13" t="str">
        <f>CONCATENATE("C",C12,"m")</f>
        <v>C70m</v>
      </c>
      <c r="D13" t="str">
        <f t="shared" ref="D13:W13" si="108">CONCATENATE("C",D12,"m")</f>
        <v>C70m</v>
      </c>
      <c r="E13" t="str">
        <f t="shared" si="108"/>
        <v>C55m</v>
      </c>
      <c r="F13" t="str">
        <f t="shared" ref="F13" si="109">CONCATENATE("C",F12,"m")</f>
        <v>C0m</v>
      </c>
      <c r="G13" t="str">
        <f t="shared" si="108"/>
        <v>C70m</v>
      </c>
      <c r="H13" t="str">
        <f t="shared" si="108"/>
        <v>C70m</v>
      </c>
      <c r="I13" t="str">
        <f t="shared" si="108"/>
        <v>C70m</v>
      </c>
      <c r="J13" t="str">
        <f t="shared" si="108"/>
        <v>C70m</v>
      </c>
      <c r="K13" t="str">
        <f t="shared" si="108"/>
        <v>C70m</v>
      </c>
      <c r="L13" t="str">
        <f t="shared" ref="L13:M13" si="110">CONCATENATE("C",L12,"m")</f>
        <v>C70m</v>
      </c>
      <c r="M13" t="str">
        <f t="shared" si="110"/>
        <v>C70m</v>
      </c>
      <c r="N13" t="str">
        <f t="shared" si="108"/>
        <v>C70m</v>
      </c>
      <c r="O13" t="str">
        <f t="shared" si="108"/>
        <v>C70m</v>
      </c>
      <c r="P13" t="str">
        <f t="shared" si="108"/>
        <v>C70m</v>
      </c>
      <c r="Q13" t="str">
        <f t="shared" si="108"/>
        <v>C70m</v>
      </c>
      <c r="R13" t="str">
        <f t="shared" si="108"/>
        <v>C70m</v>
      </c>
      <c r="S13" t="str">
        <f t="shared" si="108"/>
        <v>C70m</v>
      </c>
      <c r="T13" t="str">
        <f t="shared" si="108"/>
        <v>C70m</v>
      </c>
      <c r="U13" t="str">
        <f t="shared" si="108"/>
        <v>C70m</v>
      </c>
      <c r="V13" t="str">
        <f t="shared" si="108"/>
        <v>C70m</v>
      </c>
      <c r="W13" t="str">
        <f t="shared" si="108"/>
        <v>C70m</v>
      </c>
      <c r="X13" t="str">
        <f t="shared" ref="X13:AC13" si="111">CONCATENATE("C",X12,"m")</f>
        <v>C70m</v>
      </c>
      <c r="Y13" t="str">
        <f t="shared" si="111"/>
        <v>C70m</v>
      </c>
      <c r="Z13" t="str">
        <f t="shared" si="111"/>
        <v>C70m</v>
      </c>
      <c r="AA13" t="str">
        <f t="shared" si="111"/>
        <v>C70m</v>
      </c>
      <c r="AB13" t="str">
        <f t="shared" si="111"/>
        <v>C70m</v>
      </c>
      <c r="AC13" t="str">
        <f t="shared" si="111"/>
        <v>C70m</v>
      </c>
      <c r="AD13" t="str">
        <f t="shared" ref="AD13:AF13" si="112">CONCATENATE("C",AD12,"m")</f>
        <v>C70m</v>
      </c>
      <c r="AE13" t="str">
        <f t="shared" ref="AE13" si="113">CONCATENATE("C",AE12,"m")</f>
        <v>C70m</v>
      </c>
      <c r="AF13" t="str">
        <f t="shared" si="112"/>
        <v>C70m</v>
      </c>
      <c r="AG13" t="str">
        <f t="shared" ref="AG13:AH13" si="114">CONCATENATE("C",AG12,"m")</f>
        <v>C70m</v>
      </c>
      <c r="AH13" t="str">
        <f t="shared" si="114"/>
        <v>C70m</v>
      </c>
      <c r="AI13" t="str">
        <f t="shared" ref="AI13" si="115">CONCATENATE("C",AI12,"m")</f>
        <v>C70m</v>
      </c>
      <c r="AJ13" t="str">
        <f t="shared" ref="AJ13:AK13" si="116">CONCATENATE("C",AJ12,"m")</f>
        <v>C70m</v>
      </c>
      <c r="AK13" t="str">
        <f t="shared" si="116"/>
        <v>C70m</v>
      </c>
      <c r="AL13" t="str">
        <f t="shared" ref="AL13" si="117">CONCATENATE("C",AL12,"m")</f>
        <v>C55m</v>
      </c>
      <c r="AM13" t="str">
        <f t="shared" ref="AM13:AN13" si="118">CONCATENATE("C",AM12,"m")</f>
        <v>C55m</v>
      </c>
      <c r="AN13" t="str">
        <f t="shared" si="118"/>
        <v>C55m</v>
      </c>
      <c r="AO13" t="str">
        <f t="shared" ref="AO13:AR13" si="119">CONCATENATE("C",AO12,"m")</f>
        <v>C55m</v>
      </c>
      <c r="AP13" t="str">
        <f t="shared" ref="AP13:AQ13" si="120">CONCATENATE("C",AP12,"m")</f>
        <v>C55m</v>
      </c>
      <c r="AQ13" t="str">
        <f t="shared" si="120"/>
        <v>C55m</v>
      </c>
      <c r="AR13" t="str">
        <f t="shared" si="119"/>
        <v>C55m</v>
      </c>
      <c r="AS13" t="str">
        <f t="shared" ref="AS13:AT13" si="121">CONCATENATE("C",AS12,"m")</f>
        <v>C55m</v>
      </c>
      <c r="AT13" t="str">
        <f t="shared" si="121"/>
        <v>C55m</v>
      </c>
      <c r="AU13" t="str">
        <f>CONCATENATE("C",AU12,"m")</f>
        <v>C70m</v>
      </c>
      <c r="AV13" t="str">
        <f>CONCATENATE("C",AV12,"m")</f>
        <v>C70m</v>
      </c>
      <c r="AW13" t="str">
        <f>CONCATENATE("C",AW12,"m")</f>
        <v>C70m</v>
      </c>
    </row>
    <row r="14" spans="1:49" x14ac:dyDescent="0.2">
      <c r="A14" s="21" t="s">
        <v>474</v>
      </c>
      <c r="B14" s="21" t="s">
        <v>476</v>
      </c>
      <c r="C14" s="21">
        <v>50</v>
      </c>
      <c r="D14" s="21">
        <v>50</v>
      </c>
      <c r="E14" s="21">
        <v>50</v>
      </c>
      <c r="F14" s="21">
        <v>0</v>
      </c>
      <c r="G14" s="21">
        <v>50</v>
      </c>
      <c r="H14" s="21">
        <v>50</v>
      </c>
      <c r="I14" s="21">
        <v>50</v>
      </c>
      <c r="J14" s="21">
        <v>50</v>
      </c>
      <c r="K14" s="21">
        <v>50</v>
      </c>
      <c r="L14" s="21">
        <v>50</v>
      </c>
      <c r="M14" s="21">
        <v>50</v>
      </c>
      <c r="N14" s="21">
        <v>50</v>
      </c>
      <c r="O14" s="21">
        <v>50</v>
      </c>
      <c r="P14" s="21">
        <v>50</v>
      </c>
      <c r="Q14" s="21">
        <v>50</v>
      </c>
      <c r="R14" s="21">
        <v>50</v>
      </c>
      <c r="S14" s="21">
        <v>50</v>
      </c>
      <c r="T14" s="21">
        <v>50</v>
      </c>
      <c r="U14" s="21">
        <v>50</v>
      </c>
      <c r="V14" s="21">
        <v>50</v>
      </c>
      <c r="W14" s="21">
        <v>50</v>
      </c>
      <c r="X14" s="21">
        <v>50</v>
      </c>
      <c r="Y14" s="21">
        <v>50</v>
      </c>
      <c r="Z14" s="21">
        <v>50</v>
      </c>
      <c r="AA14" s="21">
        <v>50</v>
      </c>
      <c r="AB14" s="21">
        <v>50</v>
      </c>
      <c r="AC14" s="21">
        <v>50</v>
      </c>
      <c r="AD14" s="21">
        <v>50</v>
      </c>
      <c r="AE14" s="21">
        <v>50</v>
      </c>
      <c r="AF14" s="21">
        <v>50</v>
      </c>
      <c r="AG14" s="21">
        <v>50</v>
      </c>
      <c r="AH14" s="21">
        <v>50</v>
      </c>
      <c r="AI14" s="21">
        <v>50</v>
      </c>
      <c r="AJ14" s="21">
        <v>50</v>
      </c>
      <c r="AK14" s="21">
        <v>50</v>
      </c>
      <c r="AL14" s="21">
        <v>50</v>
      </c>
      <c r="AM14" s="21">
        <v>50</v>
      </c>
      <c r="AN14" s="21">
        <v>50</v>
      </c>
      <c r="AO14" s="21">
        <v>50</v>
      </c>
      <c r="AP14" s="21">
        <v>50</v>
      </c>
      <c r="AQ14" s="21">
        <v>50</v>
      </c>
      <c r="AR14" s="21">
        <v>50</v>
      </c>
      <c r="AS14" s="21">
        <v>50</v>
      </c>
      <c r="AT14" s="21">
        <v>50</v>
      </c>
      <c r="AU14" s="21">
        <v>50</v>
      </c>
      <c r="AV14" s="21">
        <v>50</v>
      </c>
      <c r="AW14" s="21">
        <v>50</v>
      </c>
    </row>
    <row r="15" spans="1:49" x14ac:dyDescent="0.2">
      <c r="A15" t="s">
        <v>475</v>
      </c>
      <c r="C15" t="str">
        <f>IF(C14=50,"",CONCATENATE("G",C14, "m"))</f>
        <v/>
      </c>
      <c r="D15" t="str">
        <f t="shared" ref="D15:AW15" si="122">IF(D14=50,"",CONCATENATE("G",D14, "m"))</f>
        <v/>
      </c>
      <c r="E15" t="str">
        <f t="shared" si="122"/>
        <v/>
      </c>
      <c r="F15" t="str">
        <f t="shared" si="122"/>
        <v>G0m</v>
      </c>
      <c r="G15" t="str">
        <f t="shared" si="122"/>
        <v/>
      </c>
      <c r="H15" t="str">
        <f t="shared" si="122"/>
        <v/>
      </c>
      <c r="I15" t="str">
        <f t="shared" si="122"/>
        <v/>
      </c>
      <c r="J15" t="str">
        <f t="shared" si="122"/>
        <v/>
      </c>
      <c r="K15" t="str">
        <f t="shared" si="122"/>
        <v/>
      </c>
      <c r="L15" t="str">
        <f t="shared" ref="L15:M15" si="123">IF(L14=50,"",CONCATENATE("G",L14, "m"))</f>
        <v/>
      </c>
      <c r="M15" t="str">
        <f t="shared" si="123"/>
        <v/>
      </c>
      <c r="N15" t="str">
        <f t="shared" si="122"/>
        <v/>
      </c>
      <c r="O15" t="str">
        <f t="shared" si="122"/>
        <v/>
      </c>
      <c r="P15" t="str">
        <f t="shared" si="122"/>
        <v/>
      </c>
      <c r="Q15" t="str">
        <f t="shared" si="122"/>
        <v/>
      </c>
      <c r="R15" t="str">
        <f t="shared" si="122"/>
        <v/>
      </c>
      <c r="S15" t="str">
        <f t="shared" si="122"/>
        <v/>
      </c>
      <c r="T15" t="str">
        <f t="shared" si="122"/>
        <v/>
      </c>
      <c r="U15" t="str">
        <f t="shared" si="122"/>
        <v/>
      </c>
      <c r="V15" t="str">
        <f t="shared" si="122"/>
        <v/>
      </c>
      <c r="W15" t="str">
        <f t="shared" si="122"/>
        <v/>
      </c>
      <c r="X15" t="str">
        <f t="shared" si="122"/>
        <v/>
      </c>
      <c r="Y15" t="str">
        <f t="shared" si="122"/>
        <v/>
      </c>
      <c r="Z15" t="str">
        <f t="shared" si="122"/>
        <v/>
      </c>
      <c r="AA15" t="str">
        <f t="shared" si="122"/>
        <v/>
      </c>
      <c r="AB15" t="str">
        <f t="shared" si="122"/>
        <v/>
      </c>
      <c r="AC15" t="str">
        <f t="shared" ref="AC15:AG15" si="124">IF(AC14=50,"",CONCATENATE("G",AC14, "m"))</f>
        <v/>
      </c>
      <c r="AD15" t="str">
        <f t="shared" ref="AD15:AF15" si="125">IF(AD14=50,"",CONCATENATE("G",AD14, "m"))</f>
        <v/>
      </c>
      <c r="AE15" t="str">
        <f t="shared" ref="AE15" si="126">IF(AE14=50,"",CONCATENATE("G",AE14, "m"))</f>
        <v/>
      </c>
      <c r="AF15" t="str">
        <f t="shared" si="125"/>
        <v/>
      </c>
      <c r="AG15" t="str">
        <f t="shared" si="124"/>
        <v/>
      </c>
      <c r="AH15" t="str">
        <f t="shared" ref="AH15:AK15" si="127">IF(AH14=50,"",CONCATENATE("G",AH14, "m"))</f>
        <v/>
      </c>
      <c r="AI15" t="str">
        <f t="shared" ref="AI15" si="128">IF(AI14=50,"",CONCATENATE("G",AI14, "m"))</f>
        <v/>
      </c>
      <c r="AJ15" t="str">
        <f t="shared" si="127"/>
        <v/>
      </c>
      <c r="AK15" t="str">
        <f t="shared" si="127"/>
        <v/>
      </c>
      <c r="AL15" t="str">
        <f t="shared" ref="AL15:AM15" si="129">IF(AL14=50,"",CONCATENATE("G",AL14, "m"))</f>
        <v/>
      </c>
      <c r="AM15" t="str">
        <f t="shared" si="129"/>
        <v/>
      </c>
      <c r="AN15" t="str">
        <f t="shared" ref="AN15:AO15" si="130">IF(AN14=50,"",CONCATENATE("G",AN14, "m"))</f>
        <v/>
      </c>
      <c r="AO15" t="str">
        <f t="shared" si="130"/>
        <v/>
      </c>
      <c r="AP15" t="str">
        <f t="shared" ref="AP15:AQ15" si="131">IF(AP14=50,"",CONCATENATE("G",AP14, "m"))</f>
        <v/>
      </c>
      <c r="AQ15" t="str">
        <f t="shared" si="131"/>
        <v/>
      </c>
      <c r="AR15" t="str">
        <f t="shared" ref="AR15:AT15" si="132">IF(AR14=50,"",CONCATENATE("G",AR14, "m"))</f>
        <v/>
      </c>
      <c r="AS15" t="str">
        <f t="shared" si="132"/>
        <v/>
      </c>
      <c r="AT15" t="str">
        <f t="shared" si="132"/>
        <v/>
      </c>
      <c r="AU15" t="str">
        <f t="shared" si="122"/>
        <v/>
      </c>
      <c r="AV15" t="str">
        <f t="shared" si="122"/>
        <v/>
      </c>
      <c r="AW15" t="str">
        <f t="shared" si="122"/>
        <v/>
      </c>
    </row>
    <row r="16" spans="1:49" x14ac:dyDescent="0.2">
      <c r="A16" s="21" t="s">
        <v>259</v>
      </c>
      <c r="B16" s="21" t="s">
        <v>260</v>
      </c>
      <c r="C16" s="21">
        <v>0</v>
      </c>
      <c r="D16" s="21">
        <v>0</v>
      </c>
      <c r="E16" s="21">
        <v>0</v>
      </c>
      <c r="F16" s="21">
        <v>0</v>
      </c>
      <c r="G16" s="21">
        <v>-25</v>
      </c>
      <c r="H16" s="21">
        <v>25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</row>
    <row r="17" spans="1:49" x14ac:dyDescent="0.2">
      <c r="A17" t="s">
        <v>261</v>
      </c>
      <c r="C17" t="str">
        <f t="shared" ref="C17:W17" si="133">IF(C16=0,"",CONCATENATE("H",C16))</f>
        <v/>
      </c>
      <c r="D17" t="str">
        <f t="shared" si="133"/>
        <v/>
      </c>
      <c r="E17" t="str">
        <f t="shared" si="133"/>
        <v/>
      </c>
      <c r="F17" t="str">
        <f t="shared" ref="F17" si="134">IF(F16=0,"",CONCATENATE("H",F16))</f>
        <v/>
      </c>
      <c r="G17" t="str">
        <f t="shared" si="133"/>
        <v>H-25</v>
      </c>
      <c r="H17" t="str">
        <f t="shared" si="133"/>
        <v>H25</v>
      </c>
      <c r="I17" t="str">
        <f t="shared" si="133"/>
        <v/>
      </c>
      <c r="J17" t="str">
        <f t="shared" si="133"/>
        <v/>
      </c>
      <c r="K17" t="str">
        <f t="shared" si="133"/>
        <v/>
      </c>
      <c r="L17" t="str">
        <f t="shared" ref="L17:M17" si="135">IF(L16=0,"",CONCATENATE("H",L16))</f>
        <v/>
      </c>
      <c r="M17" t="str">
        <f t="shared" si="135"/>
        <v/>
      </c>
      <c r="N17" t="str">
        <f t="shared" si="133"/>
        <v/>
      </c>
      <c r="O17" t="str">
        <f t="shared" si="133"/>
        <v/>
      </c>
      <c r="P17" t="str">
        <f t="shared" si="133"/>
        <v/>
      </c>
      <c r="Q17" t="str">
        <f t="shared" si="133"/>
        <v/>
      </c>
      <c r="R17" t="str">
        <f t="shared" si="133"/>
        <v/>
      </c>
      <c r="S17" t="str">
        <f t="shared" si="133"/>
        <v/>
      </c>
      <c r="T17" t="str">
        <f t="shared" si="133"/>
        <v/>
      </c>
      <c r="U17" t="str">
        <f t="shared" si="133"/>
        <v/>
      </c>
      <c r="V17" t="str">
        <f t="shared" si="133"/>
        <v/>
      </c>
      <c r="W17" t="str">
        <f t="shared" si="133"/>
        <v/>
      </c>
      <c r="X17" t="str">
        <f t="shared" ref="X17:AC17" si="136">IF(X16=0,"",CONCATENATE("H",X16))</f>
        <v/>
      </c>
      <c r="Y17" t="str">
        <f t="shared" si="136"/>
        <v/>
      </c>
      <c r="Z17" t="str">
        <f t="shared" si="136"/>
        <v/>
      </c>
      <c r="AA17" t="str">
        <f t="shared" si="136"/>
        <v/>
      </c>
      <c r="AB17" t="str">
        <f t="shared" si="136"/>
        <v/>
      </c>
      <c r="AC17" t="str">
        <f t="shared" si="136"/>
        <v/>
      </c>
      <c r="AD17" t="str">
        <f t="shared" ref="AD17:AF17" si="137">IF(AD16=0,"",CONCATENATE("H",AD16))</f>
        <v/>
      </c>
      <c r="AE17" t="str">
        <f t="shared" ref="AE17" si="138">IF(AE16=0,"",CONCATENATE("H",AE16))</f>
        <v/>
      </c>
      <c r="AF17" t="str">
        <f t="shared" si="137"/>
        <v/>
      </c>
      <c r="AG17" t="str">
        <f t="shared" ref="AG17:AH17" si="139">IF(AG16=0,"",CONCATENATE("H",AG16))</f>
        <v/>
      </c>
      <c r="AH17" t="str">
        <f t="shared" si="139"/>
        <v/>
      </c>
      <c r="AI17" t="str">
        <f t="shared" ref="AI17" si="140">IF(AI16=0,"",CONCATENATE("H",AI16))</f>
        <v/>
      </c>
      <c r="AJ17" t="str">
        <f t="shared" ref="AJ17:AK17" si="141">IF(AJ16=0,"",CONCATENATE("H",AJ16))</f>
        <v/>
      </c>
      <c r="AK17" t="str">
        <f t="shared" si="141"/>
        <v/>
      </c>
      <c r="AL17" t="str">
        <f t="shared" ref="AL17" si="142">IF(AL16=0,"",CONCATENATE("H",AL16))</f>
        <v/>
      </c>
      <c r="AM17" t="str">
        <f t="shared" ref="AM17:AN17" si="143">IF(AM16=0,"",CONCATENATE("H",AM16))</f>
        <v/>
      </c>
      <c r="AN17" t="str">
        <f t="shared" si="143"/>
        <v/>
      </c>
      <c r="AO17" t="str">
        <f t="shared" ref="AO17:AR17" si="144">IF(AO16=0,"",CONCATENATE("H",AO16))</f>
        <v/>
      </c>
      <c r="AP17" t="str">
        <f t="shared" ref="AP17:AQ17" si="145">IF(AP16=0,"",CONCATENATE("H",AP16))</f>
        <v/>
      </c>
      <c r="AQ17" t="str">
        <f t="shared" si="145"/>
        <v/>
      </c>
      <c r="AR17" t="str">
        <f t="shared" si="144"/>
        <v/>
      </c>
      <c r="AS17" t="str">
        <f t="shared" ref="AS17:AT17" si="146">IF(AS16=0,"",CONCATENATE("H",AS16))</f>
        <v/>
      </c>
      <c r="AT17" t="str">
        <f t="shared" si="146"/>
        <v/>
      </c>
      <c r="AU17" t="str">
        <f>IF(AU16=0,"",CONCATENATE("H",AU16))</f>
        <v/>
      </c>
      <c r="AV17" t="str">
        <f>IF(AV16=0,"",CONCATENATE("H",AV16))</f>
        <v/>
      </c>
      <c r="AW17" t="str">
        <f>IF(AW16=0,"",CONCATENATE("H",AW16))</f>
        <v/>
      </c>
    </row>
    <row r="18" spans="1:49" x14ac:dyDescent="0.2">
      <c r="A18" s="21" t="s">
        <v>262</v>
      </c>
      <c r="B18" s="21" t="s">
        <v>263</v>
      </c>
      <c r="C18" s="21">
        <v>0</v>
      </c>
      <c r="D18" s="21">
        <v>0</v>
      </c>
      <c r="E18" s="21">
        <v>0</v>
      </c>
      <c r="F18" s="21">
        <v>0</v>
      </c>
      <c r="G18" s="21">
        <v>0</v>
      </c>
      <c r="H18" s="21">
        <v>0</v>
      </c>
      <c r="I18" s="21">
        <v>64</v>
      </c>
      <c r="J18" s="21">
        <v>0</v>
      </c>
      <c r="K18" s="21">
        <v>0</v>
      </c>
      <c r="L18" s="21">
        <v>0</v>
      </c>
      <c r="M18" s="21">
        <v>0</v>
      </c>
      <c r="N18" s="21">
        <v>0</v>
      </c>
      <c r="O18" s="21">
        <v>0</v>
      </c>
      <c r="P18" s="21">
        <v>0</v>
      </c>
      <c r="Q18" s="21">
        <v>0</v>
      </c>
      <c r="R18" s="21">
        <v>0</v>
      </c>
      <c r="S18" s="21">
        <v>0</v>
      </c>
      <c r="T18" s="21">
        <v>0</v>
      </c>
      <c r="U18" s="21">
        <v>0</v>
      </c>
      <c r="V18" s="21">
        <v>0</v>
      </c>
      <c r="W18" s="21">
        <v>0</v>
      </c>
      <c r="X18" s="21">
        <v>0</v>
      </c>
      <c r="Y18" s="21">
        <v>0</v>
      </c>
      <c r="Z18" s="21">
        <v>0</v>
      </c>
      <c r="AA18" s="21">
        <v>0</v>
      </c>
      <c r="AB18" s="21">
        <v>0</v>
      </c>
      <c r="AC18" s="21">
        <v>0</v>
      </c>
      <c r="AD18" s="21">
        <v>0</v>
      </c>
      <c r="AE18" s="21">
        <v>0</v>
      </c>
      <c r="AF18" s="21">
        <v>0</v>
      </c>
      <c r="AG18" s="21">
        <v>0</v>
      </c>
      <c r="AH18" s="21">
        <v>0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0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</row>
    <row r="19" spans="1:49" x14ac:dyDescent="0.2">
      <c r="A19" t="s">
        <v>264</v>
      </c>
      <c r="C19" t="str">
        <f t="shared" ref="C19:W19" si="147">IF(C18=0,"",CONCATENATE("N",C18))</f>
        <v/>
      </c>
      <c r="D19" t="str">
        <f t="shared" si="147"/>
        <v/>
      </c>
      <c r="E19" t="str">
        <f t="shared" si="147"/>
        <v/>
      </c>
      <c r="F19" t="str">
        <f t="shared" ref="F19" si="148">IF(F18=0,"",CONCATENATE("N",F18))</f>
        <v/>
      </c>
      <c r="G19" t="str">
        <f t="shared" si="147"/>
        <v/>
      </c>
      <c r="H19" t="str">
        <f t="shared" si="147"/>
        <v/>
      </c>
      <c r="I19" t="str">
        <f t="shared" si="147"/>
        <v>N64</v>
      </c>
      <c r="J19" t="str">
        <f t="shared" si="147"/>
        <v/>
      </c>
      <c r="K19" t="str">
        <f t="shared" si="147"/>
        <v/>
      </c>
      <c r="L19" t="str">
        <f t="shared" ref="L19:M19" si="149">IF(L18=0,"",CONCATENATE("N",L18))</f>
        <v/>
      </c>
      <c r="M19" t="str">
        <f t="shared" si="149"/>
        <v/>
      </c>
      <c r="N19" t="str">
        <f t="shared" si="147"/>
        <v/>
      </c>
      <c r="O19" t="str">
        <f t="shared" si="147"/>
        <v/>
      </c>
      <c r="P19" t="str">
        <f t="shared" si="147"/>
        <v/>
      </c>
      <c r="Q19" t="str">
        <f t="shared" si="147"/>
        <v/>
      </c>
      <c r="R19" t="str">
        <f t="shared" si="147"/>
        <v/>
      </c>
      <c r="S19" t="str">
        <f t="shared" si="147"/>
        <v/>
      </c>
      <c r="T19" t="str">
        <f t="shared" si="147"/>
        <v/>
      </c>
      <c r="U19" t="str">
        <f t="shared" si="147"/>
        <v/>
      </c>
      <c r="V19" t="str">
        <f t="shared" si="147"/>
        <v/>
      </c>
      <c r="W19" t="str">
        <f t="shared" si="147"/>
        <v/>
      </c>
      <c r="X19" t="str">
        <f t="shared" ref="X19:AC19" si="150">IF(X18=0,"",CONCATENATE("N",X18))</f>
        <v/>
      </c>
      <c r="Y19" t="str">
        <f t="shared" si="150"/>
        <v/>
      </c>
      <c r="Z19" t="str">
        <f t="shared" si="150"/>
        <v/>
      </c>
      <c r="AA19" t="str">
        <f t="shared" si="150"/>
        <v/>
      </c>
      <c r="AB19" t="str">
        <f t="shared" si="150"/>
        <v/>
      </c>
      <c r="AC19" t="str">
        <f t="shared" si="150"/>
        <v/>
      </c>
      <c r="AD19" t="str">
        <f t="shared" ref="AD19:AF19" si="151">IF(AD18=0,"",CONCATENATE("N",AD18))</f>
        <v/>
      </c>
      <c r="AE19" t="str">
        <f t="shared" ref="AE19" si="152">IF(AE18=0,"",CONCATENATE("N",AE18))</f>
        <v/>
      </c>
      <c r="AF19" t="str">
        <f t="shared" si="151"/>
        <v/>
      </c>
      <c r="AG19" t="str">
        <f t="shared" ref="AG19:AH19" si="153">IF(AG18=0,"",CONCATENATE("N",AG18))</f>
        <v/>
      </c>
      <c r="AH19" t="str">
        <f t="shared" si="153"/>
        <v/>
      </c>
      <c r="AI19" t="str">
        <f t="shared" ref="AI19" si="154">IF(AI18=0,"",CONCATENATE("N",AI18))</f>
        <v/>
      </c>
      <c r="AJ19" t="str">
        <f t="shared" ref="AJ19:AK19" si="155">IF(AJ18=0,"",CONCATENATE("N",AJ18))</f>
        <v/>
      </c>
      <c r="AK19" t="str">
        <f t="shared" si="155"/>
        <v/>
      </c>
      <c r="AL19" t="str">
        <f t="shared" ref="AL19" si="156">IF(AL18=0,"",CONCATENATE("N",AL18))</f>
        <v/>
      </c>
      <c r="AM19" t="str">
        <f t="shared" ref="AM19:AN19" si="157">IF(AM18=0,"",CONCATENATE("N",AM18))</f>
        <v/>
      </c>
      <c r="AN19" t="str">
        <f t="shared" si="157"/>
        <v/>
      </c>
      <c r="AO19" t="str">
        <f t="shared" ref="AO19:AR19" si="158">IF(AO18=0,"",CONCATENATE("N",AO18))</f>
        <v/>
      </c>
      <c r="AP19" t="str">
        <f t="shared" ref="AP19:AQ19" si="159">IF(AP18=0,"",CONCATENATE("N",AP18))</f>
        <v/>
      </c>
      <c r="AQ19" t="str">
        <f t="shared" si="159"/>
        <v/>
      </c>
      <c r="AR19" t="str">
        <f t="shared" si="158"/>
        <v/>
      </c>
      <c r="AS19" t="str">
        <f t="shared" ref="AS19:AT19" si="160">IF(AS18=0,"",CONCATENATE("N",AS18))</f>
        <v/>
      </c>
      <c r="AT19" t="str">
        <f t="shared" si="160"/>
        <v/>
      </c>
      <c r="AU19" t="str">
        <f>IF(AU18=0,"",CONCATENATE("N",AU18))</f>
        <v/>
      </c>
      <c r="AV19" t="str">
        <f>IF(AV18=0,"",CONCATENATE("N",AV18))</f>
        <v/>
      </c>
      <c r="AW19" t="str">
        <f>IF(AW18=0,"",CONCATENATE("N",AW18))</f>
        <v/>
      </c>
    </row>
    <row r="20" spans="1:49" x14ac:dyDescent="0.2">
      <c r="A20" s="21" t="s">
        <v>265</v>
      </c>
      <c r="B20" s="21" t="s">
        <v>266</v>
      </c>
      <c r="C20" s="21">
        <v>0</v>
      </c>
      <c r="D20" s="21">
        <v>0</v>
      </c>
      <c r="E20" s="21">
        <v>0</v>
      </c>
      <c r="F20" s="21">
        <v>0</v>
      </c>
      <c r="G20" s="21">
        <v>0</v>
      </c>
      <c r="H20" s="21">
        <v>0</v>
      </c>
      <c r="I20" s="21">
        <v>0</v>
      </c>
      <c r="J20" s="21">
        <v>15</v>
      </c>
      <c r="K20" s="21">
        <v>30</v>
      </c>
      <c r="L20" s="21">
        <v>60</v>
      </c>
      <c r="M20" s="21">
        <v>60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15</v>
      </c>
      <c r="Z20" s="21">
        <v>15</v>
      </c>
      <c r="AA20" s="21">
        <v>30</v>
      </c>
      <c r="AB20" s="21">
        <v>30</v>
      </c>
      <c r="AC20" s="21">
        <v>60</v>
      </c>
      <c r="AD20" s="21">
        <v>60</v>
      </c>
      <c r="AE20" s="21">
        <v>60</v>
      </c>
      <c r="AF20" s="21">
        <v>60</v>
      </c>
      <c r="AG20" s="21">
        <v>60</v>
      </c>
      <c r="AH20" s="21">
        <v>60</v>
      </c>
      <c r="AI20" s="21">
        <v>60</v>
      </c>
      <c r="AJ20" s="21">
        <v>60</v>
      </c>
      <c r="AK20" s="21">
        <v>0</v>
      </c>
      <c r="AL20" s="21">
        <v>0</v>
      </c>
      <c r="AM20" s="21">
        <v>0</v>
      </c>
      <c r="AN20" s="21">
        <v>0</v>
      </c>
      <c r="AO20" s="21">
        <v>60</v>
      </c>
      <c r="AP20" s="21">
        <v>60</v>
      </c>
      <c r="AQ20" s="21">
        <v>60</v>
      </c>
      <c r="AR20" s="21">
        <v>60</v>
      </c>
      <c r="AS20" s="21">
        <v>60</v>
      </c>
      <c r="AT20" s="21">
        <v>60</v>
      </c>
      <c r="AU20" s="21">
        <v>0</v>
      </c>
      <c r="AV20" s="21">
        <v>0</v>
      </c>
      <c r="AW20" s="21">
        <v>0</v>
      </c>
    </row>
    <row r="21" spans="1:49" x14ac:dyDescent="0.2">
      <c r="A21" t="s">
        <v>267</v>
      </c>
      <c r="C21" t="str">
        <f t="shared" ref="C21:W21" si="161">IF(C20=0,"",CONCATENATE("B",C20))</f>
        <v/>
      </c>
      <c r="D21" t="str">
        <f t="shared" si="161"/>
        <v/>
      </c>
      <c r="E21" t="str">
        <f t="shared" si="161"/>
        <v/>
      </c>
      <c r="F21" t="str">
        <f t="shared" ref="F21" si="162">IF(F20=0,"",CONCATENATE("B",F20))</f>
        <v/>
      </c>
      <c r="G21" t="str">
        <f t="shared" si="161"/>
        <v/>
      </c>
      <c r="H21" t="str">
        <f t="shared" si="161"/>
        <v/>
      </c>
      <c r="I21" t="str">
        <f t="shared" si="161"/>
        <v/>
      </c>
      <c r="J21" t="str">
        <f t="shared" si="161"/>
        <v>B15</v>
      </c>
      <c r="K21" t="str">
        <f t="shared" si="161"/>
        <v>B30</v>
      </c>
      <c r="L21" t="str">
        <f t="shared" ref="L21:M21" si="163">IF(L20=0,"",CONCATENATE("B",L20))</f>
        <v>B60</v>
      </c>
      <c r="M21" t="str">
        <f t="shared" si="163"/>
        <v>B60</v>
      </c>
      <c r="N21" t="str">
        <f t="shared" si="161"/>
        <v/>
      </c>
      <c r="O21" t="str">
        <f t="shared" si="161"/>
        <v/>
      </c>
      <c r="P21" t="str">
        <f t="shared" si="161"/>
        <v/>
      </c>
      <c r="Q21" t="str">
        <f t="shared" si="161"/>
        <v/>
      </c>
      <c r="R21" t="str">
        <f t="shared" si="161"/>
        <v/>
      </c>
      <c r="S21" t="str">
        <f t="shared" si="161"/>
        <v/>
      </c>
      <c r="T21" t="str">
        <f t="shared" si="161"/>
        <v/>
      </c>
      <c r="U21" t="str">
        <f t="shared" si="161"/>
        <v/>
      </c>
      <c r="V21" t="str">
        <f t="shared" si="161"/>
        <v/>
      </c>
      <c r="W21" t="str">
        <f t="shared" si="161"/>
        <v/>
      </c>
      <c r="X21" t="str">
        <f t="shared" ref="X21:AC21" si="164">IF(X20=0,"",CONCATENATE("B",X20))</f>
        <v/>
      </c>
      <c r="Y21" t="str">
        <f t="shared" si="164"/>
        <v>B15</v>
      </c>
      <c r="Z21" t="str">
        <f t="shared" si="164"/>
        <v>B15</v>
      </c>
      <c r="AA21" t="str">
        <f t="shared" si="164"/>
        <v>B30</v>
      </c>
      <c r="AB21" t="str">
        <f t="shared" si="164"/>
        <v>B30</v>
      </c>
      <c r="AC21" t="str">
        <f t="shared" si="164"/>
        <v>B60</v>
      </c>
      <c r="AD21" t="str">
        <f t="shared" ref="AD21:AF21" si="165">IF(AD20=0,"",CONCATENATE("B",AD20))</f>
        <v>B60</v>
      </c>
      <c r="AE21" t="str">
        <f t="shared" ref="AE21" si="166">IF(AE20=0,"",CONCATENATE("B",AE20))</f>
        <v>B60</v>
      </c>
      <c r="AF21" t="str">
        <f t="shared" si="165"/>
        <v>B60</v>
      </c>
      <c r="AG21" t="str">
        <f t="shared" ref="AG21:AH21" si="167">IF(AG20=0,"",CONCATENATE("B",AG20))</f>
        <v>B60</v>
      </c>
      <c r="AH21" t="str">
        <f t="shared" si="167"/>
        <v>B60</v>
      </c>
      <c r="AI21" t="str">
        <f t="shared" ref="AI21" si="168">IF(AI20=0,"",CONCATENATE("B",AI20))</f>
        <v>B60</v>
      </c>
      <c r="AJ21" t="str">
        <f t="shared" ref="AJ21:AK21" si="169">IF(AJ20=0,"",CONCATENATE("B",AJ20))</f>
        <v>B60</v>
      </c>
      <c r="AK21" t="str">
        <f t="shared" si="169"/>
        <v/>
      </c>
      <c r="AL21" t="str">
        <f t="shared" ref="AL21" si="170">IF(AL20=0,"",CONCATENATE("B",AL20))</f>
        <v/>
      </c>
      <c r="AM21" t="str">
        <f t="shared" ref="AM21:AN21" si="171">IF(AM20=0,"",CONCATENATE("B",AM20))</f>
        <v/>
      </c>
      <c r="AN21" t="str">
        <f t="shared" si="171"/>
        <v/>
      </c>
      <c r="AO21" t="str">
        <f t="shared" ref="AO21:AR21" si="172">IF(AO20=0,"",CONCATENATE("B",AO20))</f>
        <v>B60</v>
      </c>
      <c r="AP21" t="str">
        <f t="shared" ref="AP21:AQ21" si="173">IF(AP20=0,"",CONCATENATE("B",AP20))</f>
        <v>B60</v>
      </c>
      <c r="AQ21" t="str">
        <f t="shared" si="173"/>
        <v>B60</v>
      </c>
      <c r="AR21" t="str">
        <f t="shared" si="172"/>
        <v>B60</v>
      </c>
      <c r="AS21" t="str">
        <f t="shared" ref="AS21:AT21" si="174">IF(AS20=0,"",CONCATENATE("B",AS20))</f>
        <v>B60</v>
      </c>
      <c r="AT21" t="str">
        <f t="shared" si="174"/>
        <v>B60</v>
      </c>
      <c r="AU21" t="str">
        <f>IF(AU20=0,"",CONCATENATE("B",AU20))</f>
        <v/>
      </c>
      <c r="AV21" t="str">
        <f>IF(AV20=0,"",CONCATENATE("B",AV20))</f>
        <v/>
      </c>
      <c r="AW21" t="str">
        <f>IF(AW20=0,"",CONCATENATE("B",AW20))</f>
        <v/>
      </c>
    </row>
    <row r="22" spans="1:49" x14ac:dyDescent="0.2">
      <c r="A22" t="s">
        <v>268</v>
      </c>
      <c r="C22" t="str">
        <f t="shared" ref="C22:W22" si="175">CONCATENATE("bat", C20)</f>
        <v>bat0</v>
      </c>
      <c r="D22" t="str">
        <f t="shared" si="175"/>
        <v>bat0</v>
      </c>
      <c r="E22" t="str">
        <f t="shared" si="175"/>
        <v>bat0</v>
      </c>
      <c r="F22" t="str">
        <f t="shared" ref="F22" si="176">CONCATENATE("bat", F20)</f>
        <v>bat0</v>
      </c>
      <c r="G22" t="str">
        <f t="shared" si="175"/>
        <v>bat0</v>
      </c>
      <c r="H22" t="str">
        <f t="shared" si="175"/>
        <v>bat0</v>
      </c>
      <c r="I22" t="str">
        <f t="shared" si="175"/>
        <v>bat0</v>
      </c>
      <c r="J22" t="str">
        <f t="shared" si="175"/>
        <v>bat15</v>
      </c>
      <c r="K22" t="str">
        <f t="shared" si="175"/>
        <v>bat30</v>
      </c>
      <c r="L22" t="str">
        <f t="shared" ref="L22:M22" si="177">CONCATENATE("bat", L20)</f>
        <v>bat60</v>
      </c>
      <c r="M22" t="str">
        <f t="shared" si="177"/>
        <v>bat60</v>
      </c>
      <c r="N22" t="str">
        <f t="shared" si="175"/>
        <v>bat0</v>
      </c>
      <c r="O22" t="str">
        <f t="shared" si="175"/>
        <v>bat0</v>
      </c>
      <c r="P22" t="str">
        <f t="shared" si="175"/>
        <v>bat0</v>
      </c>
      <c r="Q22" t="str">
        <f t="shared" si="175"/>
        <v>bat0</v>
      </c>
      <c r="R22" t="str">
        <f t="shared" si="175"/>
        <v>bat0</v>
      </c>
      <c r="S22" t="str">
        <f t="shared" si="175"/>
        <v>bat0</v>
      </c>
      <c r="T22" t="str">
        <f t="shared" si="175"/>
        <v>bat0</v>
      </c>
      <c r="U22" t="str">
        <f t="shared" si="175"/>
        <v>bat0</v>
      </c>
      <c r="V22" t="str">
        <f t="shared" si="175"/>
        <v>bat0</v>
      </c>
      <c r="W22" t="str">
        <f t="shared" si="175"/>
        <v>bat0</v>
      </c>
      <c r="X22" t="str">
        <f t="shared" ref="X22:AC22" si="178">CONCATENATE("bat", X20)</f>
        <v>bat0</v>
      </c>
      <c r="Y22" t="str">
        <f t="shared" si="178"/>
        <v>bat15</v>
      </c>
      <c r="Z22" t="str">
        <f t="shared" si="178"/>
        <v>bat15</v>
      </c>
      <c r="AA22" t="str">
        <f t="shared" si="178"/>
        <v>bat30</v>
      </c>
      <c r="AB22" t="str">
        <f t="shared" si="178"/>
        <v>bat30</v>
      </c>
      <c r="AC22" t="str">
        <f t="shared" si="178"/>
        <v>bat60</v>
      </c>
      <c r="AD22" t="str">
        <f t="shared" ref="AD22:AF22" si="179">CONCATENATE("bat", AD20)</f>
        <v>bat60</v>
      </c>
      <c r="AE22" t="str">
        <f t="shared" ref="AE22" si="180">CONCATENATE("bat", AE20)</f>
        <v>bat60</v>
      </c>
      <c r="AF22" t="str">
        <f t="shared" si="179"/>
        <v>bat60</v>
      </c>
      <c r="AG22" t="str">
        <f t="shared" ref="AG22:AH22" si="181">CONCATENATE("bat", AG20)</f>
        <v>bat60</v>
      </c>
      <c r="AH22" t="str">
        <f t="shared" si="181"/>
        <v>bat60</v>
      </c>
      <c r="AI22" t="str">
        <f t="shared" ref="AI22" si="182">CONCATENATE("bat", AI20)</f>
        <v>bat60</v>
      </c>
      <c r="AJ22" t="str">
        <f t="shared" ref="AJ22:AK22" si="183">CONCATENATE("bat", AJ20)</f>
        <v>bat60</v>
      </c>
      <c r="AK22" t="str">
        <f t="shared" si="183"/>
        <v>bat0</v>
      </c>
      <c r="AL22" t="str">
        <f t="shared" ref="AL22" si="184">CONCATENATE("bat", AL20)</f>
        <v>bat0</v>
      </c>
      <c r="AM22" t="str">
        <f t="shared" ref="AM22:AN22" si="185">CONCATENATE("bat", AM20)</f>
        <v>bat0</v>
      </c>
      <c r="AN22" t="str">
        <f t="shared" si="185"/>
        <v>bat0</v>
      </c>
      <c r="AO22" t="str">
        <f t="shared" ref="AO22:AR22" si="186">CONCATENATE("bat", AO20)</f>
        <v>bat60</v>
      </c>
      <c r="AP22" t="str">
        <f t="shared" ref="AP22:AQ22" si="187">CONCATENATE("bat", AP20)</f>
        <v>bat60</v>
      </c>
      <c r="AQ22" t="str">
        <f t="shared" si="187"/>
        <v>bat60</v>
      </c>
      <c r="AR22" t="str">
        <f t="shared" si="186"/>
        <v>bat60</v>
      </c>
      <c r="AS22" t="str">
        <f t="shared" ref="AS22:AT22" si="188">CONCATENATE("bat", AS20)</f>
        <v>bat60</v>
      </c>
      <c r="AT22" t="str">
        <f t="shared" si="188"/>
        <v>bat60</v>
      </c>
      <c r="AU22" t="str">
        <f>CONCATENATE("bat", AU20)</f>
        <v>bat0</v>
      </c>
      <c r="AV22" t="str">
        <f>CONCATENATE("bat", AV20)</f>
        <v>bat0</v>
      </c>
      <c r="AW22" t="str">
        <f>CONCATENATE("bat", AW20)</f>
        <v>bat0</v>
      </c>
    </row>
    <row r="23" spans="1:49" x14ac:dyDescent="0.2">
      <c r="A23" s="21" t="s">
        <v>415</v>
      </c>
      <c r="B23" s="21" t="s">
        <v>270</v>
      </c>
      <c r="C23" s="21">
        <v>0</v>
      </c>
      <c r="D23" s="21">
        <v>0</v>
      </c>
      <c r="E23" s="21">
        <v>0</v>
      </c>
      <c r="F23" s="21">
        <v>0</v>
      </c>
      <c r="G23" s="21">
        <v>0</v>
      </c>
      <c r="H23" s="21">
        <v>0</v>
      </c>
      <c r="I23" s="21">
        <v>0</v>
      </c>
      <c r="J23" s="21">
        <v>0</v>
      </c>
      <c r="K23" s="21">
        <v>0</v>
      </c>
      <c r="L23" s="21">
        <v>0</v>
      </c>
      <c r="M23" s="21">
        <v>0</v>
      </c>
      <c r="N23" s="21">
        <v>0</v>
      </c>
      <c r="O23" s="21">
        <v>0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21">
        <v>0</v>
      </c>
      <c r="V23" s="21">
        <v>0</v>
      </c>
      <c r="W23" s="21">
        <v>0</v>
      </c>
      <c r="X23" s="21">
        <v>0</v>
      </c>
      <c r="Y23" s="21">
        <v>25</v>
      </c>
      <c r="Z23" s="21">
        <v>50</v>
      </c>
      <c r="AA23" s="21">
        <v>25</v>
      </c>
      <c r="AB23" s="21">
        <v>50</v>
      </c>
      <c r="AC23" s="21">
        <v>50</v>
      </c>
      <c r="AD23" s="21">
        <v>50</v>
      </c>
      <c r="AE23" s="21">
        <v>50</v>
      </c>
      <c r="AF23" s="21">
        <v>50</v>
      </c>
      <c r="AG23" s="21">
        <v>50</v>
      </c>
      <c r="AH23" s="21">
        <v>50</v>
      </c>
      <c r="AI23" s="21">
        <v>50</v>
      </c>
      <c r="AJ23" s="21">
        <v>50</v>
      </c>
      <c r="AK23" s="21">
        <v>0</v>
      </c>
      <c r="AL23" s="21">
        <v>0</v>
      </c>
      <c r="AM23" s="21">
        <v>0</v>
      </c>
      <c r="AN23" s="21">
        <v>0</v>
      </c>
      <c r="AO23" s="21">
        <v>0</v>
      </c>
      <c r="AP23" s="21">
        <v>0</v>
      </c>
      <c r="AQ23" s="21">
        <v>50</v>
      </c>
      <c r="AR23" s="21">
        <v>0</v>
      </c>
      <c r="AS23" s="21">
        <v>0</v>
      </c>
      <c r="AT23" s="21">
        <v>50</v>
      </c>
      <c r="AU23" s="21">
        <v>0</v>
      </c>
      <c r="AV23" s="21">
        <v>0</v>
      </c>
      <c r="AW23" s="21">
        <v>0</v>
      </c>
    </row>
    <row r="24" spans="1:49" x14ac:dyDescent="0.2">
      <c r="A24" t="s">
        <v>416</v>
      </c>
      <c r="B24" t="s">
        <v>272</v>
      </c>
      <c r="C24" t="s">
        <v>252</v>
      </c>
      <c r="D24" t="s">
        <v>252</v>
      </c>
      <c r="E24" t="s">
        <v>252</v>
      </c>
      <c r="F24" t="s">
        <v>252</v>
      </c>
      <c r="G24" t="s">
        <v>252</v>
      </c>
      <c r="H24" t="s">
        <v>252</v>
      </c>
      <c r="I24" t="s">
        <v>252</v>
      </c>
      <c r="J24" t="s">
        <v>252</v>
      </c>
      <c r="K24" t="s">
        <v>252</v>
      </c>
      <c r="L24" t="s">
        <v>252</v>
      </c>
      <c r="M24" t="s">
        <v>252</v>
      </c>
      <c r="N24" t="s">
        <v>252</v>
      </c>
      <c r="O24" t="s">
        <v>252</v>
      </c>
      <c r="P24" t="s">
        <v>252</v>
      </c>
      <c r="Q24" t="s">
        <v>252</v>
      </c>
      <c r="R24" t="s">
        <v>252</v>
      </c>
      <c r="S24" t="s">
        <v>252</v>
      </c>
      <c r="T24" t="s">
        <v>252</v>
      </c>
      <c r="U24" t="s">
        <v>252</v>
      </c>
      <c r="V24" t="s">
        <v>252</v>
      </c>
      <c r="W24" t="s">
        <v>252</v>
      </c>
      <c r="X24" t="s">
        <v>252</v>
      </c>
      <c r="Y24" t="s">
        <v>252</v>
      </c>
      <c r="Z24" t="s">
        <v>252</v>
      </c>
      <c r="AA24" t="s">
        <v>252</v>
      </c>
      <c r="AB24" t="s">
        <v>252</v>
      </c>
      <c r="AC24" t="s">
        <v>252</v>
      </c>
      <c r="AD24" t="s">
        <v>252</v>
      </c>
      <c r="AE24" t="s">
        <v>252</v>
      </c>
      <c r="AF24" t="s">
        <v>252</v>
      </c>
      <c r="AG24" t="s">
        <v>252</v>
      </c>
      <c r="AH24" t="s">
        <v>252</v>
      </c>
      <c r="AI24" t="s">
        <v>252</v>
      </c>
      <c r="AJ24" t="s">
        <v>252</v>
      </c>
      <c r="AK24" t="s">
        <v>252</v>
      </c>
      <c r="AL24" t="s">
        <v>252</v>
      </c>
      <c r="AM24" t="s">
        <v>252</v>
      </c>
      <c r="AN24" t="s">
        <v>252</v>
      </c>
      <c r="AO24" t="s">
        <v>252</v>
      </c>
      <c r="AP24" t="s">
        <v>252</v>
      </c>
      <c r="AQ24" t="s">
        <v>252</v>
      </c>
      <c r="AR24" t="s">
        <v>252</v>
      </c>
      <c r="AS24" t="s">
        <v>252</v>
      </c>
      <c r="AT24" t="s">
        <v>252</v>
      </c>
      <c r="AU24" t="s">
        <v>252</v>
      </c>
      <c r="AV24" t="s">
        <v>252</v>
      </c>
      <c r="AW24" t="s">
        <v>252</v>
      </c>
    </row>
    <row r="25" spans="1:49" x14ac:dyDescent="0.2">
      <c r="A25" t="s">
        <v>417</v>
      </c>
      <c r="C25" t="str">
        <f>IF(C23=0,"",CONCATENATE("B",C23,LEFT(C24,1),"c"))</f>
        <v/>
      </c>
      <c r="D25" t="str">
        <f t="shared" ref="D25:X25" si="189">IF(D23=0,"",CONCATENATE("B",D23,LEFT(D24,1),"c"))</f>
        <v/>
      </c>
      <c r="E25" t="str">
        <f t="shared" si="189"/>
        <v/>
      </c>
      <c r="F25" t="str">
        <f t="shared" ref="F25" si="190">IF(F23=0,"",CONCATENATE("B",F23,LEFT(F24,1),"c"))</f>
        <v/>
      </c>
      <c r="G25" t="str">
        <f t="shared" si="189"/>
        <v/>
      </c>
      <c r="H25" t="str">
        <f t="shared" si="189"/>
        <v/>
      </c>
      <c r="I25" t="str">
        <f t="shared" si="189"/>
        <v/>
      </c>
      <c r="J25" t="str">
        <f t="shared" si="189"/>
        <v/>
      </c>
      <c r="K25" t="str">
        <f t="shared" si="189"/>
        <v/>
      </c>
      <c r="L25" t="str">
        <f t="shared" ref="L25:M25" si="191">IF(L23=0,"",CONCATENATE("B",L23,LEFT(L24,1),"c"))</f>
        <v/>
      </c>
      <c r="M25" t="str">
        <f t="shared" si="191"/>
        <v/>
      </c>
      <c r="N25" t="str">
        <f t="shared" si="189"/>
        <v/>
      </c>
      <c r="O25" t="str">
        <f t="shared" si="189"/>
        <v/>
      </c>
      <c r="P25" t="str">
        <f t="shared" si="189"/>
        <v/>
      </c>
      <c r="Q25" t="str">
        <f t="shared" si="189"/>
        <v/>
      </c>
      <c r="R25" t="str">
        <f t="shared" si="189"/>
        <v/>
      </c>
      <c r="S25" t="str">
        <f t="shared" si="189"/>
        <v/>
      </c>
      <c r="T25" t="str">
        <f t="shared" si="189"/>
        <v/>
      </c>
      <c r="U25" t="str">
        <f t="shared" si="189"/>
        <v/>
      </c>
      <c r="V25" t="str">
        <f t="shared" si="189"/>
        <v/>
      </c>
      <c r="W25" t="str">
        <f t="shared" si="189"/>
        <v/>
      </c>
      <c r="X25" t="str">
        <f t="shared" si="189"/>
        <v/>
      </c>
      <c r="Y25" t="str">
        <f t="shared" ref="Y25:AG25" si="192">IF(Y23=0,"",CONCATENATE("B",Y23,LEFT(Y24,1),"c"))</f>
        <v>B25lc</v>
      </c>
      <c r="Z25" t="str">
        <f t="shared" si="192"/>
        <v>B50lc</v>
      </c>
      <c r="AA25" t="str">
        <f t="shared" si="192"/>
        <v>B25lc</v>
      </c>
      <c r="AB25" t="str">
        <f t="shared" si="192"/>
        <v>B50lc</v>
      </c>
      <c r="AC25" t="str">
        <f t="shared" si="192"/>
        <v>B50lc</v>
      </c>
      <c r="AD25" t="str">
        <f t="shared" ref="AD25:AF25" si="193">IF(AD23=0,"",CONCATENATE("B",AD23,LEFT(AD24,1),"c"))</f>
        <v>B50lc</v>
      </c>
      <c r="AE25" t="str">
        <f t="shared" ref="AE25" si="194">IF(AE23=0,"",CONCATENATE("B",AE23,LEFT(AE24,1),"c"))</f>
        <v>B50lc</v>
      </c>
      <c r="AF25" t="str">
        <f t="shared" si="193"/>
        <v>B50lc</v>
      </c>
      <c r="AG25" t="str">
        <f t="shared" si="192"/>
        <v>B50lc</v>
      </c>
      <c r="AH25" t="str">
        <f t="shared" ref="AH25:AK25" si="195">IF(AH23=0,"",CONCATENATE("B",AH23,LEFT(AH24,1),"c"))</f>
        <v>B50lc</v>
      </c>
      <c r="AI25" t="str">
        <f t="shared" ref="AI25" si="196">IF(AI23=0,"",CONCATENATE("B",AI23,LEFT(AI24,1),"c"))</f>
        <v>B50lc</v>
      </c>
      <c r="AJ25" t="str">
        <f t="shared" si="195"/>
        <v>B50lc</v>
      </c>
      <c r="AK25" t="str">
        <f t="shared" si="195"/>
        <v/>
      </c>
      <c r="AL25" t="str">
        <f t="shared" ref="AL25" si="197">IF(AL23=0,"",CONCATENATE("B",AL23,LEFT(AL24,1),"c"))</f>
        <v/>
      </c>
      <c r="AM25" t="str">
        <f t="shared" ref="AM25:AN25" si="198">IF(AM23=0,"",CONCATENATE("B",AM23,LEFT(AM24,1),"c"))</f>
        <v/>
      </c>
      <c r="AN25" t="str">
        <f t="shared" si="198"/>
        <v/>
      </c>
      <c r="AO25" t="str">
        <f t="shared" ref="AO25:AR25" si="199">IF(AO23=0,"",CONCATENATE("B",AO23,LEFT(AO24,1),"c"))</f>
        <v/>
      </c>
      <c r="AP25" t="str">
        <f t="shared" ref="AP25:AQ25" si="200">IF(AP23=0,"",CONCATENATE("B",AP23,LEFT(AP24,1),"c"))</f>
        <v/>
      </c>
      <c r="AQ25" t="str">
        <f t="shared" si="200"/>
        <v>B50lc</v>
      </c>
      <c r="AR25" t="str">
        <f t="shared" si="199"/>
        <v/>
      </c>
      <c r="AS25" t="str">
        <f t="shared" ref="AS25:AT25" si="201">IF(AS23=0,"",CONCATENATE("B",AS23,LEFT(AS24,1),"c"))</f>
        <v/>
      </c>
      <c r="AT25" t="str">
        <f t="shared" si="201"/>
        <v>B50lc</v>
      </c>
      <c r="AU25" t="str">
        <f>IF(AU23=0,"",CONCATENATE("B",AU23,LEFT(AU24,1),"c"))</f>
        <v/>
      </c>
      <c r="AV25" t="str">
        <f>IF(AV23=0,"",CONCATENATE("B",AV23,LEFT(AV24,1),"c"))</f>
        <v/>
      </c>
      <c r="AW25" t="str">
        <f>IF(AW23=0,"",CONCATENATE("B",AW23,LEFT(AW24,1),"c"))</f>
        <v/>
      </c>
    </row>
    <row r="26" spans="1:49" x14ac:dyDescent="0.2">
      <c r="A26" t="s">
        <v>418</v>
      </c>
      <c r="C26" t="str">
        <f>CONCATENATE("battery",UPPER(LEFT(C24,1)), "C",C23)</f>
        <v>batteryLC0</v>
      </c>
      <c r="D26" t="str">
        <f t="shared" ref="D26:X26" si="202">CONCATENATE("battery",UPPER(LEFT(D24,1)), "C",D23)</f>
        <v>batteryLC0</v>
      </c>
      <c r="E26" t="str">
        <f t="shared" si="202"/>
        <v>batteryLC0</v>
      </c>
      <c r="F26" t="str">
        <f t="shared" ref="F26" si="203">CONCATENATE("battery",UPPER(LEFT(F24,1)), "C",F23)</f>
        <v>batteryLC0</v>
      </c>
      <c r="G26" t="str">
        <f t="shared" si="202"/>
        <v>batteryLC0</v>
      </c>
      <c r="H26" t="str">
        <f t="shared" si="202"/>
        <v>batteryLC0</v>
      </c>
      <c r="I26" t="str">
        <f t="shared" si="202"/>
        <v>batteryLC0</v>
      </c>
      <c r="J26" t="str">
        <f t="shared" si="202"/>
        <v>batteryLC0</v>
      </c>
      <c r="K26" t="str">
        <f t="shared" si="202"/>
        <v>batteryLC0</v>
      </c>
      <c r="L26" t="str">
        <f t="shared" ref="L26:M26" si="204">CONCATENATE("battery",UPPER(LEFT(L24,1)), "C",L23)</f>
        <v>batteryLC0</v>
      </c>
      <c r="M26" t="str">
        <f t="shared" si="204"/>
        <v>batteryLC0</v>
      </c>
      <c r="N26" t="str">
        <f t="shared" si="202"/>
        <v>batteryLC0</v>
      </c>
      <c r="O26" t="str">
        <f t="shared" si="202"/>
        <v>batteryLC0</v>
      </c>
      <c r="P26" t="str">
        <f t="shared" si="202"/>
        <v>batteryLC0</v>
      </c>
      <c r="Q26" t="str">
        <f t="shared" si="202"/>
        <v>batteryLC0</v>
      </c>
      <c r="R26" t="str">
        <f t="shared" si="202"/>
        <v>batteryLC0</v>
      </c>
      <c r="S26" t="str">
        <f t="shared" si="202"/>
        <v>batteryLC0</v>
      </c>
      <c r="T26" t="str">
        <f t="shared" si="202"/>
        <v>batteryLC0</v>
      </c>
      <c r="U26" t="str">
        <f t="shared" si="202"/>
        <v>batteryLC0</v>
      </c>
      <c r="V26" t="str">
        <f t="shared" si="202"/>
        <v>batteryLC0</v>
      </c>
      <c r="W26" t="str">
        <f t="shared" si="202"/>
        <v>batteryLC0</v>
      </c>
      <c r="X26" t="str">
        <f t="shared" si="202"/>
        <v>batteryLC0</v>
      </c>
      <c r="Y26" t="str">
        <f t="shared" ref="Y26:AG26" si="205">CONCATENATE("battery",UPPER(LEFT(Y24,1)), "C",Y23)</f>
        <v>batteryLC25</v>
      </c>
      <c r="Z26" t="str">
        <f t="shared" si="205"/>
        <v>batteryLC50</v>
      </c>
      <c r="AA26" t="str">
        <f t="shared" si="205"/>
        <v>batteryLC25</v>
      </c>
      <c r="AB26" t="str">
        <f t="shared" si="205"/>
        <v>batteryLC50</v>
      </c>
      <c r="AC26" t="str">
        <f t="shared" si="205"/>
        <v>batteryLC50</v>
      </c>
      <c r="AD26" t="str">
        <f t="shared" ref="AD26:AF26" si="206">CONCATENATE("battery",UPPER(LEFT(AD24,1)), "C",AD23)</f>
        <v>batteryLC50</v>
      </c>
      <c r="AE26" t="str">
        <f t="shared" ref="AE26" si="207">CONCATENATE("battery",UPPER(LEFT(AE24,1)), "C",AE23)</f>
        <v>batteryLC50</v>
      </c>
      <c r="AF26" t="str">
        <f t="shared" si="206"/>
        <v>batteryLC50</v>
      </c>
      <c r="AG26" t="str">
        <f t="shared" si="205"/>
        <v>batteryLC50</v>
      </c>
      <c r="AH26" t="str">
        <f t="shared" ref="AH26:AK26" si="208">CONCATENATE("battery",UPPER(LEFT(AH24,1)), "C",AH23)</f>
        <v>batteryLC50</v>
      </c>
      <c r="AI26" t="str">
        <f t="shared" ref="AI26" si="209">CONCATENATE("battery",UPPER(LEFT(AI24,1)), "C",AI23)</f>
        <v>batteryLC50</v>
      </c>
      <c r="AJ26" t="str">
        <f t="shared" si="208"/>
        <v>batteryLC50</v>
      </c>
      <c r="AK26" t="str">
        <f t="shared" si="208"/>
        <v>batteryLC0</v>
      </c>
      <c r="AL26" t="str">
        <f t="shared" ref="AL26" si="210">CONCATENATE("battery",UPPER(LEFT(AL24,1)), "C",AL23)</f>
        <v>batteryLC0</v>
      </c>
      <c r="AM26" t="str">
        <f t="shared" ref="AM26:AN26" si="211">CONCATENATE("battery",UPPER(LEFT(AM24,1)), "C",AM23)</f>
        <v>batteryLC0</v>
      </c>
      <c r="AN26" t="str">
        <f t="shared" si="211"/>
        <v>batteryLC0</v>
      </c>
      <c r="AO26" t="str">
        <f t="shared" ref="AO26:AR26" si="212">CONCATENATE("battery",UPPER(LEFT(AO24,1)), "C",AO23)</f>
        <v>batteryLC0</v>
      </c>
      <c r="AP26" t="str">
        <f t="shared" ref="AP26:AQ26" si="213">CONCATENATE("battery",UPPER(LEFT(AP24,1)), "C",AP23)</f>
        <v>batteryLC0</v>
      </c>
      <c r="AQ26" t="str">
        <f t="shared" si="213"/>
        <v>batteryLC50</v>
      </c>
      <c r="AR26" t="str">
        <f t="shared" si="212"/>
        <v>batteryLC0</v>
      </c>
      <c r="AS26" t="str">
        <f t="shared" ref="AS26:AT26" si="214">CONCATENATE("battery",UPPER(LEFT(AS24,1)), "C",AS23)</f>
        <v>batteryLC0</v>
      </c>
      <c r="AT26" t="str">
        <f t="shared" si="214"/>
        <v>batteryLC50</v>
      </c>
      <c r="AU26" t="str">
        <f>CONCATENATE("battery",UPPER(LEFT(AU24,1)), "C",AU23)</f>
        <v>batteryLC0</v>
      </c>
      <c r="AV26" t="str">
        <f>CONCATENATE("battery",UPPER(LEFT(AV24,1)), "C",AV23)</f>
        <v>batteryLC0</v>
      </c>
      <c r="AW26" t="str">
        <f>CONCATENATE("battery",UPPER(LEFT(AW24,1)), "C",AW23)</f>
        <v>batteryLC0</v>
      </c>
    </row>
    <row r="27" spans="1:49" x14ac:dyDescent="0.2">
      <c r="A27" s="21" t="s">
        <v>269</v>
      </c>
      <c r="B27" s="21" t="s">
        <v>270</v>
      </c>
      <c r="C27" s="21">
        <v>0</v>
      </c>
      <c r="D27" s="21">
        <v>0</v>
      </c>
      <c r="E27" s="21">
        <v>0</v>
      </c>
      <c r="F27" s="21">
        <v>0</v>
      </c>
      <c r="G27" s="21">
        <v>0</v>
      </c>
      <c r="H27" s="21">
        <v>0</v>
      </c>
      <c r="I27" s="21">
        <v>0</v>
      </c>
      <c r="J27" s="21">
        <v>0</v>
      </c>
      <c r="K27" s="21">
        <v>0</v>
      </c>
      <c r="L27" s="21">
        <v>0</v>
      </c>
      <c r="M27" s="21">
        <v>0</v>
      </c>
      <c r="N27" s="21">
        <v>10</v>
      </c>
      <c r="O27" s="21">
        <v>20</v>
      </c>
      <c r="P27" s="21">
        <v>30</v>
      </c>
      <c r="Q27" s="21">
        <v>0</v>
      </c>
      <c r="R27" s="21">
        <v>0</v>
      </c>
      <c r="S27" s="21">
        <v>0</v>
      </c>
      <c r="T27" s="21">
        <v>30</v>
      </c>
      <c r="U27" s="21">
        <v>0</v>
      </c>
      <c r="V27" s="21">
        <v>0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30</v>
      </c>
      <c r="AE27" s="21">
        <v>0</v>
      </c>
      <c r="AF27" s="21">
        <v>30</v>
      </c>
      <c r="AG27" s="21">
        <v>0</v>
      </c>
      <c r="AH27" s="21">
        <v>30</v>
      </c>
      <c r="AI27" s="21">
        <v>0</v>
      </c>
      <c r="AJ27" s="21">
        <v>30</v>
      </c>
      <c r="AK27" s="21">
        <v>30</v>
      </c>
      <c r="AL27" s="21">
        <v>30</v>
      </c>
      <c r="AM27" s="21">
        <v>0</v>
      </c>
      <c r="AN27" s="21">
        <v>30</v>
      </c>
      <c r="AO27" s="21">
        <v>0</v>
      </c>
      <c r="AP27" s="21">
        <v>30</v>
      </c>
      <c r="AQ27" s="21">
        <v>30</v>
      </c>
      <c r="AR27" s="21">
        <v>0</v>
      </c>
      <c r="AS27" s="21">
        <v>30</v>
      </c>
      <c r="AT27" s="21">
        <v>30</v>
      </c>
      <c r="AU27" s="21">
        <v>0</v>
      </c>
      <c r="AV27" s="21">
        <v>0</v>
      </c>
      <c r="AW27" s="21">
        <v>0</v>
      </c>
    </row>
    <row r="28" spans="1:49" x14ac:dyDescent="0.2">
      <c r="A28" t="s">
        <v>271</v>
      </c>
      <c r="B28" t="s">
        <v>272</v>
      </c>
      <c r="C28" t="s">
        <v>252</v>
      </c>
      <c r="D28" t="s">
        <v>252</v>
      </c>
      <c r="E28" t="s">
        <v>252</v>
      </c>
      <c r="F28" t="s">
        <v>252</v>
      </c>
      <c r="G28" t="s">
        <v>252</v>
      </c>
      <c r="H28" t="s">
        <v>252</v>
      </c>
      <c r="I28" t="s">
        <v>252</v>
      </c>
      <c r="J28" t="s">
        <v>252</v>
      </c>
      <c r="K28" t="s">
        <v>252</v>
      </c>
      <c r="L28" t="s">
        <v>252</v>
      </c>
      <c r="M28" t="s">
        <v>252</v>
      </c>
      <c r="N28" t="s">
        <v>252</v>
      </c>
      <c r="O28" t="s">
        <v>252</v>
      </c>
      <c r="P28" t="s">
        <v>252</v>
      </c>
      <c r="Q28" t="s">
        <v>252</v>
      </c>
      <c r="R28" t="s">
        <v>252</v>
      </c>
      <c r="S28" t="s">
        <v>252</v>
      </c>
      <c r="T28" t="s">
        <v>252</v>
      </c>
      <c r="U28" t="s">
        <v>252</v>
      </c>
      <c r="V28" t="s">
        <v>252</v>
      </c>
      <c r="W28" t="s">
        <v>252</v>
      </c>
      <c r="X28" t="s">
        <v>252</v>
      </c>
      <c r="Y28" t="s">
        <v>252</v>
      </c>
      <c r="Z28" t="s">
        <v>252</v>
      </c>
      <c r="AA28" t="s">
        <v>252</v>
      </c>
      <c r="AB28" t="s">
        <v>252</v>
      </c>
      <c r="AC28" t="s">
        <v>252</v>
      </c>
      <c r="AD28" t="s">
        <v>252</v>
      </c>
      <c r="AE28" t="s">
        <v>252</v>
      </c>
      <c r="AF28" t="s">
        <v>252</v>
      </c>
      <c r="AG28" t="s">
        <v>252</v>
      </c>
      <c r="AH28" t="s">
        <v>252</v>
      </c>
      <c r="AI28" t="s">
        <v>252</v>
      </c>
      <c r="AJ28" t="s">
        <v>252</v>
      </c>
      <c r="AK28" t="s">
        <v>252</v>
      </c>
      <c r="AL28" t="s">
        <v>252</v>
      </c>
      <c r="AM28" t="s">
        <v>252</v>
      </c>
      <c r="AN28" t="s">
        <v>252</v>
      </c>
      <c r="AO28" t="s">
        <v>252</v>
      </c>
      <c r="AP28" t="s">
        <v>252</v>
      </c>
      <c r="AQ28" t="s">
        <v>252</v>
      </c>
      <c r="AR28" t="s">
        <v>252</v>
      </c>
      <c r="AS28" t="s">
        <v>252</v>
      </c>
      <c r="AT28" t="s">
        <v>252</v>
      </c>
      <c r="AU28" t="s">
        <v>252</v>
      </c>
      <c r="AV28" t="s">
        <v>252</v>
      </c>
      <c r="AW28" t="s">
        <v>252</v>
      </c>
    </row>
    <row r="29" spans="1:49" x14ac:dyDescent="0.2">
      <c r="A29" t="s">
        <v>273</v>
      </c>
      <c r="C29" t="str">
        <f t="shared" ref="C29:W29" si="215">IF(C27=0,"",CONCATENATE("W",C27,LEFT(C28,1),"c"))</f>
        <v/>
      </c>
      <c r="D29" t="str">
        <f t="shared" si="215"/>
        <v/>
      </c>
      <c r="E29" t="str">
        <f t="shared" si="215"/>
        <v/>
      </c>
      <c r="F29" t="str">
        <f t="shared" ref="F29" si="216">IF(F27=0,"",CONCATENATE("W",F27,LEFT(F28,1),"c"))</f>
        <v/>
      </c>
      <c r="G29" t="str">
        <f t="shared" si="215"/>
        <v/>
      </c>
      <c r="H29" t="str">
        <f t="shared" si="215"/>
        <v/>
      </c>
      <c r="I29" t="str">
        <f t="shared" si="215"/>
        <v/>
      </c>
      <c r="J29" t="str">
        <f t="shared" si="215"/>
        <v/>
      </c>
      <c r="K29" t="str">
        <f t="shared" si="215"/>
        <v/>
      </c>
      <c r="L29" t="str">
        <f t="shared" ref="L29:M29" si="217">IF(L27=0,"",CONCATENATE("W",L27,LEFT(L28,1),"c"))</f>
        <v/>
      </c>
      <c r="M29" t="str">
        <f t="shared" si="217"/>
        <v/>
      </c>
      <c r="N29" t="str">
        <f t="shared" si="215"/>
        <v>W10lc</v>
      </c>
      <c r="O29" t="str">
        <f t="shared" si="215"/>
        <v>W20lc</v>
      </c>
      <c r="P29" t="str">
        <f t="shared" si="215"/>
        <v>W30lc</v>
      </c>
      <c r="Q29" t="str">
        <f t="shared" si="215"/>
        <v/>
      </c>
      <c r="R29" t="str">
        <f t="shared" si="215"/>
        <v/>
      </c>
      <c r="S29" t="str">
        <f t="shared" si="215"/>
        <v/>
      </c>
      <c r="T29" t="str">
        <f t="shared" si="215"/>
        <v>W30lc</v>
      </c>
      <c r="U29" t="str">
        <f t="shared" si="215"/>
        <v/>
      </c>
      <c r="V29" t="str">
        <f t="shared" si="215"/>
        <v/>
      </c>
      <c r="W29" t="str">
        <f t="shared" si="215"/>
        <v/>
      </c>
      <c r="X29" t="str">
        <f t="shared" ref="X29:AC29" si="218">IF(X27=0,"",CONCATENATE("W",X27,LEFT(X28,1),"c"))</f>
        <v/>
      </c>
      <c r="Y29" t="str">
        <f t="shared" si="218"/>
        <v/>
      </c>
      <c r="Z29" t="str">
        <f t="shared" si="218"/>
        <v/>
      </c>
      <c r="AA29" t="str">
        <f t="shared" si="218"/>
        <v/>
      </c>
      <c r="AB29" t="str">
        <f t="shared" si="218"/>
        <v/>
      </c>
      <c r="AC29" t="str">
        <f t="shared" si="218"/>
        <v/>
      </c>
      <c r="AD29" t="str">
        <f t="shared" ref="AD29:AF29" si="219">IF(AD27=0,"",CONCATENATE("W",AD27,LEFT(AD28,1),"c"))</f>
        <v>W30lc</v>
      </c>
      <c r="AE29" t="str">
        <f t="shared" ref="AE29" si="220">IF(AE27=0,"",CONCATENATE("W",AE27,LEFT(AE28,1),"c"))</f>
        <v/>
      </c>
      <c r="AF29" t="str">
        <f t="shared" si="219"/>
        <v>W30lc</v>
      </c>
      <c r="AG29" t="str">
        <f t="shared" ref="AG29:AH29" si="221">IF(AG27=0,"",CONCATENATE("W",AG27,LEFT(AG28,1),"c"))</f>
        <v/>
      </c>
      <c r="AH29" t="str">
        <f t="shared" si="221"/>
        <v>W30lc</v>
      </c>
      <c r="AI29" t="str">
        <f t="shared" ref="AI29" si="222">IF(AI27=0,"",CONCATENATE("W",AI27,LEFT(AI28,1),"c"))</f>
        <v/>
      </c>
      <c r="AJ29" t="str">
        <f t="shared" ref="AJ29:AK29" si="223">IF(AJ27=0,"",CONCATENATE("W",AJ27,LEFT(AJ28,1),"c"))</f>
        <v>W30lc</v>
      </c>
      <c r="AK29" t="str">
        <f t="shared" si="223"/>
        <v>W30lc</v>
      </c>
      <c r="AL29" t="str">
        <f t="shared" ref="AL29" si="224">IF(AL27=0,"",CONCATENATE("W",AL27,LEFT(AL28,1),"c"))</f>
        <v>W30lc</v>
      </c>
      <c r="AM29" t="str">
        <f t="shared" ref="AM29:AN29" si="225">IF(AM27=0,"",CONCATENATE("W",AM27,LEFT(AM28,1),"c"))</f>
        <v/>
      </c>
      <c r="AN29" t="str">
        <f t="shared" si="225"/>
        <v>W30lc</v>
      </c>
      <c r="AO29" t="str">
        <f t="shared" ref="AO29:AR29" si="226">IF(AO27=0,"",CONCATENATE("W",AO27,LEFT(AO28,1),"c"))</f>
        <v/>
      </c>
      <c r="AP29" t="str">
        <f t="shared" ref="AP29:AQ29" si="227">IF(AP27=0,"",CONCATENATE("W",AP27,LEFT(AP28,1),"c"))</f>
        <v>W30lc</v>
      </c>
      <c r="AQ29" t="str">
        <f t="shared" si="227"/>
        <v>W30lc</v>
      </c>
      <c r="AR29" t="str">
        <f t="shared" si="226"/>
        <v/>
      </c>
      <c r="AS29" t="str">
        <f t="shared" ref="AS29:AT29" si="228">IF(AS27=0,"",CONCATENATE("W",AS27,LEFT(AS28,1),"c"))</f>
        <v>W30lc</v>
      </c>
      <c r="AT29" t="str">
        <f t="shared" si="228"/>
        <v>W30lc</v>
      </c>
      <c r="AU29" t="str">
        <f>IF(AU27=0,"",CONCATENATE("W",AU27,LEFT(AU28,1),"c"))</f>
        <v/>
      </c>
      <c r="AV29" t="str">
        <f>IF(AV27=0,"",CONCATENATE("W",AV27,LEFT(AV28,1),"c"))</f>
        <v/>
      </c>
      <c r="AW29" t="str">
        <f>IF(AW27=0,"",CONCATENATE("W",AW27,LEFT(AW28,1),"c"))</f>
        <v/>
      </c>
    </row>
    <row r="30" spans="1:49" x14ac:dyDescent="0.2">
      <c r="A30" t="s">
        <v>274</v>
      </c>
      <c r="C30" t="str">
        <f t="shared" ref="C30:W30" si="229">CONCATENATE("wind",UPPER(LEFT(C28,1)), "C",C27)</f>
        <v>windLC0</v>
      </c>
      <c r="D30" t="str">
        <f t="shared" si="229"/>
        <v>windLC0</v>
      </c>
      <c r="E30" t="str">
        <f t="shared" si="229"/>
        <v>windLC0</v>
      </c>
      <c r="F30" t="str">
        <f t="shared" ref="F30" si="230">CONCATENATE("wind",UPPER(LEFT(F28,1)), "C",F27)</f>
        <v>windLC0</v>
      </c>
      <c r="G30" t="str">
        <f t="shared" si="229"/>
        <v>windLC0</v>
      </c>
      <c r="H30" t="str">
        <f t="shared" si="229"/>
        <v>windLC0</v>
      </c>
      <c r="I30" t="str">
        <f t="shared" si="229"/>
        <v>windLC0</v>
      </c>
      <c r="J30" t="str">
        <f t="shared" si="229"/>
        <v>windLC0</v>
      </c>
      <c r="K30" t="str">
        <f t="shared" si="229"/>
        <v>windLC0</v>
      </c>
      <c r="L30" t="str">
        <f t="shared" ref="L30:M30" si="231">CONCATENATE("wind",UPPER(LEFT(L28,1)), "C",L27)</f>
        <v>windLC0</v>
      </c>
      <c r="M30" t="str">
        <f t="shared" si="231"/>
        <v>windLC0</v>
      </c>
      <c r="N30" t="str">
        <f t="shared" si="229"/>
        <v>windLC10</v>
      </c>
      <c r="O30" t="str">
        <f t="shared" si="229"/>
        <v>windLC20</v>
      </c>
      <c r="P30" t="str">
        <f t="shared" si="229"/>
        <v>windLC30</v>
      </c>
      <c r="Q30" t="str">
        <f t="shared" si="229"/>
        <v>windLC0</v>
      </c>
      <c r="R30" t="str">
        <f t="shared" si="229"/>
        <v>windLC0</v>
      </c>
      <c r="S30" t="str">
        <f t="shared" si="229"/>
        <v>windLC0</v>
      </c>
      <c r="T30" t="str">
        <f t="shared" si="229"/>
        <v>windLC30</v>
      </c>
      <c r="U30" t="str">
        <f t="shared" si="229"/>
        <v>windLC0</v>
      </c>
      <c r="V30" t="str">
        <f t="shared" si="229"/>
        <v>windLC0</v>
      </c>
      <c r="W30" t="str">
        <f t="shared" si="229"/>
        <v>windLC0</v>
      </c>
      <c r="X30" t="str">
        <f t="shared" ref="X30:AC30" si="232">CONCATENATE("wind",UPPER(LEFT(X28,1)), "C",X27)</f>
        <v>windLC0</v>
      </c>
      <c r="Y30" t="str">
        <f t="shared" si="232"/>
        <v>windLC0</v>
      </c>
      <c r="Z30" t="str">
        <f t="shared" si="232"/>
        <v>windLC0</v>
      </c>
      <c r="AA30" t="str">
        <f t="shared" si="232"/>
        <v>windLC0</v>
      </c>
      <c r="AB30" t="str">
        <f t="shared" si="232"/>
        <v>windLC0</v>
      </c>
      <c r="AC30" t="str">
        <f t="shared" si="232"/>
        <v>windLC0</v>
      </c>
      <c r="AD30" t="str">
        <f t="shared" ref="AD30:AF30" si="233">CONCATENATE("wind",UPPER(LEFT(AD28,1)), "C",AD27)</f>
        <v>windLC30</v>
      </c>
      <c r="AE30" t="str">
        <f t="shared" ref="AE30" si="234">CONCATENATE("wind",UPPER(LEFT(AE28,1)), "C",AE27)</f>
        <v>windLC0</v>
      </c>
      <c r="AF30" t="str">
        <f t="shared" si="233"/>
        <v>windLC30</v>
      </c>
      <c r="AG30" t="str">
        <f t="shared" ref="AG30:AH30" si="235">CONCATENATE("wind",UPPER(LEFT(AG28,1)), "C",AG27)</f>
        <v>windLC0</v>
      </c>
      <c r="AH30" t="str">
        <f t="shared" si="235"/>
        <v>windLC30</v>
      </c>
      <c r="AI30" t="str">
        <f t="shared" ref="AI30" si="236">CONCATENATE("wind",UPPER(LEFT(AI28,1)), "C",AI27)</f>
        <v>windLC0</v>
      </c>
      <c r="AJ30" t="str">
        <f t="shared" ref="AJ30:AK30" si="237">CONCATENATE("wind",UPPER(LEFT(AJ28,1)), "C",AJ27)</f>
        <v>windLC30</v>
      </c>
      <c r="AK30" t="str">
        <f t="shared" si="237"/>
        <v>windLC30</v>
      </c>
      <c r="AL30" t="str">
        <f t="shared" ref="AL30" si="238">CONCATENATE("wind",UPPER(LEFT(AL28,1)), "C",AL27)</f>
        <v>windLC30</v>
      </c>
      <c r="AM30" t="str">
        <f t="shared" ref="AM30:AN30" si="239">CONCATENATE("wind",UPPER(LEFT(AM28,1)), "C",AM27)</f>
        <v>windLC0</v>
      </c>
      <c r="AN30" t="str">
        <f t="shared" si="239"/>
        <v>windLC30</v>
      </c>
      <c r="AO30" t="str">
        <f t="shared" ref="AO30:AR30" si="240">CONCATENATE("wind",UPPER(LEFT(AO28,1)), "C",AO27)</f>
        <v>windLC0</v>
      </c>
      <c r="AP30" t="str">
        <f t="shared" ref="AP30:AQ30" si="241">CONCATENATE("wind",UPPER(LEFT(AP28,1)), "C",AP27)</f>
        <v>windLC30</v>
      </c>
      <c r="AQ30" t="str">
        <f t="shared" si="241"/>
        <v>windLC30</v>
      </c>
      <c r="AR30" t="str">
        <f t="shared" si="240"/>
        <v>windLC0</v>
      </c>
      <c r="AS30" t="str">
        <f t="shared" ref="AS30:AT30" si="242">CONCATENATE("wind",UPPER(LEFT(AS28,1)), "C",AS27)</f>
        <v>windLC30</v>
      </c>
      <c r="AT30" t="str">
        <f t="shared" si="242"/>
        <v>windLC30</v>
      </c>
      <c r="AU30" t="str">
        <f>CONCATENATE("wind",UPPER(LEFT(AU28,1)), "C",AU27)</f>
        <v>windLC0</v>
      </c>
      <c r="AV30" t="str">
        <f>CONCATENATE("wind",UPPER(LEFT(AV28,1)), "C",AV27)</f>
        <v>windLC0</v>
      </c>
      <c r="AW30" t="str">
        <f>CONCATENATE("wind",UPPER(LEFT(AW28,1)), "C",AW27)</f>
        <v>windLC0</v>
      </c>
    </row>
    <row r="31" spans="1:49" x14ac:dyDescent="0.2">
      <c r="A31" s="21" t="s">
        <v>275</v>
      </c>
      <c r="B31" s="21" t="s">
        <v>270</v>
      </c>
      <c r="C31" s="21">
        <v>0</v>
      </c>
      <c r="D31" s="21">
        <v>0</v>
      </c>
      <c r="E31" s="21">
        <v>0</v>
      </c>
      <c r="F31" s="21">
        <v>0</v>
      </c>
      <c r="G31" s="21">
        <v>0</v>
      </c>
      <c r="H31" s="21">
        <v>0</v>
      </c>
      <c r="I31" s="21">
        <v>0</v>
      </c>
      <c r="J31" s="21">
        <v>0</v>
      </c>
      <c r="K31" s="21">
        <v>0</v>
      </c>
      <c r="L31" s="21">
        <v>0</v>
      </c>
      <c r="M31" s="21">
        <v>0</v>
      </c>
      <c r="N31" s="21">
        <v>0</v>
      </c>
      <c r="O31" s="21">
        <v>0</v>
      </c>
      <c r="P31" s="21">
        <v>0</v>
      </c>
      <c r="Q31" s="21">
        <v>10</v>
      </c>
      <c r="R31" s="21">
        <v>20</v>
      </c>
      <c r="S31" s="21">
        <v>30</v>
      </c>
      <c r="T31" s="21">
        <v>30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>
        <v>0</v>
      </c>
      <c r="AB31" s="21">
        <v>0</v>
      </c>
      <c r="AC31" s="21">
        <v>0</v>
      </c>
      <c r="AD31" s="21">
        <v>0</v>
      </c>
      <c r="AE31" s="21">
        <v>30</v>
      </c>
      <c r="AF31" s="21">
        <v>30</v>
      </c>
      <c r="AG31" s="21">
        <v>0</v>
      </c>
      <c r="AH31" s="21">
        <v>0</v>
      </c>
      <c r="AI31" s="21">
        <v>30</v>
      </c>
      <c r="AJ31" s="21">
        <v>30</v>
      </c>
      <c r="AK31" s="21">
        <v>30</v>
      </c>
      <c r="AL31" s="21">
        <v>0</v>
      </c>
      <c r="AM31" s="21">
        <v>30</v>
      </c>
      <c r="AN31" s="21">
        <v>30</v>
      </c>
      <c r="AO31" s="21">
        <v>0</v>
      </c>
      <c r="AP31" s="21">
        <v>30</v>
      </c>
      <c r="AQ31" s="21">
        <v>30</v>
      </c>
      <c r="AR31" s="21">
        <v>0</v>
      </c>
      <c r="AS31" s="21">
        <v>30</v>
      </c>
      <c r="AT31" s="21">
        <v>30</v>
      </c>
      <c r="AU31" s="21">
        <v>0</v>
      </c>
      <c r="AV31" s="21">
        <v>0</v>
      </c>
      <c r="AW31" s="21">
        <v>0</v>
      </c>
    </row>
    <row r="32" spans="1:49" x14ac:dyDescent="0.2">
      <c r="A32" t="s">
        <v>276</v>
      </c>
      <c r="B32" t="s">
        <v>272</v>
      </c>
      <c r="C32" t="s">
        <v>252</v>
      </c>
      <c r="D32" t="s">
        <v>252</v>
      </c>
      <c r="E32" t="s">
        <v>252</v>
      </c>
      <c r="F32" t="s">
        <v>252</v>
      </c>
      <c r="G32" t="s">
        <v>252</v>
      </c>
      <c r="H32" t="s">
        <v>252</v>
      </c>
      <c r="I32" t="s">
        <v>252</v>
      </c>
      <c r="J32" t="s">
        <v>252</v>
      </c>
      <c r="K32" t="s">
        <v>252</v>
      </c>
      <c r="L32" t="s">
        <v>252</v>
      </c>
      <c r="M32" t="s">
        <v>252</v>
      </c>
      <c r="N32" t="s">
        <v>252</v>
      </c>
      <c r="O32" t="s">
        <v>252</v>
      </c>
      <c r="P32" t="s">
        <v>252</v>
      </c>
      <c r="Q32" t="s">
        <v>252</v>
      </c>
      <c r="R32" t="s">
        <v>252</v>
      </c>
      <c r="S32" t="s">
        <v>252</v>
      </c>
      <c r="T32" t="s">
        <v>252</v>
      </c>
      <c r="U32" t="s">
        <v>252</v>
      </c>
      <c r="V32" t="s">
        <v>252</v>
      </c>
      <c r="W32" t="s">
        <v>252</v>
      </c>
      <c r="X32" t="s">
        <v>252</v>
      </c>
      <c r="Y32" t="s">
        <v>252</v>
      </c>
      <c r="Z32" t="s">
        <v>252</v>
      </c>
      <c r="AA32" t="s">
        <v>252</v>
      </c>
      <c r="AB32" t="s">
        <v>252</v>
      </c>
      <c r="AC32" t="s">
        <v>252</v>
      </c>
      <c r="AD32" t="s">
        <v>252</v>
      </c>
      <c r="AE32" t="s">
        <v>252</v>
      </c>
      <c r="AF32" t="s">
        <v>252</v>
      </c>
      <c r="AG32" t="s">
        <v>252</v>
      </c>
      <c r="AH32" t="s">
        <v>252</v>
      </c>
      <c r="AI32" t="s">
        <v>252</v>
      </c>
      <c r="AJ32" t="s">
        <v>252</v>
      </c>
      <c r="AK32" t="s">
        <v>252</v>
      </c>
      <c r="AL32" t="s">
        <v>252</v>
      </c>
      <c r="AM32" t="s">
        <v>252</v>
      </c>
      <c r="AN32" t="s">
        <v>252</v>
      </c>
      <c r="AO32" t="s">
        <v>252</v>
      </c>
      <c r="AP32" t="s">
        <v>252</v>
      </c>
      <c r="AQ32" t="s">
        <v>252</v>
      </c>
      <c r="AR32" t="s">
        <v>252</v>
      </c>
      <c r="AS32" t="s">
        <v>252</v>
      </c>
      <c r="AT32" t="s">
        <v>252</v>
      </c>
      <c r="AU32" t="s">
        <v>252</v>
      </c>
      <c r="AV32" t="s">
        <v>252</v>
      </c>
      <c r="AW32" t="s">
        <v>252</v>
      </c>
    </row>
    <row r="33" spans="1:49" x14ac:dyDescent="0.2">
      <c r="A33" t="s">
        <v>277</v>
      </c>
      <c r="C33" t="str">
        <f t="shared" ref="C33" si="243">IF(C31=0,"",CONCATENATE("S",C31,LEFT(C32,1),"c"))</f>
        <v/>
      </c>
      <c r="D33" t="str">
        <f t="shared" ref="D33" si="244">IF(D31=0,"",CONCATENATE("S",D31,LEFT(D32,1),"c"))</f>
        <v/>
      </c>
      <c r="E33" t="str">
        <f t="shared" ref="E33" si="245">IF(E31=0,"",CONCATENATE("S",E31,LEFT(E32,1),"c"))</f>
        <v/>
      </c>
      <c r="F33" t="str">
        <f t="shared" ref="F33" si="246">IF(F31=0,"",CONCATENATE("S",F31,LEFT(F32,1),"c"))</f>
        <v/>
      </c>
      <c r="G33" t="str">
        <f t="shared" ref="G33" si="247">IF(G31=0,"",CONCATENATE("S",G31,LEFT(G32,1),"c"))</f>
        <v/>
      </c>
      <c r="H33" t="str">
        <f t="shared" ref="H33" si="248">IF(H31=0,"",CONCATENATE("S",H31,LEFT(H32,1),"c"))</f>
        <v/>
      </c>
      <c r="I33" t="str">
        <f t="shared" ref="I33" si="249">IF(I31=0,"",CONCATENATE("S",I31,LEFT(I32,1),"c"))</f>
        <v/>
      </c>
      <c r="J33" t="str">
        <f t="shared" ref="J33" si="250">IF(J31=0,"",CONCATENATE("S",J31,LEFT(J32,1),"c"))</f>
        <v/>
      </c>
      <c r="K33" t="str">
        <f t="shared" ref="K33" si="251">IF(K31=0,"",CONCATENATE("S",K31,LEFT(K32,1),"c"))</f>
        <v/>
      </c>
      <c r="L33" t="str">
        <f t="shared" ref="L33" si="252">IF(L31=0,"",CONCATENATE("S",L31,LEFT(L32,1),"c"))</f>
        <v/>
      </c>
      <c r="M33" t="str">
        <f t="shared" ref="M33" si="253">IF(M31=0,"",CONCATENATE("S",M31,LEFT(M32,1),"c"))</f>
        <v/>
      </c>
      <c r="N33" t="str">
        <f t="shared" ref="N33" si="254">IF(N31=0,"",CONCATENATE("S",N31,LEFT(N32,1),"c"))</f>
        <v/>
      </c>
      <c r="O33" t="str">
        <f t="shared" ref="O33" si="255">IF(O31=0,"",CONCATENATE("S",O31,LEFT(O32,1),"c"))</f>
        <v/>
      </c>
      <c r="P33" t="str">
        <f t="shared" ref="P33" si="256">IF(P31=0,"",CONCATENATE("S",P31,LEFT(P32,1),"c"))</f>
        <v/>
      </c>
      <c r="Q33" t="str">
        <f t="shared" ref="Q33:W33" si="257">IF(Q31=0,"",CONCATENATE("S",Q31,LEFT(Q32,1),"c"))</f>
        <v>S10lc</v>
      </c>
      <c r="R33" t="str">
        <f t="shared" si="257"/>
        <v>S20lc</v>
      </c>
      <c r="S33" t="str">
        <f t="shared" si="257"/>
        <v>S30lc</v>
      </c>
      <c r="T33" t="str">
        <f t="shared" si="257"/>
        <v>S30lc</v>
      </c>
      <c r="U33" t="str">
        <f t="shared" si="257"/>
        <v/>
      </c>
      <c r="V33" t="str">
        <f t="shared" si="257"/>
        <v/>
      </c>
      <c r="W33" t="str">
        <f t="shared" si="257"/>
        <v/>
      </c>
      <c r="X33" t="str">
        <f>IF(X31=0,"",CONCATENATE("S",X31,LEFT(X32,1),"c"))</f>
        <v/>
      </c>
      <c r="Y33" t="str">
        <f t="shared" ref="Y33:AN33" si="258">IF(Y31=0,"",CONCATENATE("S",Y31,LEFT(Y32,1),"c"))</f>
        <v/>
      </c>
      <c r="Z33" t="str">
        <f t="shared" si="258"/>
        <v/>
      </c>
      <c r="AA33" t="str">
        <f t="shared" si="258"/>
        <v/>
      </c>
      <c r="AB33" t="str">
        <f t="shared" si="258"/>
        <v/>
      </c>
      <c r="AC33" t="str">
        <f t="shared" si="258"/>
        <v/>
      </c>
      <c r="AD33" t="str">
        <f t="shared" ref="AD33:AF33" si="259">IF(AD31=0,"",CONCATENATE("S",AD31,LEFT(AD32,1),"c"))</f>
        <v/>
      </c>
      <c r="AE33" t="str">
        <f t="shared" ref="AE33" si="260">IF(AE31=0,"",CONCATENATE("S",AE31,LEFT(AE32,1),"c"))</f>
        <v>S30lc</v>
      </c>
      <c r="AF33" t="str">
        <f t="shared" si="259"/>
        <v>S30lc</v>
      </c>
      <c r="AG33" t="str">
        <f t="shared" si="258"/>
        <v/>
      </c>
      <c r="AH33" t="str">
        <f t="shared" ref="AH33:AK33" si="261">IF(AH31=0,"",CONCATENATE("S",AH31,LEFT(AH32,1),"c"))</f>
        <v/>
      </c>
      <c r="AI33" t="str">
        <f t="shared" ref="AI33" si="262">IF(AI31=0,"",CONCATENATE("S",AI31,LEFT(AI32,1),"c"))</f>
        <v>S30lc</v>
      </c>
      <c r="AJ33" t="str">
        <f t="shared" si="261"/>
        <v>S30lc</v>
      </c>
      <c r="AK33" t="str">
        <f t="shared" si="261"/>
        <v>S30lc</v>
      </c>
      <c r="AL33" t="str">
        <f t="shared" si="258"/>
        <v/>
      </c>
      <c r="AM33" t="str">
        <f t="shared" si="258"/>
        <v>S30lc</v>
      </c>
      <c r="AN33" t="str">
        <f t="shared" si="258"/>
        <v>S30lc</v>
      </c>
      <c r="AO33" t="str">
        <f t="shared" ref="AO33:AR33" si="263">IF(AO31=0,"",CONCATENATE("S",AO31,LEFT(AO32,1),"c"))</f>
        <v/>
      </c>
      <c r="AP33" t="str">
        <f t="shared" ref="AP33:AQ33" si="264">IF(AP31=0,"",CONCATENATE("S",AP31,LEFT(AP32,1),"c"))</f>
        <v>S30lc</v>
      </c>
      <c r="AQ33" t="str">
        <f t="shared" si="264"/>
        <v>S30lc</v>
      </c>
      <c r="AR33" t="str">
        <f t="shared" si="263"/>
        <v/>
      </c>
      <c r="AS33" t="str">
        <f t="shared" ref="AS33:AT33" si="265">IF(AS31=0,"",CONCATENATE("S",AS31,LEFT(AS32,1),"c"))</f>
        <v>S30lc</v>
      </c>
      <c r="AT33" t="str">
        <f t="shared" si="265"/>
        <v>S30lc</v>
      </c>
      <c r="AU33" t="str">
        <f>IF(AU31=0,"",CONCATENATE("S",AU31,LEFT(AU32,1),"c"))</f>
        <v/>
      </c>
      <c r="AV33" t="str">
        <f>IF(AV31=0,"",CONCATENATE("S",AV31,LEFT(AV32,1),"c"))</f>
        <v/>
      </c>
      <c r="AW33" t="str">
        <f>IF(AW31=0,"",CONCATENATE("S",AW31,LEFT(AW32,1),"c"))</f>
        <v/>
      </c>
    </row>
    <row r="34" spans="1:49" x14ac:dyDescent="0.2">
      <c r="A34" t="s">
        <v>278</v>
      </c>
      <c r="C34" t="str">
        <f t="shared" ref="C34:W34" si="266">CONCATENATE("solar",UPPER(LEFT(C32,1)), "C",C31)</f>
        <v>solarLC0</v>
      </c>
      <c r="D34" t="str">
        <f t="shared" si="266"/>
        <v>solarLC0</v>
      </c>
      <c r="E34" t="str">
        <f t="shared" si="266"/>
        <v>solarLC0</v>
      </c>
      <c r="F34" t="str">
        <f t="shared" ref="F34" si="267">CONCATENATE("solar",UPPER(LEFT(F32,1)), "C",F31)</f>
        <v>solarLC0</v>
      </c>
      <c r="G34" t="str">
        <f t="shared" si="266"/>
        <v>solarLC0</v>
      </c>
      <c r="H34" t="str">
        <f t="shared" si="266"/>
        <v>solarLC0</v>
      </c>
      <c r="I34" t="str">
        <f t="shared" si="266"/>
        <v>solarLC0</v>
      </c>
      <c r="J34" t="str">
        <f t="shared" si="266"/>
        <v>solarLC0</v>
      </c>
      <c r="K34" t="str">
        <f t="shared" si="266"/>
        <v>solarLC0</v>
      </c>
      <c r="L34" t="str">
        <f t="shared" ref="L34:M34" si="268">CONCATENATE("solar",UPPER(LEFT(L32,1)), "C",L31)</f>
        <v>solarLC0</v>
      </c>
      <c r="M34" t="str">
        <f t="shared" si="268"/>
        <v>solarLC0</v>
      </c>
      <c r="N34" t="str">
        <f t="shared" si="266"/>
        <v>solarLC0</v>
      </c>
      <c r="O34" t="str">
        <f t="shared" si="266"/>
        <v>solarLC0</v>
      </c>
      <c r="P34" t="str">
        <f t="shared" si="266"/>
        <v>solarLC0</v>
      </c>
      <c r="Q34" t="str">
        <f t="shared" si="266"/>
        <v>solarLC10</v>
      </c>
      <c r="R34" t="str">
        <f t="shared" si="266"/>
        <v>solarLC20</v>
      </c>
      <c r="S34" t="str">
        <f t="shared" si="266"/>
        <v>solarLC30</v>
      </c>
      <c r="T34" t="str">
        <f t="shared" si="266"/>
        <v>solarLC30</v>
      </c>
      <c r="U34" t="str">
        <f t="shared" si="266"/>
        <v>solarLC0</v>
      </c>
      <c r="V34" t="str">
        <f t="shared" si="266"/>
        <v>solarLC0</v>
      </c>
      <c r="W34" t="str">
        <f t="shared" si="266"/>
        <v>solarLC0</v>
      </c>
      <c r="X34" t="str">
        <f t="shared" ref="X34:AC34" si="269">CONCATENATE("solar",UPPER(LEFT(X32,1)), "C",X31)</f>
        <v>solarLC0</v>
      </c>
      <c r="Y34" t="str">
        <f t="shared" si="269"/>
        <v>solarLC0</v>
      </c>
      <c r="Z34" t="str">
        <f t="shared" si="269"/>
        <v>solarLC0</v>
      </c>
      <c r="AA34" t="str">
        <f t="shared" si="269"/>
        <v>solarLC0</v>
      </c>
      <c r="AB34" t="str">
        <f t="shared" si="269"/>
        <v>solarLC0</v>
      </c>
      <c r="AC34" t="str">
        <f t="shared" si="269"/>
        <v>solarLC0</v>
      </c>
      <c r="AD34" t="str">
        <f t="shared" ref="AD34:AF34" si="270">CONCATENATE("solar",UPPER(LEFT(AD32,1)), "C",AD31)</f>
        <v>solarLC0</v>
      </c>
      <c r="AE34" t="str">
        <f t="shared" ref="AE34" si="271">CONCATENATE("solar",UPPER(LEFT(AE32,1)), "C",AE31)</f>
        <v>solarLC30</v>
      </c>
      <c r="AF34" t="str">
        <f t="shared" si="270"/>
        <v>solarLC30</v>
      </c>
      <c r="AG34" t="str">
        <f t="shared" ref="AG34:AH34" si="272">CONCATENATE("solar",UPPER(LEFT(AG32,1)), "C",AG31)</f>
        <v>solarLC0</v>
      </c>
      <c r="AH34" t="str">
        <f t="shared" si="272"/>
        <v>solarLC0</v>
      </c>
      <c r="AI34" t="str">
        <f t="shared" ref="AI34" si="273">CONCATENATE("solar",UPPER(LEFT(AI32,1)), "C",AI31)</f>
        <v>solarLC30</v>
      </c>
      <c r="AJ34" t="str">
        <f t="shared" ref="AJ34:AK34" si="274">CONCATENATE("solar",UPPER(LEFT(AJ32,1)), "C",AJ31)</f>
        <v>solarLC30</v>
      </c>
      <c r="AK34" t="str">
        <f t="shared" si="274"/>
        <v>solarLC30</v>
      </c>
      <c r="AL34" t="str">
        <f t="shared" ref="AL34" si="275">CONCATENATE("solar",UPPER(LEFT(AL32,1)), "C",AL31)</f>
        <v>solarLC0</v>
      </c>
      <c r="AM34" t="str">
        <f t="shared" ref="AM34:AN34" si="276">CONCATENATE("solar",UPPER(LEFT(AM32,1)), "C",AM31)</f>
        <v>solarLC30</v>
      </c>
      <c r="AN34" t="str">
        <f t="shared" si="276"/>
        <v>solarLC30</v>
      </c>
      <c r="AO34" t="str">
        <f t="shared" ref="AO34:AR34" si="277">CONCATENATE("solar",UPPER(LEFT(AO32,1)), "C",AO31)</f>
        <v>solarLC0</v>
      </c>
      <c r="AP34" t="str">
        <f t="shared" ref="AP34:AQ34" si="278">CONCATENATE("solar",UPPER(LEFT(AP32,1)), "C",AP31)</f>
        <v>solarLC30</v>
      </c>
      <c r="AQ34" t="str">
        <f t="shared" si="278"/>
        <v>solarLC30</v>
      </c>
      <c r="AR34" t="str">
        <f t="shared" si="277"/>
        <v>solarLC0</v>
      </c>
      <c r="AS34" t="str">
        <f t="shared" ref="AS34:AT34" si="279">CONCATENATE("solar",UPPER(LEFT(AS32,1)), "C",AS31)</f>
        <v>solarLC30</v>
      </c>
      <c r="AT34" t="str">
        <f t="shared" si="279"/>
        <v>solarLC30</v>
      </c>
      <c r="AU34" t="str">
        <f>CONCATENATE("solar",UPPER(LEFT(AU32,1)), "C",AU31)</f>
        <v>solarLC0</v>
      </c>
      <c r="AV34" t="str">
        <f>CONCATENATE("solar",UPPER(LEFT(AV32,1)), "C",AV31)</f>
        <v>solarLC0</v>
      </c>
      <c r="AW34" t="str">
        <f>CONCATENATE("solar",UPPER(LEFT(AW32,1)), "C",AW31)</f>
        <v>solarLC0</v>
      </c>
    </row>
    <row r="35" spans="1:49" x14ac:dyDescent="0.2">
      <c r="A35" s="21" t="s">
        <v>279</v>
      </c>
      <c r="B35" s="21" t="s">
        <v>280</v>
      </c>
      <c r="C35" s="21">
        <v>80</v>
      </c>
      <c r="D35" s="21">
        <v>80</v>
      </c>
      <c r="E35" s="21">
        <v>80</v>
      </c>
      <c r="F35" s="21">
        <v>80</v>
      </c>
      <c r="G35" s="21">
        <v>80</v>
      </c>
      <c r="H35" s="21">
        <v>80</v>
      </c>
      <c r="I35" s="21">
        <v>80</v>
      </c>
      <c r="J35" s="21">
        <v>80</v>
      </c>
      <c r="K35" s="21">
        <v>80</v>
      </c>
      <c r="L35" s="21">
        <v>80</v>
      </c>
      <c r="M35" s="21">
        <v>80</v>
      </c>
      <c r="N35" s="21">
        <v>80</v>
      </c>
      <c r="O35" s="21">
        <v>80</v>
      </c>
      <c r="P35" s="21">
        <v>80</v>
      </c>
      <c r="Q35" s="21">
        <v>80</v>
      </c>
      <c r="R35" s="21">
        <v>80</v>
      </c>
      <c r="S35" s="21">
        <v>80</v>
      </c>
      <c r="T35" s="21">
        <v>80</v>
      </c>
      <c r="U35" s="21">
        <v>120</v>
      </c>
      <c r="V35" s="21">
        <v>80</v>
      </c>
      <c r="W35" s="21">
        <v>80</v>
      </c>
      <c r="X35" s="21">
        <v>120</v>
      </c>
      <c r="Y35" s="21">
        <v>80</v>
      </c>
      <c r="Z35" s="21">
        <v>80</v>
      </c>
      <c r="AA35" s="21">
        <v>80</v>
      </c>
      <c r="AB35" s="21">
        <v>80</v>
      </c>
      <c r="AC35" s="21">
        <v>80</v>
      </c>
      <c r="AD35" s="21">
        <v>80</v>
      </c>
      <c r="AE35" s="21">
        <v>80</v>
      </c>
      <c r="AF35" s="21">
        <v>80</v>
      </c>
      <c r="AG35" s="21">
        <v>80</v>
      </c>
      <c r="AH35" s="21">
        <v>80</v>
      </c>
      <c r="AI35" s="21">
        <v>80</v>
      </c>
      <c r="AJ35" s="21">
        <v>80</v>
      </c>
      <c r="AK35" s="21">
        <v>80</v>
      </c>
      <c r="AL35" s="21">
        <v>80</v>
      </c>
      <c r="AM35" s="21">
        <v>80</v>
      </c>
      <c r="AN35" s="21">
        <v>80</v>
      </c>
      <c r="AO35" s="21">
        <v>80</v>
      </c>
      <c r="AP35" s="21">
        <v>80</v>
      </c>
      <c r="AQ35" s="21">
        <v>80</v>
      </c>
      <c r="AR35" s="21">
        <v>80</v>
      </c>
      <c r="AS35" s="21">
        <v>80</v>
      </c>
      <c r="AT35" s="21">
        <v>80</v>
      </c>
      <c r="AU35" s="21">
        <v>80</v>
      </c>
      <c r="AV35" s="21">
        <v>80</v>
      </c>
      <c r="AW35" s="21">
        <v>80</v>
      </c>
    </row>
    <row r="36" spans="1:49" x14ac:dyDescent="0.2">
      <c r="A36" t="s">
        <v>281</v>
      </c>
      <c r="C36" t="str">
        <f t="shared" ref="C36:W36" si="280">IF(C35=80,"", CONCATENATE("W",C35))</f>
        <v/>
      </c>
      <c r="D36" t="str">
        <f t="shared" si="280"/>
        <v/>
      </c>
      <c r="E36" t="str">
        <f t="shared" si="280"/>
        <v/>
      </c>
      <c r="F36" t="str">
        <f t="shared" ref="F36" si="281">IF(F35=80,"", CONCATENATE("W",F35))</f>
        <v/>
      </c>
      <c r="G36" t="str">
        <f t="shared" si="280"/>
        <v/>
      </c>
      <c r="H36" t="str">
        <f t="shared" si="280"/>
        <v/>
      </c>
      <c r="I36" t="str">
        <f t="shared" si="280"/>
        <v/>
      </c>
      <c r="J36" t="str">
        <f t="shared" si="280"/>
        <v/>
      </c>
      <c r="K36" t="str">
        <f t="shared" si="280"/>
        <v/>
      </c>
      <c r="L36" t="str">
        <f t="shared" ref="L36:M36" si="282">IF(L35=80,"", CONCATENATE("W",L35))</f>
        <v/>
      </c>
      <c r="M36" t="str">
        <f t="shared" si="282"/>
        <v/>
      </c>
      <c r="N36" t="str">
        <f t="shared" si="280"/>
        <v/>
      </c>
      <c r="O36" t="str">
        <f t="shared" si="280"/>
        <v/>
      </c>
      <c r="P36" t="str">
        <f t="shared" si="280"/>
        <v/>
      </c>
      <c r="Q36" t="str">
        <f t="shared" si="280"/>
        <v/>
      </c>
      <c r="R36" t="str">
        <f t="shared" si="280"/>
        <v/>
      </c>
      <c r="S36" t="str">
        <f t="shared" si="280"/>
        <v/>
      </c>
      <c r="T36" t="str">
        <f t="shared" si="280"/>
        <v/>
      </c>
      <c r="U36" t="str">
        <f t="shared" si="280"/>
        <v>W120</v>
      </c>
      <c r="V36" t="str">
        <f t="shared" si="280"/>
        <v/>
      </c>
      <c r="W36" t="str">
        <f t="shared" si="280"/>
        <v/>
      </c>
      <c r="X36" t="str">
        <f t="shared" ref="X36:AC36" si="283">IF(X35=80,"", CONCATENATE("W",X35))</f>
        <v>W120</v>
      </c>
      <c r="Y36" t="str">
        <f t="shared" si="283"/>
        <v/>
      </c>
      <c r="Z36" t="str">
        <f t="shared" si="283"/>
        <v/>
      </c>
      <c r="AA36" t="str">
        <f t="shared" si="283"/>
        <v/>
      </c>
      <c r="AB36" t="str">
        <f t="shared" si="283"/>
        <v/>
      </c>
      <c r="AC36" t="str">
        <f t="shared" si="283"/>
        <v/>
      </c>
      <c r="AD36" t="str">
        <f t="shared" ref="AD36:AF36" si="284">IF(AD35=80,"", CONCATENATE("W",AD35))</f>
        <v/>
      </c>
      <c r="AE36" t="str">
        <f t="shared" ref="AE36" si="285">IF(AE35=80,"", CONCATENATE("W",AE35))</f>
        <v/>
      </c>
      <c r="AF36" t="str">
        <f t="shared" si="284"/>
        <v/>
      </c>
      <c r="AG36" t="str">
        <f t="shared" ref="AG36:AH36" si="286">IF(AG35=80,"", CONCATENATE("W",AG35))</f>
        <v/>
      </c>
      <c r="AH36" t="str">
        <f t="shared" si="286"/>
        <v/>
      </c>
      <c r="AI36" t="str">
        <f t="shared" ref="AI36" si="287">IF(AI35=80,"", CONCATENATE("W",AI35))</f>
        <v/>
      </c>
      <c r="AJ36" t="str">
        <f t="shared" ref="AJ36:AK36" si="288">IF(AJ35=80,"", CONCATENATE("W",AJ35))</f>
        <v/>
      </c>
      <c r="AK36" t="str">
        <f t="shared" si="288"/>
        <v/>
      </c>
      <c r="AL36" t="str">
        <f t="shared" ref="AL36" si="289">IF(AL35=80,"", CONCATENATE("W",AL35))</f>
        <v/>
      </c>
      <c r="AM36" t="str">
        <f t="shared" ref="AM36:AN36" si="290">IF(AM35=80,"", CONCATENATE("W",AM35))</f>
        <v/>
      </c>
      <c r="AN36" t="str">
        <f t="shared" si="290"/>
        <v/>
      </c>
      <c r="AO36" t="str">
        <f t="shared" ref="AO36:AR36" si="291">IF(AO35=80,"", CONCATENATE("W",AO35))</f>
        <v/>
      </c>
      <c r="AP36" t="str">
        <f t="shared" ref="AP36:AQ36" si="292">IF(AP35=80,"", CONCATENATE("W",AP35))</f>
        <v/>
      </c>
      <c r="AQ36" t="str">
        <f t="shared" si="292"/>
        <v/>
      </c>
      <c r="AR36" t="str">
        <f t="shared" si="291"/>
        <v/>
      </c>
      <c r="AS36" t="str">
        <f t="shared" ref="AS36:AT36" si="293">IF(AS35=80,"", CONCATENATE("W",AS35))</f>
        <v/>
      </c>
      <c r="AT36" t="str">
        <f t="shared" si="293"/>
        <v/>
      </c>
      <c r="AU36" t="str">
        <f>IF(AU35=80,"", CONCATENATE("W",AU35))</f>
        <v/>
      </c>
      <c r="AV36" t="str">
        <f>IF(AV35=80,"", CONCATENATE("W",AV35))</f>
        <v/>
      </c>
      <c r="AW36" t="str">
        <f>IF(AW35=80,"", CONCATENATE("W",AW35))</f>
        <v/>
      </c>
    </row>
    <row r="37" spans="1:49" x14ac:dyDescent="0.2">
      <c r="A37" t="s">
        <v>282</v>
      </c>
      <c r="C37" t="str">
        <f t="shared" ref="C37:W37" si="294">CONCATENATE("W",C35)</f>
        <v>W80</v>
      </c>
      <c r="D37" t="str">
        <f t="shared" si="294"/>
        <v>W80</v>
      </c>
      <c r="E37" t="str">
        <f t="shared" si="294"/>
        <v>W80</v>
      </c>
      <c r="F37" t="str">
        <f t="shared" ref="F37" si="295">CONCATENATE("W",F35)</f>
        <v>W80</v>
      </c>
      <c r="G37" t="str">
        <f t="shared" si="294"/>
        <v>W80</v>
      </c>
      <c r="H37" t="str">
        <f t="shared" si="294"/>
        <v>W80</v>
      </c>
      <c r="I37" t="str">
        <f t="shared" si="294"/>
        <v>W80</v>
      </c>
      <c r="J37" t="str">
        <f t="shared" si="294"/>
        <v>W80</v>
      </c>
      <c r="K37" t="str">
        <f t="shared" si="294"/>
        <v>W80</v>
      </c>
      <c r="L37" t="str">
        <f t="shared" ref="L37:M37" si="296">CONCATENATE("W",L35)</f>
        <v>W80</v>
      </c>
      <c r="M37" t="str">
        <f t="shared" si="296"/>
        <v>W80</v>
      </c>
      <c r="N37" t="str">
        <f t="shared" si="294"/>
        <v>W80</v>
      </c>
      <c r="O37" t="str">
        <f t="shared" si="294"/>
        <v>W80</v>
      </c>
      <c r="P37" t="str">
        <f t="shared" si="294"/>
        <v>W80</v>
      </c>
      <c r="Q37" t="str">
        <f t="shared" si="294"/>
        <v>W80</v>
      </c>
      <c r="R37" t="str">
        <f t="shared" si="294"/>
        <v>W80</v>
      </c>
      <c r="S37" t="str">
        <f t="shared" si="294"/>
        <v>W80</v>
      </c>
      <c r="T37" t="str">
        <f t="shared" si="294"/>
        <v>W80</v>
      </c>
      <c r="U37" t="str">
        <f t="shared" si="294"/>
        <v>W120</v>
      </c>
      <c r="V37" t="str">
        <f t="shared" si="294"/>
        <v>W80</v>
      </c>
      <c r="W37" t="str">
        <f t="shared" si="294"/>
        <v>W80</v>
      </c>
      <c r="X37" t="str">
        <f t="shared" ref="X37:AC37" si="297">CONCATENATE("W",X35)</f>
        <v>W120</v>
      </c>
      <c r="Y37" t="str">
        <f t="shared" si="297"/>
        <v>W80</v>
      </c>
      <c r="Z37" t="str">
        <f t="shared" si="297"/>
        <v>W80</v>
      </c>
      <c r="AA37" t="str">
        <f t="shared" si="297"/>
        <v>W80</v>
      </c>
      <c r="AB37" t="str">
        <f t="shared" si="297"/>
        <v>W80</v>
      </c>
      <c r="AC37" t="str">
        <f t="shared" si="297"/>
        <v>W80</v>
      </c>
      <c r="AD37" t="str">
        <f t="shared" ref="AD37:AF37" si="298">CONCATENATE("W",AD35)</f>
        <v>W80</v>
      </c>
      <c r="AE37" t="str">
        <f t="shared" ref="AE37" si="299">CONCATENATE("W",AE35)</f>
        <v>W80</v>
      </c>
      <c r="AF37" t="str">
        <f t="shared" si="298"/>
        <v>W80</v>
      </c>
      <c r="AG37" t="str">
        <f t="shared" ref="AG37:AH37" si="300">CONCATENATE("W",AG35)</f>
        <v>W80</v>
      </c>
      <c r="AH37" t="str">
        <f t="shared" si="300"/>
        <v>W80</v>
      </c>
      <c r="AI37" t="str">
        <f t="shared" ref="AI37" si="301">CONCATENATE("W",AI35)</f>
        <v>W80</v>
      </c>
      <c r="AJ37" t="str">
        <f t="shared" ref="AJ37:AK37" si="302">CONCATENATE("W",AJ35)</f>
        <v>W80</v>
      </c>
      <c r="AK37" t="str">
        <f t="shared" si="302"/>
        <v>W80</v>
      </c>
      <c r="AL37" t="str">
        <f t="shared" ref="AL37" si="303">CONCATENATE("W",AL35)</f>
        <v>W80</v>
      </c>
      <c r="AM37" t="str">
        <f t="shared" ref="AM37:AN37" si="304">CONCATENATE("W",AM35)</f>
        <v>W80</v>
      </c>
      <c r="AN37" t="str">
        <f t="shared" si="304"/>
        <v>W80</v>
      </c>
      <c r="AO37" t="str">
        <f t="shared" ref="AO37:AR37" si="305">CONCATENATE("W",AO35)</f>
        <v>W80</v>
      </c>
      <c r="AP37" t="str">
        <f t="shared" ref="AP37:AQ37" si="306">CONCATENATE("W",AP35)</f>
        <v>W80</v>
      </c>
      <c r="AQ37" t="str">
        <f t="shared" si="306"/>
        <v>W80</v>
      </c>
      <c r="AR37" t="str">
        <f t="shared" si="305"/>
        <v>W80</v>
      </c>
      <c r="AS37" t="str">
        <f t="shared" ref="AS37:AT37" si="307">CONCATENATE("W",AS35)</f>
        <v>W80</v>
      </c>
      <c r="AT37" t="str">
        <f t="shared" si="307"/>
        <v>W80</v>
      </c>
      <c r="AU37" t="str">
        <f>CONCATENATE("W",AU35)</f>
        <v>W80</v>
      </c>
      <c r="AV37" t="str">
        <f>CONCATENATE("W",AV35)</f>
        <v>W80</v>
      </c>
      <c r="AW37" t="str">
        <f>CONCATENATE("W",AW35)</f>
        <v>W80</v>
      </c>
    </row>
    <row r="38" spans="1:49" x14ac:dyDescent="0.2">
      <c r="A38" s="21" t="s">
        <v>283</v>
      </c>
      <c r="B38" s="21" t="s">
        <v>284</v>
      </c>
      <c r="C38" s="21" t="s">
        <v>285</v>
      </c>
      <c r="D38" s="21" t="s">
        <v>285</v>
      </c>
      <c r="E38" s="21" t="s">
        <v>285</v>
      </c>
      <c r="F38" s="21" t="s">
        <v>285</v>
      </c>
      <c r="G38" s="21" t="s">
        <v>285</v>
      </c>
      <c r="H38" s="21" t="s">
        <v>285</v>
      </c>
      <c r="I38" s="21" t="s">
        <v>285</v>
      </c>
      <c r="J38" s="21" t="s">
        <v>285</v>
      </c>
      <c r="K38" s="21" t="s">
        <v>285</v>
      </c>
      <c r="L38" s="21" t="s">
        <v>285</v>
      </c>
      <c r="M38" s="21" t="s">
        <v>285</v>
      </c>
      <c r="N38" s="21" t="s">
        <v>285</v>
      </c>
      <c r="O38" s="21" t="s">
        <v>285</v>
      </c>
      <c r="P38" s="21" t="s">
        <v>285</v>
      </c>
      <c r="Q38" s="21" t="s">
        <v>285</v>
      </c>
      <c r="R38" s="21" t="s">
        <v>285</v>
      </c>
      <c r="S38" s="21" t="s">
        <v>285</v>
      </c>
      <c r="T38" s="21" t="s">
        <v>285</v>
      </c>
      <c r="U38" s="21" t="s">
        <v>285</v>
      </c>
      <c r="V38" s="21" t="s">
        <v>286</v>
      </c>
      <c r="W38" s="21" t="s">
        <v>287</v>
      </c>
      <c r="X38" s="21" t="s">
        <v>286</v>
      </c>
      <c r="Y38" s="21" t="s">
        <v>285</v>
      </c>
      <c r="Z38" s="21" t="s">
        <v>285</v>
      </c>
      <c r="AA38" s="21" t="s">
        <v>285</v>
      </c>
      <c r="AB38" s="21" t="s">
        <v>285</v>
      </c>
      <c r="AC38" s="21" t="s">
        <v>285</v>
      </c>
      <c r="AD38" s="21" t="s">
        <v>285</v>
      </c>
      <c r="AE38" s="21" t="s">
        <v>285</v>
      </c>
      <c r="AF38" s="21" t="s">
        <v>285</v>
      </c>
      <c r="AG38" s="21" t="s">
        <v>285</v>
      </c>
      <c r="AH38" s="21" t="s">
        <v>285</v>
      </c>
      <c r="AI38" s="21" t="s">
        <v>285</v>
      </c>
      <c r="AJ38" s="21" t="s">
        <v>285</v>
      </c>
      <c r="AK38" s="21" t="s">
        <v>285</v>
      </c>
      <c r="AL38" s="21" t="s">
        <v>285</v>
      </c>
      <c r="AM38" s="21" t="s">
        <v>285</v>
      </c>
      <c r="AN38" s="21" t="s">
        <v>285</v>
      </c>
      <c r="AO38" s="21" t="s">
        <v>285</v>
      </c>
      <c r="AP38" s="21" t="s">
        <v>285</v>
      </c>
      <c r="AQ38" s="21" t="s">
        <v>285</v>
      </c>
      <c r="AR38" s="21" t="s">
        <v>285</v>
      </c>
      <c r="AS38" s="21" t="s">
        <v>285</v>
      </c>
      <c r="AT38" s="21" t="s">
        <v>285</v>
      </c>
      <c r="AU38" s="21" t="s">
        <v>285</v>
      </c>
      <c r="AV38" s="21" t="s">
        <v>285</v>
      </c>
      <c r="AW38" s="21" t="s">
        <v>285</v>
      </c>
    </row>
    <row r="39" spans="1:49" x14ac:dyDescent="0.2">
      <c r="A39" t="s">
        <v>288</v>
      </c>
      <c r="C39" t="str">
        <f t="shared" ref="C39:W39" si="308">IF(C38="0d", "", CONCATENATE("S",C38))</f>
        <v/>
      </c>
      <c r="D39" t="str">
        <f t="shared" si="308"/>
        <v/>
      </c>
      <c r="E39" t="str">
        <f t="shared" si="308"/>
        <v/>
      </c>
      <c r="F39" t="str">
        <f t="shared" ref="F39" si="309">IF(F38="0d", "", CONCATENATE("S",F38))</f>
        <v/>
      </c>
      <c r="G39" t="str">
        <f t="shared" si="308"/>
        <v/>
      </c>
      <c r="H39" t="str">
        <f t="shared" si="308"/>
        <v/>
      </c>
      <c r="I39" t="str">
        <f t="shared" si="308"/>
        <v/>
      </c>
      <c r="J39" t="str">
        <f t="shared" si="308"/>
        <v/>
      </c>
      <c r="K39" t="str">
        <f t="shared" si="308"/>
        <v/>
      </c>
      <c r="L39" t="str">
        <f t="shared" ref="L39:M39" si="310">IF(L38="0d", "", CONCATENATE("S",L38))</f>
        <v/>
      </c>
      <c r="M39" t="str">
        <f t="shared" si="310"/>
        <v/>
      </c>
      <c r="N39" t="str">
        <f t="shared" si="308"/>
        <v/>
      </c>
      <c r="O39" t="str">
        <f t="shared" si="308"/>
        <v/>
      </c>
      <c r="P39" t="str">
        <f t="shared" si="308"/>
        <v/>
      </c>
      <c r="Q39" t="str">
        <f t="shared" si="308"/>
        <v/>
      </c>
      <c r="R39" t="str">
        <f t="shared" si="308"/>
        <v/>
      </c>
      <c r="S39" t="str">
        <f t="shared" si="308"/>
        <v/>
      </c>
      <c r="T39" t="str">
        <f t="shared" si="308"/>
        <v/>
      </c>
      <c r="U39" t="str">
        <f t="shared" si="308"/>
        <v/>
      </c>
      <c r="V39" t="str">
        <f t="shared" si="308"/>
        <v>S1A</v>
      </c>
      <c r="W39" t="str">
        <f t="shared" si="308"/>
        <v>S90d</v>
      </c>
      <c r="X39" t="str">
        <f t="shared" ref="X39:AC39" si="311">IF(X38="0d", "", CONCATENATE("S",X38))</f>
        <v>S1A</v>
      </c>
      <c r="Y39" t="str">
        <f t="shared" si="311"/>
        <v/>
      </c>
      <c r="Z39" t="str">
        <f t="shared" si="311"/>
        <v/>
      </c>
      <c r="AA39" t="str">
        <f t="shared" si="311"/>
        <v/>
      </c>
      <c r="AB39" t="str">
        <f t="shared" si="311"/>
        <v/>
      </c>
      <c r="AC39" t="str">
        <f t="shared" si="311"/>
        <v/>
      </c>
      <c r="AD39" t="str">
        <f t="shared" ref="AD39:AF39" si="312">IF(AD38="0d", "", CONCATENATE("S",AD38))</f>
        <v/>
      </c>
      <c r="AE39" t="str">
        <f t="shared" ref="AE39" si="313">IF(AE38="0d", "", CONCATENATE("S",AE38))</f>
        <v/>
      </c>
      <c r="AF39" t="str">
        <f t="shared" si="312"/>
        <v/>
      </c>
      <c r="AG39" t="str">
        <f t="shared" ref="AG39:AH39" si="314">IF(AG38="0d", "", CONCATENATE("S",AG38))</f>
        <v/>
      </c>
      <c r="AH39" t="str">
        <f t="shared" si="314"/>
        <v/>
      </c>
      <c r="AI39" t="str">
        <f t="shared" ref="AI39" si="315">IF(AI38="0d", "", CONCATENATE("S",AI38))</f>
        <v/>
      </c>
      <c r="AJ39" t="str">
        <f t="shared" ref="AJ39:AK39" si="316">IF(AJ38="0d", "", CONCATENATE("S",AJ38))</f>
        <v/>
      </c>
      <c r="AK39" t="str">
        <f t="shared" si="316"/>
        <v/>
      </c>
      <c r="AL39" t="str">
        <f t="shared" ref="AL39" si="317">IF(AL38="0d", "", CONCATENATE("S",AL38))</f>
        <v/>
      </c>
      <c r="AM39" t="str">
        <f t="shared" ref="AM39:AN39" si="318">IF(AM38="0d", "", CONCATENATE("S",AM38))</f>
        <v/>
      </c>
      <c r="AN39" t="str">
        <f t="shared" si="318"/>
        <v/>
      </c>
      <c r="AO39" t="str">
        <f t="shared" ref="AO39:AR39" si="319">IF(AO38="0d", "", CONCATENATE("S",AO38))</f>
        <v/>
      </c>
      <c r="AP39" t="str">
        <f t="shared" ref="AP39:AQ39" si="320">IF(AP38="0d", "", CONCATENATE("S",AP38))</f>
        <v/>
      </c>
      <c r="AQ39" t="str">
        <f t="shared" si="320"/>
        <v/>
      </c>
      <c r="AR39" t="str">
        <f t="shared" si="319"/>
        <v/>
      </c>
      <c r="AS39" t="str">
        <f t="shared" ref="AS39:AT39" si="321">IF(AS38="0d", "", CONCATENATE("S",AS38))</f>
        <v/>
      </c>
      <c r="AT39" t="str">
        <f t="shared" si="321"/>
        <v/>
      </c>
      <c r="AU39" t="str">
        <f>IF(AU38="0d", "", CONCATENATE("S",AU38))</f>
        <v/>
      </c>
      <c r="AV39" t="str">
        <f>IF(AV38="0d", "", CONCATENATE("S",AV38))</f>
        <v/>
      </c>
      <c r="AW39" t="str">
        <f>IF(AW38="0d", "", CONCATENATE("S",AW38))</f>
        <v/>
      </c>
    </row>
    <row r="40" spans="1:49" x14ac:dyDescent="0.2">
      <c r="A40" t="s">
        <v>289</v>
      </c>
      <c r="C40" t="str">
        <f t="shared" ref="C40:W40" si="322">CONCATENATE("S",C38)</f>
        <v>S0d</v>
      </c>
      <c r="D40" t="str">
        <f t="shared" si="322"/>
        <v>S0d</v>
      </c>
      <c r="E40" t="str">
        <f t="shared" si="322"/>
        <v>S0d</v>
      </c>
      <c r="F40" t="str">
        <f t="shared" ref="F40" si="323">CONCATENATE("S",F38)</f>
        <v>S0d</v>
      </c>
      <c r="G40" t="str">
        <f t="shared" si="322"/>
        <v>S0d</v>
      </c>
      <c r="H40" t="str">
        <f t="shared" si="322"/>
        <v>S0d</v>
      </c>
      <c r="I40" t="str">
        <f t="shared" si="322"/>
        <v>S0d</v>
      </c>
      <c r="J40" t="str">
        <f t="shared" si="322"/>
        <v>S0d</v>
      </c>
      <c r="K40" t="str">
        <f t="shared" si="322"/>
        <v>S0d</v>
      </c>
      <c r="L40" t="str">
        <f t="shared" ref="L40:M40" si="324">CONCATENATE("S",L38)</f>
        <v>S0d</v>
      </c>
      <c r="M40" t="str">
        <f t="shared" si="324"/>
        <v>S0d</v>
      </c>
      <c r="N40" t="str">
        <f t="shared" si="322"/>
        <v>S0d</v>
      </c>
      <c r="O40" t="str">
        <f t="shared" si="322"/>
        <v>S0d</v>
      </c>
      <c r="P40" t="str">
        <f t="shared" si="322"/>
        <v>S0d</v>
      </c>
      <c r="Q40" t="str">
        <f t="shared" si="322"/>
        <v>S0d</v>
      </c>
      <c r="R40" t="str">
        <f t="shared" si="322"/>
        <v>S0d</v>
      </c>
      <c r="S40" t="str">
        <f t="shared" si="322"/>
        <v>S0d</v>
      </c>
      <c r="T40" t="str">
        <f t="shared" si="322"/>
        <v>S0d</v>
      </c>
      <c r="U40" t="str">
        <f t="shared" si="322"/>
        <v>S0d</v>
      </c>
      <c r="V40" t="str">
        <f t="shared" si="322"/>
        <v>S1A</v>
      </c>
      <c r="W40" t="str">
        <f t="shared" si="322"/>
        <v>S90d</v>
      </c>
      <c r="X40" t="str">
        <f t="shared" ref="X40:AC40" si="325">CONCATENATE("S",X38)</f>
        <v>S1A</v>
      </c>
      <c r="Y40" t="str">
        <f t="shared" si="325"/>
        <v>S0d</v>
      </c>
      <c r="Z40" t="str">
        <f t="shared" si="325"/>
        <v>S0d</v>
      </c>
      <c r="AA40" t="str">
        <f t="shared" si="325"/>
        <v>S0d</v>
      </c>
      <c r="AB40" t="str">
        <f t="shared" si="325"/>
        <v>S0d</v>
      </c>
      <c r="AC40" t="str">
        <f t="shared" si="325"/>
        <v>S0d</v>
      </c>
      <c r="AD40" t="str">
        <f t="shared" ref="AD40:AF40" si="326">CONCATENATE("S",AD38)</f>
        <v>S0d</v>
      </c>
      <c r="AE40" t="str">
        <f t="shared" ref="AE40" si="327">CONCATENATE("S",AE38)</f>
        <v>S0d</v>
      </c>
      <c r="AF40" t="str">
        <f t="shared" si="326"/>
        <v>S0d</v>
      </c>
      <c r="AG40" t="str">
        <f t="shared" ref="AG40:AH40" si="328">CONCATENATE("S",AG38)</f>
        <v>S0d</v>
      </c>
      <c r="AH40" t="str">
        <f t="shared" si="328"/>
        <v>S0d</v>
      </c>
      <c r="AI40" t="str">
        <f t="shared" ref="AI40" si="329">CONCATENATE("S",AI38)</f>
        <v>S0d</v>
      </c>
      <c r="AJ40" t="str">
        <f t="shared" ref="AJ40:AK40" si="330">CONCATENATE("S",AJ38)</f>
        <v>S0d</v>
      </c>
      <c r="AK40" t="str">
        <f t="shared" si="330"/>
        <v>S0d</v>
      </c>
      <c r="AL40" t="str">
        <f t="shared" ref="AL40" si="331">CONCATENATE("S",AL38)</f>
        <v>S0d</v>
      </c>
      <c r="AM40" t="str">
        <f t="shared" ref="AM40:AN40" si="332">CONCATENATE("S",AM38)</f>
        <v>S0d</v>
      </c>
      <c r="AN40" t="str">
        <f t="shared" si="332"/>
        <v>S0d</v>
      </c>
      <c r="AO40" t="str">
        <f t="shared" ref="AO40:AR40" si="333">CONCATENATE("S",AO38)</f>
        <v>S0d</v>
      </c>
      <c r="AP40" t="str">
        <f t="shared" ref="AP40:AQ40" si="334">CONCATENATE("S",AP38)</f>
        <v>S0d</v>
      </c>
      <c r="AQ40" t="str">
        <f t="shared" si="334"/>
        <v>S0d</v>
      </c>
      <c r="AR40" t="str">
        <f t="shared" si="333"/>
        <v>S0d</v>
      </c>
      <c r="AS40" t="str">
        <f t="shared" ref="AS40:AT40" si="335">CONCATENATE("S",AS38)</f>
        <v>S0d</v>
      </c>
      <c r="AT40" t="str">
        <f t="shared" si="335"/>
        <v>S0d</v>
      </c>
      <c r="AU40" t="str">
        <f>CONCATENATE("S",AU38)</f>
        <v>S0d</v>
      </c>
      <c r="AV40" t="str">
        <f>CONCATENATE("S",AV38)</f>
        <v>S0d</v>
      </c>
      <c r="AW40" t="str">
        <f>CONCATENATE("S",AW38)</f>
        <v>S0d</v>
      </c>
    </row>
    <row r="41" spans="1:49" x14ac:dyDescent="0.2">
      <c r="A41" s="21" t="s">
        <v>290</v>
      </c>
      <c r="B41" s="21"/>
      <c r="C41" s="21">
        <v>2014</v>
      </c>
      <c r="D41" s="21">
        <v>2014</v>
      </c>
      <c r="E41" s="21">
        <v>2014</v>
      </c>
      <c r="F41" s="21">
        <v>2014</v>
      </c>
      <c r="G41" s="21">
        <v>2014</v>
      </c>
      <c r="H41" s="21">
        <v>2014</v>
      </c>
      <c r="I41" s="21">
        <v>2014</v>
      </c>
      <c r="J41" s="21">
        <v>2014</v>
      </c>
      <c r="K41" s="21">
        <v>2014</v>
      </c>
      <c r="L41" s="21">
        <v>2014</v>
      </c>
      <c r="M41" s="21">
        <v>2014</v>
      </c>
      <c r="N41" s="21">
        <v>2014</v>
      </c>
      <c r="O41" s="21">
        <v>2014</v>
      </c>
      <c r="P41" s="21">
        <v>2014</v>
      </c>
      <c r="Q41" s="21">
        <v>2014</v>
      </c>
      <c r="R41" s="21">
        <v>2014</v>
      </c>
      <c r="S41" s="21">
        <v>2014</v>
      </c>
      <c r="T41" s="21">
        <v>2014</v>
      </c>
      <c r="U41" s="21">
        <v>2014</v>
      </c>
      <c r="V41" s="21">
        <v>2014</v>
      </c>
      <c r="W41" s="21">
        <v>2014</v>
      </c>
      <c r="X41" s="21">
        <v>2014</v>
      </c>
      <c r="Y41" s="21">
        <v>2014</v>
      </c>
      <c r="Z41" s="21">
        <v>2014</v>
      </c>
      <c r="AA41" s="21">
        <v>2014</v>
      </c>
      <c r="AB41" s="21">
        <v>2014</v>
      </c>
      <c r="AC41" s="21">
        <v>2014</v>
      </c>
      <c r="AD41" s="21">
        <v>2014</v>
      </c>
      <c r="AE41" s="21">
        <v>2014</v>
      </c>
      <c r="AF41" s="21">
        <v>2014</v>
      </c>
      <c r="AG41" s="21">
        <v>2014</v>
      </c>
      <c r="AH41" s="21">
        <v>2014</v>
      </c>
      <c r="AI41" s="21">
        <v>2014</v>
      </c>
      <c r="AJ41" s="21">
        <v>2014</v>
      </c>
      <c r="AK41" s="21">
        <v>2014</v>
      </c>
      <c r="AL41" s="21">
        <v>2014</v>
      </c>
      <c r="AM41" s="21">
        <v>2014</v>
      </c>
      <c r="AN41" s="21">
        <v>2014</v>
      </c>
      <c r="AO41" s="21">
        <v>2014</v>
      </c>
      <c r="AP41" s="21">
        <v>2014</v>
      </c>
      <c r="AQ41" s="21">
        <v>2014</v>
      </c>
      <c r="AR41" s="21">
        <v>2014</v>
      </c>
      <c r="AS41" s="21">
        <v>2014</v>
      </c>
      <c r="AT41" s="21">
        <v>2014</v>
      </c>
      <c r="AU41" s="21">
        <v>2014</v>
      </c>
      <c r="AV41" s="21">
        <v>2014</v>
      </c>
      <c r="AW41" s="21">
        <v>2014</v>
      </c>
    </row>
    <row r="42" spans="1:49" x14ac:dyDescent="0.2">
      <c r="A42" t="s">
        <v>291</v>
      </c>
      <c r="C42" t="str">
        <f t="shared" ref="C42:W42" si="336">IF(C41=2014,"",CONCATENATE("L",C41))</f>
        <v/>
      </c>
      <c r="D42" t="str">
        <f t="shared" si="336"/>
        <v/>
      </c>
      <c r="E42" t="str">
        <f t="shared" si="336"/>
        <v/>
      </c>
      <c r="F42" t="str">
        <f t="shared" ref="F42" si="337">IF(F41=2014,"",CONCATENATE("L",F41))</f>
        <v/>
      </c>
      <c r="G42" t="str">
        <f t="shared" si="336"/>
        <v/>
      </c>
      <c r="H42" t="str">
        <f t="shared" si="336"/>
        <v/>
      </c>
      <c r="I42" t="str">
        <f t="shared" si="336"/>
        <v/>
      </c>
      <c r="J42" t="str">
        <f t="shared" si="336"/>
        <v/>
      </c>
      <c r="K42" t="str">
        <f t="shared" si="336"/>
        <v/>
      </c>
      <c r="L42" t="str">
        <f t="shared" ref="L42:M42" si="338">IF(L41=2014,"",CONCATENATE("L",L41))</f>
        <v/>
      </c>
      <c r="M42" t="str">
        <f t="shared" si="338"/>
        <v/>
      </c>
      <c r="N42" t="str">
        <f t="shared" si="336"/>
        <v/>
      </c>
      <c r="O42" t="str">
        <f t="shared" si="336"/>
        <v/>
      </c>
      <c r="P42" t="str">
        <f t="shared" si="336"/>
        <v/>
      </c>
      <c r="Q42" t="str">
        <f t="shared" si="336"/>
        <v/>
      </c>
      <c r="R42" t="str">
        <f t="shared" si="336"/>
        <v/>
      </c>
      <c r="S42" t="str">
        <f t="shared" si="336"/>
        <v/>
      </c>
      <c r="T42" t="str">
        <f t="shared" si="336"/>
        <v/>
      </c>
      <c r="U42" t="str">
        <f t="shared" si="336"/>
        <v/>
      </c>
      <c r="V42" t="str">
        <f t="shared" si="336"/>
        <v/>
      </c>
      <c r="W42" t="str">
        <f t="shared" si="336"/>
        <v/>
      </c>
      <c r="X42" t="str">
        <f t="shared" ref="X42:AC42" si="339">IF(X41=2014,"",CONCATENATE("L",X41))</f>
        <v/>
      </c>
      <c r="Y42" t="str">
        <f t="shared" si="339"/>
        <v/>
      </c>
      <c r="Z42" t="str">
        <f t="shared" si="339"/>
        <v/>
      </c>
      <c r="AA42" t="str">
        <f t="shared" si="339"/>
        <v/>
      </c>
      <c r="AB42" t="str">
        <f t="shared" si="339"/>
        <v/>
      </c>
      <c r="AC42" t="str">
        <f t="shared" si="339"/>
        <v/>
      </c>
      <c r="AD42" t="str">
        <f t="shared" ref="AD42:AF42" si="340">IF(AD41=2014,"",CONCATENATE("L",AD41))</f>
        <v/>
      </c>
      <c r="AE42" t="str">
        <f t="shared" ref="AE42" si="341">IF(AE41=2014,"",CONCATENATE("L",AE41))</f>
        <v/>
      </c>
      <c r="AF42" t="str">
        <f t="shared" si="340"/>
        <v/>
      </c>
      <c r="AG42" t="str">
        <f t="shared" ref="AG42:AH42" si="342">IF(AG41=2014,"",CONCATENATE("L",AG41))</f>
        <v/>
      </c>
      <c r="AH42" t="str">
        <f t="shared" si="342"/>
        <v/>
      </c>
      <c r="AI42" t="str">
        <f t="shared" ref="AI42" si="343">IF(AI41=2014,"",CONCATENATE("L",AI41))</f>
        <v/>
      </c>
      <c r="AJ42" t="str">
        <f t="shared" ref="AJ42:AK42" si="344">IF(AJ41=2014,"",CONCATENATE("L",AJ41))</f>
        <v/>
      </c>
      <c r="AK42" t="str">
        <f t="shared" si="344"/>
        <v/>
      </c>
      <c r="AL42" t="str">
        <f t="shared" ref="AL42" si="345">IF(AL41=2014,"",CONCATENATE("L",AL41))</f>
        <v/>
      </c>
      <c r="AM42" t="str">
        <f t="shared" ref="AM42:AN42" si="346">IF(AM41=2014,"",CONCATENATE("L",AM41))</f>
        <v/>
      </c>
      <c r="AN42" t="str">
        <f t="shared" si="346"/>
        <v/>
      </c>
      <c r="AO42" t="str">
        <f t="shared" ref="AO42:AR42" si="347">IF(AO41=2014,"",CONCATENATE("L",AO41))</f>
        <v/>
      </c>
      <c r="AP42" t="str">
        <f t="shared" ref="AP42:AQ42" si="348">IF(AP41=2014,"",CONCATENATE("L",AP41))</f>
        <v/>
      </c>
      <c r="AQ42" t="str">
        <f t="shared" si="348"/>
        <v/>
      </c>
      <c r="AR42" t="str">
        <f t="shared" si="347"/>
        <v/>
      </c>
      <c r="AS42" t="str">
        <f t="shared" ref="AS42:AT42" si="349">IF(AS41=2014,"",CONCATENATE("L",AS41))</f>
        <v/>
      </c>
      <c r="AT42" t="str">
        <f t="shared" si="349"/>
        <v/>
      </c>
      <c r="AU42" t="str">
        <f>IF(AU41=2014,"",CONCATENATE("L",AU41))</f>
        <v/>
      </c>
      <c r="AV42" t="str">
        <f>IF(AV41=2014,"",CONCATENATE("L",AV41))</f>
        <v/>
      </c>
      <c r="AW42" t="str">
        <f>IF(AW41=2014,"",CONCATENATE("L",AW41))</f>
        <v/>
      </c>
    </row>
    <row r="43" spans="1:49" x14ac:dyDescent="0.2">
      <c r="A43" s="21" t="s">
        <v>292</v>
      </c>
      <c r="B43" s="21" t="s">
        <v>293</v>
      </c>
      <c r="C43" s="21" t="s">
        <v>294</v>
      </c>
      <c r="D43" s="21" t="s">
        <v>294</v>
      </c>
      <c r="E43" s="21" t="s">
        <v>294</v>
      </c>
      <c r="F43" s="21" t="s">
        <v>294</v>
      </c>
      <c r="G43" s="21" t="s">
        <v>294</v>
      </c>
      <c r="H43" s="21" t="s">
        <v>294</v>
      </c>
      <c r="I43" s="21" t="s">
        <v>294</v>
      </c>
      <c r="J43" s="21" t="s">
        <v>294</v>
      </c>
      <c r="K43" s="21" t="s">
        <v>294</v>
      </c>
      <c r="L43" s="21" t="s">
        <v>294</v>
      </c>
      <c r="M43" s="21" t="s">
        <v>294</v>
      </c>
      <c r="N43" s="21" t="s">
        <v>294</v>
      </c>
      <c r="O43" s="21" t="s">
        <v>294</v>
      </c>
      <c r="P43" s="21" t="s">
        <v>294</v>
      </c>
      <c r="Q43" s="21" t="s">
        <v>294</v>
      </c>
      <c r="R43" s="21" t="s">
        <v>294</v>
      </c>
      <c r="S43" s="21" t="s">
        <v>294</v>
      </c>
      <c r="T43" s="21" t="s">
        <v>294</v>
      </c>
      <c r="U43" s="21" t="s">
        <v>294</v>
      </c>
      <c r="V43" s="21" t="s">
        <v>294</v>
      </c>
      <c r="W43" s="21" t="s">
        <v>294</v>
      </c>
      <c r="X43" s="21" t="s">
        <v>294</v>
      </c>
      <c r="Y43" s="21" t="s">
        <v>294</v>
      </c>
      <c r="Z43" s="21" t="s">
        <v>294</v>
      </c>
      <c r="AA43" s="21" t="s">
        <v>294</v>
      </c>
      <c r="AB43" s="21" t="s">
        <v>294</v>
      </c>
      <c r="AC43" s="21" t="s">
        <v>294</v>
      </c>
      <c r="AD43" s="21" t="s">
        <v>294</v>
      </c>
      <c r="AE43" s="21" t="s">
        <v>294</v>
      </c>
      <c r="AF43" s="21" t="s">
        <v>294</v>
      </c>
      <c r="AG43" s="21" t="s">
        <v>294</v>
      </c>
      <c r="AH43" s="21" t="s">
        <v>294</v>
      </c>
      <c r="AI43" s="21" t="s">
        <v>294</v>
      </c>
      <c r="AJ43" s="21" t="s">
        <v>294</v>
      </c>
      <c r="AK43" s="21" t="s">
        <v>294</v>
      </c>
      <c r="AL43" s="21" t="s">
        <v>294</v>
      </c>
      <c r="AM43" s="21" t="s">
        <v>294</v>
      </c>
      <c r="AN43" s="21" t="s">
        <v>294</v>
      </c>
      <c r="AO43" s="21" t="s">
        <v>294</v>
      </c>
      <c r="AP43" s="21" t="s">
        <v>294</v>
      </c>
      <c r="AQ43" s="21" t="s">
        <v>294</v>
      </c>
      <c r="AR43" s="21" t="s">
        <v>294</v>
      </c>
      <c r="AS43" s="21" t="s">
        <v>294</v>
      </c>
      <c r="AT43" s="21" t="s">
        <v>294</v>
      </c>
      <c r="AU43" s="21" t="s">
        <v>465</v>
      </c>
      <c r="AV43" s="21" t="s">
        <v>468</v>
      </c>
      <c r="AW43" s="21" t="s">
        <v>469</v>
      </c>
    </row>
    <row r="44" spans="1:49" x14ac:dyDescent="0.2">
      <c r="A44" t="s">
        <v>295</v>
      </c>
      <c r="C44" t="str">
        <f t="shared" ref="C44:W44" si="350">IF(C43="none","",CONCATENATE("L",C43))</f>
        <v/>
      </c>
      <c r="D44" t="str">
        <f t="shared" si="350"/>
        <v/>
      </c>
      <c r="E44" t="str">
        <f t="shared" si="350"/>
        <v/>
      </c>
      <c r="F44" t="str">
        <f t="shared" ref="F44" si="351">IF(F43="none","",CONCATENATE("L",F43))</f>
        <v/>
      </c>
      <c r="G44" t="str">
        <f t="shared" si="350"/>
        <v/>
      </c>
      <c r="H44" t="str">
        <f t="shared" si="350"/>
        <v/>
      </c>
      <c r="I44" t="str">
        <f t="shared" si="350"/>
        <v/>
      </c>
      <c r="J44" t="str">
        <f t="shared" si="350"/>
        <v/>
      </c>
      <c r="K44" t="str">
        <f t="shared" si="350"/>
        <v/>
      </c>
      <c r="L44" t="str">
        <f t="shared" ref="L44:M44" si="352">IF(L43="none","",CONCATENATE("L",L43))</f>
        <v/>
      </c>
      <c r="M44" t="str">
        <f t="shared" si="352"/>
        <v/>
      </c>
      <c r="N44" t="str">
        <f t="shared" si="350"/>
        <v/>
      </c>
      <c r="O44" t="str">
        <f t="shared" si="350"/>
        <v/>
      </c>
      <c r="P44" t="str">
        <f t="shared" si="350"/>
        <v/>
      </c>
      <c r="Q44" t="str">
        <f t="shared" si="350"/>
        <v/>
      </c>
      <c r="R44" t="str">
        <f t="shared" si="350"/>
        <v/>
      </c>
      <c r="S44" t="str">
        <f t="shared" si="350"/>
        <v/>
      </c>
      <c r="T44" t="str">
        <f t="shared" si="350"/>
        <v/>
      </c>
      <c r="U44" t="str">
        <f t="shared" si="350"/>
        <v/>
      </c>
      <c r="V44" t="str">
        <f t="shared" si="350"/>
        <v/>
      </c>
      <c r="W44" t="str">
        <f t="shared" si="350"/>
        <v/>
      </c>
      <c r="X44" t="str">
        <f t="shared" ref="X44:AC44" si="353">IF(X43="none","",CONCATENATE("L",X43))</f>
        <v/>
      </c>
      <c r="Y44" t="str">
        <f t="shared" si="353"/>
        <v/>
      </c>
      <c r="Z44" t="str">
        <f t="shared" si="353"/>
        <v/>
      </c>
      <c r="AA44" t="str">
        <f t="shared" si="353"/>
        <v/>
      </c>
      <c r="AB44" t="str">
        <f t="shared" si="353"/>
        <v/>
      </c>
      <c r="AC44" t="str">
        <f t="shared" si="353"/>
        <v/>
      </c>
      <c r="AD44" t="str">
        <f t="shared" ref="AD44:AF44" si="354">IF(AD43="none","",CONCATENATE("L",AD43))</f>
        <v/>
      </c>
      <c r="AE44" t="str">
        <f t="shared" ref="AE44" si="355">IF(AE43="none","",CONCATENATE("L",AE43))</f>
        <v/>
      </c>
      <c r="AF44" t="str">
        <f t="shared" si="354"/>
        <v/>
      </c>
      <c r="AG44" t="str">
        <f t="shared" ref="AG44:AH44" si="356">IF(AG43="none","",CONCATENATE("L",AG43))</f>
        <v/>
      </c>
      <c r="AH44" t="str">
        <f t="shared" si="356"/>
        <v/>
      </c>
      <c r="AI44" t="str">
        <f t="shared" ref="AI44" si="357">IF(AI43="none","",CONCATENATE("L",AI43))</f>
        <v/>
      </c>
      <c r="AJ44" t="str">
        <f t="shared" ref="AJ44:AK44" si="358">IF(AJ43="none","",CONCATENATE("L",AJ43))</f>
        <v/>
      </c>
      <c r="AK44" t="str">
        <f t="shared" si="358"/>
        <v/>
      </c>
      <c r="AL44" t="str">
        <f t="shared" ref="AL44" si="359">IF(AL43="none","",CONCATENATE("L",AL43))</f>
        <v/>
      </c>
      <c r="AM44" t="str">
        <f t="shared" ref="AM44:AN44" si="360">IF(AM43="none","",CONCATENATE("L",AM43))</f>
        <v/>
      </c>
      <c r="AN44" t="str">
        <f t="shared" si="360"/>
        <v/>
      </c>
      <c r="AO44" t="str">
        <f t="shared" ref="AO44:AR44" si="361">IF(AO43="none","",CONCATENATE("L",AO43))</f>
        <v/>
      </c>
      <c r="AP44" t="str">
        <f t="shared" ref="AP44:AQ44" si="362">IF(AP43="none","",CONCATENATE("L",AP43))</f>
        <v/>
      </c>
      <c r="AQ44" t="str">
        <f t="shared" si="362"/>
        <v/>
      </c>
      <c r="AR44" t="str">
        <f t="shared" si="361"/>
        <v/>
      </c>
      <c r="AS44" t="str">
        <f t="shared" ref="AS44:AT44" si="363">IF(AS43="none","",CONCATENATE("L",AS43))</f>
        <v/>
      </c>
      <c r="AT44" t="str">
        <f t="shared" si="363"/>
        <v/>
      </c>
      <c r="AU44" t="str">
        <f>IF(AU43="none","",CONCATENATE("L",AU43))</f>
        <v>Lmod_D0_M0_energyOnly</v>
      </c>
      <c r="AV44" t="str">
        <f>IF(AV43="none","",CONCATENATE("L",AV43))</f>
        <v>Lmod_D50_M0_energyOnly</v>
      </c>
      <c r="AW44" t="str">
        <f>IF(AW43="none","",CONCATENATE("L",AW43))</f>
        <v>Lmod_D25_M25_energyOnly</v>
      </c>
    </row>
    <row r="45" spans="1:49" x14ac:dyDescent="0.2">
      <c r="A45" s="21" t="s">
        <v>296</v>
      </c>
      <c r="B45" s="21" t="s">
        <v>297</v>
      </c>
      <c r="C45" s="21" t="s">
        <v>298</v>
      </c>
      <c r="D45" s="21" t="s">
        <v>298</v>
      </c>
      <c r="E45" s="21" t="s">
        <v>298</v>
      </c>
      <c r="F45" s="21" t="s">
        <v>298</v>
      </c>
      <c r="G45" s="21" t="s">
        <v>298</v>
      </c>
      <c r="H45" s="21" t="s">
        <v>298</v>
      </c>
      <c r="I45" s="21" t="s">
        <v>298</v>
      </c>
      <c r="J45" s="21" t="s">
        <v>298</v>
      </c>
      <c r="K45" s="21" t="s">
        <v>298</v>
      </c>
      <c r="L45" s="21" t="s">
        <v>298</v>
      </c>
      <c r="M45" s="21" t="s">
        <v>298</v>
      </c>
      <c r="N45" s="21" t="s">
        <v>298</v>
      </c>
      <c r="O45" s="21" t="s">
        <v>298</v>
      </c>
      <c r="P45" s="21" t="s">
        <v>298</v>
      </c>
      <c r="Q45" s="21" t="s">
        <v>298</v>
      </c>
      <c r="R45" s="21" t="s">
        <v>298</v>
      </c>
      <c r="S45" s="21" t="s">
        <v>298</v>
      </c>
      <c r="T45" s="21" t="s">
        <v>298</v>
      </c>
      <c r="U45" s="21" t="s">
        <v>298</v>
      </c>
      <c r="V45" s="21" t="s">
        <v>298</v>
      </c>
      <c r="W45" s="21" t="s">
        <v>298</v>
      </c>
      <c r="X45" s="21" t="s">
        <v>298</v>
      </c>
      <c r="Y45" s="21" t="s">
        <v>298</v>
      </c>
      <c r="Z45" s="21" t="s">
        <v>298</v>
      </c>
      <c r="AA45" s="21" t="s">
        <v>298</v>
      </c>
      <c r="AB45" s="21" t="s">
        <v>298</v>
      </c>
      <c r="AC45" s="21" t="s">
        <v>298</v>
      </c>
      <c r="AD45" s="21" t="s">
        <v>298</v>
      </c>
      <c r="AE45" s="21" t="s">
        <v>298</v>
      </c>
      <c r="AF45" s="21" t="s">
        <v>298</v>
      </c>
      <c r="AG45" s="21" t="s">
        <v>298</v>
      </c>
      <c r="AH45" s="21" t="s">
        <v>298</v>
      </c>
      <c r="AI45" s="21" t="s">
        <v>298</v>
      </c>
      <c r="AJ45" s="21" t="s">
        <v>298</v>
      </c>
      <c r="AK45" s="21" t="s">
        <v>298</v>
      </c>
      <c r="AL45" s="21" t="s">
        <v>298</v>
      </c>
      <c r="AM45" s="21" t="s">
        <v>298</v>
      </c>
      <c r="AN45" s="21" t="s">
        <v>298</v>
      </c>
      <c r="AO45" s="21" t="s">
        <v>298</v>
      </c>
      <c r="AP45" s="21" t="s">
        <v>298</v>
      </c>
      <c r="AQ45" s="21" t="s">
        <v>298</v>
      </c>
      <c r="AR45" s="21" t="s">
        <v>298</v>
      </c>
      <c r="AS45" s="21" t="s">
        <v>298</v>
      </c>
      <c r="AT45" s="21" t="s">
        <v>298</v>
      </c>
      <c r="AU45" s="21" t="s">
        <v>298</v>
      </c>
      <c r="AV45" s="21" t="s">
        <v>298</v>
      </c>
      <c r="AW45" s="21" t="s">
        <v>298</v>
      </c>
    </row>
    <row r="46" spans="1:49" x14ac:dyDescent="0.2">
      <c r="A46" t="s">
        <v>299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</row>
    <row r="47" spans="1:49" x14ac:dyDescent="0.2">
      <c r="A47" t="s">
        <v>300</v>
      </c>
      <c r="C47" t="str">
        <f t="shared" ref="C47:W47" si="364">IF(C45="RT","",CONCATENATE(C45,C46))</f>
        <v/>
      </c>
      <c r="D47" t="str">
        <f t="shared" si="364"/>
        <v/>
      </c>
      <c r="E47" t="str">
        <f t="shared" si="364"/>
        <v/>
      </c>
      <c r="F47" t="str">
        <f t="shared" ref="F47" si="365">IF(F45="RT","",CONCATENATE(F45,F46))</f>
        <v/>
      </c>
      <c r="G47" t="str">
        <f t="shared" si="364"/>
        <v/>
      </c>
      <c r="H47" t="str">
        <f t="shared" si="364"/>
        <v/>
      </c>
      <c r="I47" t="str">
        <f t="shared" si="364"/>
        <v/>
      </c>
      <c r="J47" t="str">
        <f t="shared" si="364"/>
        <v/>
      </c>
      <c r="K47" t="str">
        <f t="shared" si="364"/>
        <v/>
      </c>
      <c r="L47" t="str">
        <f t="shared" ref="L47:M47" si="366">IF(L45="RT","",CONCATENATE(L45,L46))</f>
        <v/>
      </c>
      <c r="M47" t="str">
        <f t="shared" si="366"/>
        <v/>
      </c>
      <c r="N47" t="str">
        <f t="shared" si="364"/>
        <v/>
      </c>
      <c r="O47" t="str">
        <f t="shared" si="364"/>
        <v/>
      </c>
      <c r="P47" t="str">
        <f t="shared" si="364"/>
        <v/>
      </c>
      <c r="Q47" t="str">
        <f t="shared" si="364"/>
        <v/>
      </c>
      <c r="R47" t="str">
        <f t="shared" si="364"/>
        <v/>
      </c>
      <c r="S47" t="str">
        <f t="shared" si="364"/>
        <v/>
      </c>
      <c r="T47" t="str">
        <f t="shared" si="364"/>
        <v/>
      </c>
      <c r="U47" t="str">
        <f t="shared" si="364"/>
        <v/>
      </c>
      <c r="V47" t="str">
        <f t="shared" si="364"/>
        <v/>
      </c>
      <c r="W47" t="str">
        <f t="shared" si="364"/>
        <v/>
      </c>
      <c r="X47" t="str">
        <f t="shared" ref="X47:AC47" si="367">IF(X45="RT","",CONCATENATE(X45,X46))</f>
        <v/>
      </c>
      <c r="Y47" t="str">
        <f t="shared" si="367"/>
        <v/>
      </c>
      <c r="Z47" t="str">
        <f t="shared" si="367"/>
        <v/>
      </c>
      <c r="AA47" t="str">
        <f t="shared" si="367"/>
        <v/>
      </c>
      <c r="AB47" t="str">
        <f t="shared" si="367"/>
        <v/>
      </c>
      <c r="AC47" t="str">
        <f t="shared" si="367"/>
        <v/>
      </c>
      <c r="AD47" t="str">
        <f t="shared" ref="AD47:AF47" si="368">IF(AD45="RT","",CONCATENATE(AD45,AD46))</f>
        <v/>
      </c>
      <c r="AE47" t="str">
        <f t="shared" ref="AE47" si="369">IF(AE45="RT","",CONCATENATE(AE45,AE46))</f>
        <v/>
      </c>
      <c r="AF47" t="str">
        <f t="shared" si="368"/>
        <v/>
      </c>
      <c r="AG47" t="str">
        <f t="shared" ref="AG47:AH47" si="370">IF(AG45="RT","",CONCATENATE(AG45,AG46))</f>
        <v/>
      </c>
      <c r="AH47" t="str">
        <f t="shared" si="370"/>
        <v/>
      </c>
      <c r="AI47" t="str">
        <f t="shared" ref="AI47" si="371">IF(AI45="RT","",CONCATENATE(AI45,AI46))</f>
        <v/>
      </c>
      <c r="AJ47" t="str">
        <f t="shared" ref="AJ47:AK47" si="372">IF(AJ45="RT","",CONCATENATE(AJ45,AJ46))</f>
        <v/>
      </c>
      <c r="AK47" t="str">
        <f t="shared" si="372"/>
        <v/>
      </c>
      <c r="AL47" t="str">
        <f t="shared" ref="AL47" si="373">IF(AL45="RT","",CONCATENATE(AL45,AL46))</f>
        <v/>
      </c>
      <c r="AM47" t="str">
        <f t="shared" ref="AM47:AN47" si="374">IF(AM45="RT","",CONCATENATE(AM45,AM46))</f>
        <v/>
      </c>
      <c r="AN47" t="str">
        <f t="shared" si="374"/>
        <v/>
      </c>
      <c r="AO47" t="str">
        <f t="shared" ref="AO47:AR47" si="375">IF(AO45="RT","",CONCATENATE(AO45,AO46))</f>
        <v/>
      </c>
      <c r="AP47" t="str">
        <f t="shared" ref="AP47:AQ47" si="376">IF(AP45="RT","",CONCATENATE(AP45,AP46))</f>
        <v/>
      </c>
      <c r="AQ47" t="str">
        <f t="shared" si="376"/>
        <v/>
      </c>
      <c r="AR47" t="str">
        <f t="shared" si="375"/>
        <v/>
      </c>
      <c r="AS47" t="str">
        <f t="shared" ref="AS47:AT47" si="377">IF(AS45="RT","",CONCATENATE(AS45,AS46))</f>
        <v/>
      </c>
      <c r="AT47" t="str">
        <f t="shared" si="377"/>
        <v/>
      </c>
      <c r="AU47" t="str">
        <f>IF(AU45="RT","",CONCATENATE(AU45,AU46))</f>
        <v/>
      </c>
      <c r="AV47" t="str">
        <f>IF(AV45="RT","",CONCATENATE(AV45,AV46))</f>
        <v/>
      </c>
      <c r="AW47" t="str">
        <f>IF(AW45="RT","",CONCATENATE(AW45,AW46))</f>
        <v/>
      </c>
    </row>
  </sheetData>
  <pageMargins left="0.7" right="0.7" top="0.75" bottom="0.75" header="0.3" footer="0.3"/>
  <pageSetup orientation="portrait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opLeftCell="A4" workbookViewId="0">
      <selection activeCell="H19" sqref="H19"/>
    </sheetView>
  </sheetViews>
  <sheetFormatPr baseColWidth="10" defaultColWidth="8.83203125" defaultRowHeight="15" x14ac:dyDescent="0.2"/>
  <cols>
    <col min="1" max="1" width="25.5" customWidth="1"/>
  </cols>
  <sheetData>
    <row r="1" spans="1:8" x14ac:dyDescent="0.2">
      <c r="A1" s="7" t="s">
        <v>99</v>
      </c>
    </row>
    <row r="3" spans="1:8" x14ac:dyDescent="0.2">
      <c r="B3" s="7" t="s">
        <v>1</v>
      </c>
      <c r="C3" s="7" t="s">
        <v>2</v>
      </c>
      <c r="D3" s="7" t="s">
        <v>66</v>
      </c>
      <c r="E3" s="7" t="s">
        <v>67</v>
      </c>
      <c r="F3" s="7" t="s">
        <v>80</v>
      </c>
      <c r="G3" s="7" t="s">
        <v>81</v>
      </c>
      <c r="H3" s="7" t="s">
        <v>68</v>
      </c>
    </row>
    <row r="4" spans="1:8" x14ac:dyDescent="0.2">
      <c r="A4" s="7" t="s">
        <v>78</v>
      </c>
    </row>
    <row r="5" spans="1:8" x14ac:dyDescent="0.2">
      <c r="A5" t="s">
        <v>115</v>
      </c>
      <c r="B5">
        <v>678</v>
      </c>
      <c r="C5">
        <v>978</v>
      </c>
      <c r="D5">
        <v>3636</v>
      </c>
      <c r="F5">
        <v>5945</v>
      </c>
      <c r="H5" t="s">
        <v>79</v>
      </c>
    </row>
    <row r="6" spans="1:8" x14ac:dyDescent="0.2">
      <c r="A6" t="s">
        <v>125</v>
      </c>
      <c r="B6" s="5">
        <f>B5*'inflation rate'!$J$31</f>
        <v>686.54279999999994</v>
      </c>
      <c r="C6" s="5">
        <f>C5*'inflation rate'!$J$31</f>
        <v>990.32279999999992</v>
      </c>
      <c r="D6" s="5">
        <f>D5*'inflation rate'!$J$31</f>
        <v>3681.8136</v>
      </c>
      <c r="E6" s="5"/>
      <c r="F6" s="5">
        <f>F5*'inflation rate'!$J$31</f>
        <v>6019.9069999999992</v>
      </c>
      <c r="H6" t="s">
        <v>127</v>
      </c>
    </row>
    <row r="7" spans="1:8" x14ac:dyDescent="0.2">
      <c r="A7" t="s">
        <v>85</v>
      </c>
      <c r="B7">
        <v>651</v>
      </c>
      <c r="C7">
        <v>1230</v>
      </c>
      <c r="D7">
        <v>2890</v>
      </c>
      <c r="F7">
        <v>6100</v>
      </c>
      <c r="G7">
        <v>3500</v>
      </c>
      <c r="H7" t="s">
        <v>89</v>
      </c>
    </row>
    <row r="8" spans="1:8" x14ac:dyDescent="0.2">
      <c r="A8" t="s">
        <v>125</v>
      </c>
      <c r="B8" s="5">
        <f>B7*'inflation rate'!$D$31</f>
        <v>728.33420796953112</v>
      </c>
      <c r="C8" s="5">
        <f>C7*'inflation rate'!$D$31</f>
        <v>1376.1153238133998</v>
      </c>
      <c r="D8" s="5">
        <f>D7*'inflation rate'!$D$31</f>
        <v>3233.3116144883943</v>
      </c>
      <c r="E8" s="5"/>
      <c r="F8" s="5">
        <f>F7*'inflation rate'!$D$31</f>
        <v>6824.6369717575108</v>
      </c>
      <c r="G8" s="5">
        <f>G7*'inflation rate'!$D$31</f>
        <v>3915.7753116641456</v>
      </c>
      <c r="H8" t="s">
        <v>126</v>
      </c>
    </row>
    <row r="9" spans="1:8" x14ac:dyDescent="0.2">
      <c r="A9" t="s">
        <v>97</v>
      </c>
      <c r="B9">
        <v>358.7</v>
      </c>
      <c r="C9">
        <v>358.7</v>
      </c>
      <c r="D9">
        <v>525</v>
      </c>
      <c r="E9">
        <v>475</v>
      </c>
      <c r="H9" t="s">
        <v>100</v>
      </c>
    </row>
    <row r="10" spans="1:8" x14ac:dyDescent="0.2">
      <c r="A10" t="s">
        <v>108</v>
      </c>
      <c r="B10" s="5">
        <f>B9*'inflation rate'!$G$16</f>
        <v>470.36990449757138</v>
      </c>
      <c r="C10" s="5">
        <f>C9*'inflation rate'!$G$16</f>
        <v>470.36990449757138</v>
      </c>
      <c r="D10" s="5">
        <f>D9*'inflation rate'!$G$16</f>
        <v>688.44215182945356</v>
      </c>
      <c r="E10" s="5">
        <f>E9*'inflation rate'!$G$16</f>
        <v>622.87623260760085</v>
      </c>
      <c r="H10" t="s">
        <v>110</v>
      </c>
    </row>
    <row r="11" spans="1:8" x14ac:dyDescent="0.2">
      <c r="A11" t="s">
        <v>111</v>
      </c>
      <c r="B11" s="5">
        <f>'Data and sources'!B10/'Screening curves'!$E$1*100</f>
        <v>723.64600691934061</v>
      </c>
      <c r="C11" s="5">
        <f>'Data and sources'!C10/'Screening curves'!$E$1*100</f>
        <v>723.64600691934061</v>
      </c>
      <c r="D11" s="5">
        <f>'Data and sources'!D10/'Screening curves'!$E$1*100</f>
        <v>1059.1417720453132</v>
      </c>
      <c r="E11" s="5">
        <f>'Data and sources'!E10/'Screening curves'!$E$1*100</f>
        <v>958.27112708861671</v>
      </c>
      <c r="H11" t="s">
        <v>98</v>
      </c>
    </row>
    <row r="12" spans="1:8" x14ac:dyDescent="0.2">
      <c r="A12" t="s">
        <v>102</v>
      </c>
      <c r="B12">
        <v>420</v>
      </c>
      <c r="C12">
        <v>480</v>
      </c>
      <c r="D12">
        <v>537</v>
      </c>
      <c r="E12">
        <v>508</v>
      </c>
      <c r="H12" t="s">
        <v>101</v>
      </c>
    </row>
    <row r="13" spans="1:8" x14ac:dyDescent="0.2">
      <c r="A13" t="s">
        <v>108</v>
      </c>
      <c r="B13" s="5">
        <f>B12*'inflation rate'!$J$16</f>
        <v>440.87400000000002</v>
      </c>
      <c r="C13" s="5">
        <f>C12*'inflation rate'!$J$16</f>
        <v>503.85600000000005</v>
      </c>
      <c r="D13" s="5">
        <f>D12*'inflation rate'!$J$16</f>
        <v>563.68889999999999</v>
      </c>
      <c r="E13" s="5">
        <f>E12*'inflation rate'!$J$16</f>
        <v>533.24760000000003</v>
      </c>
      <c r="H13" t="s">
        <v>113</v>
      </c>
    </row>
    <row r="14" spans="1:8" x14ac:dyDescent="0.2">
      <c r="A14" t="s">
        <v>114</v>
      </c>
      <c r="B14" s="14">
        <f>'Data and sources'!B13/'Screening curves'!$E$1*100</f>
        <v>678.26769230769241</v>
      </c>
      <c r="C14" s="14">
        <f>'Data and sources'!C13/'Screening curves'!$E$1*100</f>
        <v>775.16307692307703</v>
      </c>
      <c r="D14" s="5">
        <f>'Data and sources'!D13/'Screening curves'!$E$1*100</f>
        <v>867.21369230769233</v>
      </c>
      <c r="E14" s="5">
        <f>'Data and sources'!E13/'Screening curves'!$E$1*100</f>
        <v>820.38092307692307</v>
      </c>
      <c r="H14" t="s">
        <v>101</v>
      </c>
    </row>
    <row r="15" spans="1:8" x14ac:dyDescent="0.2">
      <c r="A15" t="s">
        <v>97</v>
      </c>
      <c r="B15" s="5"/>
      <c r="C15" s="5"/>
      <c r="D15" s="5">
        <v>484</v>
      </c>
      <c r="E15" s="5">
        <v>468</v>
      </c>
      <c r="H15" t="s">
        <v>103</v>
      </c>
    </row>
    <row r="16" spans="1:8" x14ac:dyDescent="0.2">
      <c r="A16" t="s">
        <v>108</v>
      </c>
      <c r="B16" s="5"/>
      <c r="C16" s="5"/>
      <c r="D16" s="5">
        <f>D15*'inflation rate'!$G$16</f>
        <v>634.67809806753428</v>
      </c>
      <c r="E16" s="5">
        <f>E15*'inflation rate'!$G$16</f>
        <v>613.69700391654146</v>
      </c>
      <c r="H16" t="s">
        <v>112</v>
      </c>
    </row>
    <row r="17" spans="1:8" x14ac:dyDescent="0.2">
      <c r="A17" t="s">
        <v>114</v>
      </c>
      <c r="B17" s="5"/>
      <c r="C17" s="5"/>
      <c r="D17" s="14">
        <f>'Data and sources'!D16/'Screening curves'!$E$1*100</f>
        <v>976.42784318082204</v>
      </c>
      <c r="E17" s="5">
        <f>'Data and sources'!E16/'Screening curves'!$E$1*100</f>
        <v>944.14923679467915</v>
      </c>
      <c r="H17" t="s">
        <v>112</v>
      </c>
    </row>
    <row r="18" spans="1:8" x14ac:dyDescent="0.2">
      <c r="A18" t="s">
        <v>432</v>
      </c>
      <c r="B18" s="5"/>
      <c r="C18" s="5"/>
      <c r="D18" s="15">
        <v>1077</v>
      </c>
      <c r="E18" s="5"/>
      <c r="H18" t="s">
        <v>431</v>
      </c>
    </row>
    <row r="19" spans="1:8" x14ac:dyDescent="0.2">
      <c r="A19" t="s">
        <v>432</v>
      </c>
      <c r="B19" s="5"/>
      <c r="C19" s="5"/>
      <c r="D19" s="14">
        <f>1077 + 63</f>
        <v>1140</v>
      </c>
      <c r="E19" s="5"/>
      <c r="H19" t="s">
        <v>433</v>
      </c>
    </row>
    <row r="21" spans="1:8" x14ac:dyDescent="0.2">
      <c r="A21" s="7" t="s">
        <v>65</v>
      </c>
    </row>
    <row r="22" spans="1:8" x14ac:dyDescent="0.2">
      <c r="A22" t="s">
        <v>129</v>
      </c>
      <c r="B22">
        <v>3813</v>
      </c>
      <c r="C22">
        <v>1657</v>
      </c>
      <c r="D22">
        <v>1627</v>
      </c>
      <c r="E22">
        <v>1808</v>
      </c>
      <c r="H22" t="s">
        <v>117</v>
      </c>
    </row>
    <row r="23" spans="1:8" x14ac:dyDescent="0.2">
      <c r="A23" t="s">
        <v>116</v>
      </c>
      <c r="B23" s="15">
        <f>B22/'Screening curves'!$E$1</f>
        <v>58.661538461538463</v>
      </c>
      <c r="C23" s="15">
        <f>C22/'Screening curves'!$E$1</f>
        <v>25.492307692307691</v>
      </c>
      <c r="D23" s="15">
        <f>D22/'Screening curves'!$E$1</f>
        <v>25.030769230769231</v>
      </c>
      <c r="E23" s="5">
        <f>E22/'Screening curves'!$E$1</f>
        <v>27.815384615384616</v>
      </c>
      <c r="F23" s="5"/>
      <c r="G23" s="5"/>
      <c r="H23" t="s">
        <v>124</v>
      </c>
    </row>
    <row r="24" spans="1:8" x14ac:dyDescent="0.2">
      <c r="A24" t="s">
        <v>130</v>
      </c>
      <c r="B24" s="15">
        <v>0</v>
      </c>
      <c r="C24" s="15">
        <v>0</v>
      </c>
      <c r="D24" s="15">
        <v>0</v>
      </c>
      <c r="E24" s="5">
        <v>0</v>
      </c>
      <c r="F24" s="5"/>
      <c r="G24" s="5"/>
      <c r="H24" t="s">
        <v>128</v>
      </c>
    </row>
    <row r="25" spans="1:8" x14ac:dyDescent="0.2">
      <c r="A25" t="s">
        <v>131</v>
      </c>
      <c r="B25" s="15">
        <v>0</v>
      </c>
      <c r="C25" s="15">
        <v>0</v>
      </c>
      <c r="D25" s="15">
        <v>0</v>
      </c>
      <c r="E25" s="5">
        <v>0</v>
      </c>
      <c r="F25" s="5"/>
      <c r="G25" s="5"/>
      <c r="H25" t="s">
        <v>128</v>
      </c>
    </row>
    <row r="26" spans="1:8" x14ac:dyDescent="0.2">
      <c r="A26" t="s">
        <v>82</v>
      </c>
      <c r="B26" s="7">
        <v>6.8</v>
      </c>
      <c r="C26" s="7">
        <v>11</v>
      </c>
      <c r="D26" s="7">
        <v>42.1</v>
      </c>
      <c r="F26">
        <v>5945</v>
      </c>
      <c r="H26" t="s">
        <v>91</v>
      </c>
    </row>
    <row r="27" spans="1:8" x14ac:dyDescent="0.2">
      <c r="A27" t="s">
        <v>88</v>
      </c>
      <c r="B27">
        <v>10.7</v>
      </c>
      <c r="C27">
        <v>3.5</v>
      </c>
      <c r="D27">
        <v>4.5999999999999996</v>
      </c>
      <c r="H27" t="s">
        <v>92</v>
      </c>
    </row>
    <row r="28" spans="1:8" x14ac:dyDescent="0.2">
      <c r="A28" t="s">
        <v>118</v>
      </c>
      <c r="B28">
        <v>5.26</v>
      </c>
      <c r="C28">
        <v>6.31</v>
      </c>
      <c r="D28">
        <v>23</v>
      </c>
      <c r="F28">
        <v>127</v>
      </c>
      <c r="G28">
        <v>15</v>
      </c>
      <c r="H28" t="s">
        <v>86</v>
      </c>
    </row>
    <row r="29" spans="1:8" x14ac:dyDescent="0.2">
      <c r="A29" t="s">
        <v>119</v>
      </c>
      <c r="B29">
        <v>29.9</v>
      </c>
      <c r="C29">
        <v>3.67</v>
      </c>
      <c r="D29">
        <v>3.71</v>
      </c>
      <c r="F29">
        <v>0</v>
      </c>
      <c r="G29">
        <v>6</v>
      </c>
      <c r="H29" t="s">
        <v>87</v>
      </c>
    </row>
    <row r="30" spans="1:8" x14ac:dyDescent="0.2">
      <c r="A30" t="s">
        <v>122</v>
      </c>
      <c r="B30" s="3">
        <f>B28*'inflation rate'!$D$31</f>
        <v>5.8848508969581159</v>
      </c>
      <c r="C30" s="3">
        <f>C28*'inflation rate'!$D$31</f>
        <v>7.0595834904573591</v>
      </c>
      <c r="D30" s="3">
        <f>D28*'inflation rate'!$D$31</f>
        <v>25.732237762364385</v>
      </c>
      <c r="E30" s="3"/>
      <c r="F30" s="3">
        <f>F28*'inflation rate'!$D$31</f>
        <v>142.086704166099</v>
      </c>
      <c r="G30" s="3">
        <f>G28*'inflation rate'!$D$31</f>
        <v>16.781894192846337</v>
      </c>
      <c r="H30" t="s">
        <v>86</v>
      </c>
    </row>
    <row r="31" spans="1:8" x14ac:dyDescent="0.2">
      <c r="A31" t="s">
        <v>123</v>
      </c>
      <c r="B31" s="3">
        <f>B29*'inflation rate'!$D$31</f>
        <v>33.451909091073702</v>
      </c>
      <c r="C31" s="3">
        <f>C29*'inflation rate'!$D$31</f>
        <v>4.1059701125164043</v>
      </c>
      <c r="D31" s="3">
        <f>D29*'inflation rate'!$D$31</f>
        <v>4.1507218303639943</v>
      </c>
      <c r="E31" s="3"/>
      <c r="F31" s="3">
        <f>F29*'inflation rate'!$D$31</f>
        <v>0</v>
      </c>
      <c r="G31" s="3">
        <f>G29*'inflation rate'!$D$31</f>
        <v>6.7127576771385353</v>
      </c>
      <c r="H31" t="s">
        <v>87</v>
      </c>
    </row>
    <row r="33" spans="1:8" x14ac:dyDescent="0.2">
      <c r="A33" s="7" t="s">
        <v>70</v>
      </c>
    </row>
    <row r="34" spans="1:8" x14ac:dyDescent="0.2">
      <c r="A34" t="s">
        <v>71</v>
      </c>
      <c r="E34">
        <v>2375</v>
      </c>
      <c r="H34" t="s">
        <v>69</v>
      </c>
    </row>
    <row r="35" spans="1:8" x14ac:dyDescent="0.2">
      <c r="A35" t="s">
        <v>71</v>
      </c>
      <c r="B35">
        <v>3065</v>
      </c>
      <c r="C35">
        <v>2071</v>
      </c>
      <c r="H35" t="s">
        <v>94</v>
      </c>
    </row>
    <row r="36" spans="1:8" x14ac:dyDescent="0.2">
      <c r="A36" t="s">
        <v>71</v>
      </c>
      <c r="B36">
        <v>2900</v>
      </c>
      <c r="C36">
        <v>2000</v>
      </c>
      <c r="D36">
        <v>2250</v>
      </c>
      <c r="E36">
        <v>2365</v>
      </c>
      <c r="H36" t="s">
        <v>93</v>
      </c>
    </row>
    <row r="37" spans="1:8" x14ac:dyDescent="0.2">
      <c r="A37" t="s">
        <v>83</v>
      </c>
      <c r="B37">
        <v>9800</v>
      </c>
      <c r="C37">
        <v>6600</v>
      </c>
      <c r="D37">
        <v>8800</v>
      </c>
      <c r="H37" t="s">
        <v>90</v>
      </c>
    </row>
    <row r="38" spans="1:8" x14ac:dyDescent="0.2">
      <c r="A38" t="s">
        <v>95</v>
      </c>
      <c r="B38" s="5">
        <f>B37/'Screening curves'!$E$4</f>
        <v>2471.2091525517758</v>
      </c>
      <c r="C38" s="5">
        <f>C37/'Screening curves'!$E$4</f>
        <v>1664.283714983849</v>
      </c>
      <c r="D38" s="5">
        <f>D37/'Screening curves'!$E$4</f>
        <v>2219.0449533117985</v>
      </c>
      <c r="E38" s="5"/>
      <c r="H38" t="s">
        <v>90</v>
      </c>
    </row>
    <row r="39" spans="1:8" x14ac:dyDescent="0.2">
      <c r="A39" t="s">
        <v>83</v>
      </c>
      <c r="B39">
        <v>10390</v>
      </c>
      <c r="C39">
        <v>6705</v>
      </c>
      <c r="D39">
        <v>9370</v>
      </c>
      <c r="F39">
        <v>9720</v>
      </c>
      <c r="H39" t="s">
        <v>84</v>
      </c>
    </row>
    <row r="40" spans="1:8" x14ac:dyDescent="0.2">
      <c r="A40" t="s">
        <v>95</v>
      </c>
      <c r="B40" s="5">
        <f>B39/'Screening curves'!$E$4</f>
        <v>2619.9860301033623</v>
      </c>
      <c r="C40" s="5">
        <f>C39/'Screening curves'!$E$4</f>
        <v>1690.7609559040466</v>
      </c>
      <c r="D40" s="5">
        <f>D39/'Screening curves'!$E$4</f>
        <v>2362.7785468785855</v>
      </c>
      <c r="E40" s="5"/>
      <c r="H40" t="s">
        <v>84</v>
      </c>
    </row>
    <row r="42" spans="1:8" x14ac:dyDescent="0.2">
      <c r="A42" s="7" t="s">
        <v>134</v>
      </c>
    </row>
    <row r="45" spans="1:8" x14ac:dyDescent="0.2">
      <c r="A45" s="7" t="s">
        <v>135</v>
      </c>
    </row>
    <row r="46" spans="1:8" x14ac:dyDescent="0.2">
      <c r="A46" t="s">
        <v>136</v>
      </c>
      <c r="B46" s="8">
        <v>6.25E-2</v>
      </c>
      <c r="C46" t="s">
        <v>137</v>
      </c>
    </row>
    <row r="47" spans="1:8" x14ac:dyDescent="0.2">
      <c r="B47" s="8">
        <v>0.108</v>
      </c>
      <c r="C47" t="s">
        <v>138</v>
      </c>
    </row>
    <row r="49" spans="1:4" x14ac:dyDescent="0.2">
      <c r="A49" s="7" t="s">
        <v>140</v>
      </c>
    </row>
    <row r="50" spans="1:4" x14ac:dyDescent="0.2">
      <c r="A50" t="s">
        <v>141</v>
      </c>
      <c r="B50">
        <v>10.7</v>
      </c>
      <c r="C50" t="s">
        <v>143</v>
      </c>
    </row>
    <row r="51" spans="1:4" x14ac:dyDescent="0.2">
      <c r="B51">
        <v>8.5</v>
      </c>
      <c r="C51" t="s">
        <v>144</v>
      </c>
    </row>
    <row r="52" spans="1:4" x14ac:dyDescent="0.2">
      <c r="B52" s="7">
        <v>10</v>
      </c>
      <c r="C52" t="s">
        <v>142</v>
      </c>
    </row>
    <row r="53" spans="1:4" x14ac:dyDescent="0.2">
      <c r="B53">
        <v>5.5</v>
      </c>
      <c r="C53" t="s">
        <v>145</v>
      </c>
    </row>
    <row r="54" spans="1:4" x14ac:dyDescent="0.2">
      <c r="C54" t="s">
        <v>164</v>
      </c>
    </row>
    <row r="56" spans="1:4" x14ac:dyDescent="0.2">
      <c r="A56" s="7" t="s">
        <v>146</v>
      </c>
    </row>
    <row r="59" spans="1:4" x14ac:dyDescent="0.2">
      <c r="A59" s="7" t="s">
        <v>150</v>
      </c>
      <c r="B59" t="s">
        <v>159</v>
      </c>
      <c r="C59" t="s">
        <v>160</v>
      </c>
    </row>
    <row r="60" spans="1:4" x14ac:dyDescent="0.2">
      <c r="A60" t="s">
        <v>151</v>
      </c>
      <c r="B60">
        <f>'Screening curves'!E1</f>
        <v>65</v>
      </c>
      <c r="C60">
        <f>B60</f>
        <v>65</v>
      </c>
    </row>
    <row r="61" spans="1:4" x14ac:dyDescent="0.2">
      <c r="A61" t="s">
        <v>152</v>
      </c>
      <c r="B61" s="17">
        <v>1100</v>
      </c>
      <c r="C61" s="17">
        <v>800</v>
      </c>
      <c r="D61" s="17"/>
    </row>
    <row r="62" spans="1:4" x14ac:dyDescent="0.2">
      <c r="A62" t="s">
        <v>162</v>
      </c>
      <c r="B62" s="17">
        <f>B61*B60</f>
        <v>71500</v>
      </c>
      <c r="C62" s="17">
        <f>C61*C60</f>
        <v>52000</v>
      </c>
      <c r="D62" s="17"/>
    </row>
    <row r="63" spans="1:4" ht="16" x14ac:dyDescent="0.2">
      <c r="A63" t="s">
        <v>17</v>
      </c>
      <c r="B63" s="18">
        <v>7.0000000000000007E-2</v>
      </c>
      <c r="C63" s="18">
        <v>7.0000000000000007E-2</v>
      </c>
      <c r="D63" s="18"/>
    </row>
    <row r="64" spans="1:4" ht="16" x14ac:dyDescent="0.2">
      <c r="A64" t="s">
        <v>156</v>
      </c>
      <c r="B64" s="19">
        <v>25</v>
      </c>
      <c r="C64" s="19">
        <v>25</v>
      </c>
      <c r="D64" s="19"/>
    </row>
    <row r="65" spans="1:4" ht="16" x14ac:dyDescent="0.2">
      <c r="A65" t="s">
        <v>19</v>
      </c>
      <c r="B65" s="9">
        <f>(B63*(1+B63)^B64)/(((1+B63)^B64)-1)</f>
        <v>8.5810517220665614E-2</v>
      </c>
      <c r="C65" s="9">
        <f>(C63*(1+C63)^C64)/(((1+C63)^C64)-1)</f>
        <v>8.5810517220665614E-2</v>
      </c>
      <c r="D65" s="9"/>
    </row>
    <row r="66" spans="1:4" ht="16" x14ac:dyDescent="0.2">
      <c r="A66" t="s">
        <v>157</v>
      </c>
      <c r="B66" s="16">
        <v>15</v>
      </c>
      <c r="C66" s="16">
        <v>10</v>
      </c>
      <c r="D66" s="16"/>
    </row>
    <row r="67" spans="1:4" ht="16" x14ac:dyDescent="0.2">
      <c r="A67" t="s">
        <v>158</v>
      </c>
      <c r="B67" s="16">
        <v>0</v>
      </c>
      <c r="C67" s="16">
        <v>0</v>
      </c>
      <c r="D67" s="16"/>
    </row>
    <row r="68" spans="1:4" x14ac:dyDescent="0.2">
      <c r="A68" t="s">
        <v>154</v>
      </c>
      <c r="B68" s="1">
        <v>0.25</v>
      </c>
      <c r="C68" s="1">
        <v>0.19700000000000001</v>
      </c>
      <c r="D68" s="1" t="s">
        <v>161</v>
      </c>
    </row>
    <row r="69" spans="1:4" x14ac:dyDescent="0.2">
      <c r="A69" t="s">
        <v>153</v>
      </c>
      <c r="B69" s="4">
        <f>((B61*B65+B66)/(8760*B68)+B67)*10^3</f>
        <v>49.950488101704188</v>
      </c>
      <c r="C69" s="4">
        <f>((C61*C65+C66)/(8760*C68)+C67)*10^3</f>
        <v>45.574261048450786</v>
      </c>
      <c r="D69" s="4"/>
    </row>
    <row r="70" spans="1:4" x14ac:dyDescent="0.2">
      <c r="A70" t="s">
        <v>155</v>
      </c>
      <c r="B70" s="4">
        <f>B69*B60/10^3</f>
        <v>3.2467817266107724</v>
      </c>
      <c r="C70" s="4">
        <f>C69*C60/10^3</f>
        <v>2.9623269681493012</v>
      </c>
      <c r="D70" s="4"/>
    </row>
  </sheetData>
  <pageMargins left="0.7" right="0.7" top="0.75" bottom="0.75" header="0.3" footer="0.3"/>
  <pageSetup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7" workbookViewId="0">
      <selection activeCell="I42" sqref="I42"/>
    </sheetView>
  </sheetViews>
  <sheetFormatPr baseColWidth="10" defaultColWidth="8.83203125" defaultRowHeight="15" x14ac:dyDescent="0.2"/>
  <cols>
    <col min="2" max="2" width="15.83203125" customWidth="1"/>
    <col min="3" max="3" width="12.5" customWidth="1"/>
    <col min="4" max="4" width="9" customWidth="1"/>
    <col min="5" max="5" width="8.6640625" customWidth="1"/>
  </cols>
  <sheetData>
    <row r="1" spans="1:12" x14ac:dyDescent="0.2">
      <c r="A1" t="s">
        <v>104</v>
      </c>
    </row>
    <row r="2" spans="1:12" x14ac:dyDescent="0.2">
      <c r="A2" t="s">
        <v>106</v>
      </c>
    </row>
    <row r="3" spans="1:12" x14ac:dyDescent="0.2">
      <c r="A3" t="s">
        <v>105</v>
      </c>
    </row>
    <row r="5" spans="1:12" x14ac:dyDescent="0.2">
      <c r="A5" t="s">
        <v>120</v>
      </c>
    </row>
    <row r="6" spans="1:12" x14ac:dyDescent="0.2">
      <c r="A6" t="s">
        <v>109</v>
      </c>
    </row>
    <row r="7" spans="1:12" ht="30" customHeight="1" x14ac:dyDescent="0.2">
      <c r="B7" s="13" t="s">
        <v>107</v>
      </c>
      <c r="C7">
        <v>2008</v>
      </c>
      <c r="D7">
        <v>2009</v>
      </c>
      <c r="E7">
        <v>2010</v>
      </c>
      <c r="F7">
        <v>2011</v>
      </c>
      <c r="G7">
        <v>2012</v>
      </c>
      <c r="H7">
        <v>2013</v>
      </c>
      <c r="I7">
        <v>2014</v>
      </c>
      <c r="J7">
        <v>2015</v>
      </c>
      <c r="K7">
        <v>2016</v>
      </c>
      <c r="L7">
        <v>2017</v>
      </c>
    </row>
    <row r="8" spans="1:12" x14ac:dyDescent="0.2">
      <c r="A8">
        <v>2008</v>
      </c>
      <c r="B8" s="8">
        <v>8.3199999999999996E-2</v>
      </c>
      <c r="C8">
        <v>1</v>
      </c>
      <c r="D8" s="2"/>
    </row>
    <row r="9" spans="1:12" x14ac:dyDescent="0.2">
      <c r="A9">
        <v>2009</v>
      </c>
      <c r="B9" s="8">
        <v>0.10829999999999999</v>
      </c>
      <c r="C9" s="2">
        <f>C8*(1+$B9)</f>
        <v>1.1083000000000001</v>
      </c>
      <c r="D9">
        <v>1</v>
      </c>
    </row>
    <row r="10" spans="1:12" x14ac:dyDescent="0.2">
      <c r="A10">
        <v>2010</v>
      </c>
      <c r="B10" s="8">
        <v>0.1211</v>
      </c>
      <c r="C10" s="2">
        <f t="shared" ref="C10:C17" si="0">C9*(1+B10)</f>
        <v>1.2425151300000001</v>
      </c>
      <c r="D10" s="2">
        <f>D9*(1+$B10)</f>
        <v>1.1211</v>
      </c>
      <c r="E10">
        <v>1</v>
      </c>
    </row>
    <row r="11" spans="1:12" x14ac:dyDescent="0.2">
      <c r="A11">
        <v>2011</v>
      </c>
      <c r="B11" s="8">
        <v>8.8700000000000001E-2</v>
      </c>
      <c r="C11" s="2">
        <f t="shared" si="0"/>
        <v>1.3527262220310001</v>
      </c>
      <c r="D11" s="2">
        <f t="shared" ref="D11:D17" si="1">D10*(1+$B11)</f>
        <v>1.22054157</v>
      </c>
      <c r="E11" s="2">
        <f>E10*(1+$B11)</f>
        <v>1.0887</v>
      </c>
      <c r="F11">
        <v>1</v>
      </c>
    </row>
    <row r="12" spans="1:12" x14ac:dyDescent="0.2">
      <c r="A12">
        <v>2012</v>
      </c>
      <c r="B12" s="8">
        <v>9.2999999999999999E-2</v>
      </c>
      <c r="C12" s="2">
        <f t="shared" si="0"/>
        <v>1.4785297606798831</v>
      </c>
      <c r="D12" s="2">
        <f t="shared" si="1"/>
        <v>1.3340519360099998</v>
      </c>
      <c r="E12" s="2">
        <f t="shared" ref="E12:E17" si="2">E11*(1+$B12)</f>
        <v>1.1899491</v>
      </c>
      <c r="F12" s="2">
        <f t="shared" ref="F12:F17" si="3">F11*(1+$B12)</f>
        <v>1.093</v>
      </c>
      <c r="G12">
        <v>1</v>
      </c>
    </row>
    <row r="13" spans="1:12" x14ac:dyDescent="0.2">
      <c r="A13">
        <v>2013</v>
      </c>
      <c r="B13" s="8">
        <v>0.10920000000000001</v>
      </c>
      <c r="C13" s="2">
        <f t="shared" si="0"/>
        <v>1.6399852105461263</v>
      </c>
      <c r="D13" s="2">
        <f t="shared" si="1"/>
        <v>1.4797304074222917</v>
      </c>
      <c r="E13" s="2">
        <f t="shared" si="2"/>
        <v>1.3198915417199999</v>
      </c>
      <c r="F13" s="2">
        <f t="shared" si="3"/>
        <v>1.2123556</v>
      </c>
      <c r="G13" s="2">
        <f>G12*(1+$B13)</f>
        <v>1.1092</v>
      </c>
      <c r="H13">
        <v>1</v>
      </c>
    </row>
    <row r="14" spans="1:12" x14ac:dyDescent="0.2">
      <c r="A14">
        <v>2014</v>
      </c>
      <c r="B14" s="8">
        <v>6.3700000000000007E-2</v>
      </c>
      <c r="C14" s="2">
        <f t="shared" si="0"/>
        <v>1.7444522684579147</v>
      </c>
      <c r="D14" s="2">
        <f t="shared" si="1"/>
        <v>1.5739892343750919</v>
      </c>
      <c r="E14" s="2">
        <f t="shared" si="2"/>
        <v>1.403968632927564</v>
      </c>
      <c r="F14" s="2">
        <f t="shared" si="3"/>
        <v>1.2895826517200002</v>
      </c>
      <c r="G14" s="2">
        <f>G13*(1+$B14)</f>
        <v>1.17985604</v>
      </c>
      <c r="H14" s="2">
        <f>H13*(1+$B14)</f>
        <v>1.0637000000000001</v>
      </c>
      <c r="I14">
        <v>1</v>
      </c>
    </row>
    <row r="15" spans="1:12" x14ac:dyDescent="0.2">
      <c r="A15">
        <v>2015</v>
      </c>
      <c r="B15" s="8">
        <v>5.8799999999999998E-2</v>
      </c>
      <c r="C15" s="2">
        <f t="shared" si="0"/>
        <v>1.8470260618432399</v>
      </c>
      <c r="D15" s="2">
        <f t="shared" si="1"/>
        <v>1.6665398013563473</v>
      </c>
      <c r="E15" s="2">
        <f t="shared" si="2"/>
        <v>1.4865219885437047</v>
      </c>
      <c r="F15" s="2">
        <f t="shared" si="3"/>
        <v>1.3654101116411361</v>
      </c>
      <c r="G15" s="2">
        <f>G14*(1+$B15)</f>
        <v>1.249231575152</v>
      </c>
      <c r="H15" s="2">
        <f>H14*(1+$B15)</f>
        <v>1.1262455600000001</v>
      </c>
      <c r="I15" s="2">
        <f>I14*(1+$B15)</f>
        <v>1.0588</v>
      </c>
      <c r="J15">
        <v>1</v>
      </c>
    </row>
    <row r="16" spans="1:12" x14ac:dyDescent="0.2">
      <c r="A16">
        <v>2016</v>
      </c>
      <c r="B16" s="8">
        <v>4.9700000000000001E-2</v>
      </c>
      <c r="C16" s="2">
        <f t="shared" si="0"/>
        <v>1.9388232571168491</v>
      </c>
      <c r="D16" s="2">
        <f t="shared" si="1"/>
        <v>1.7493668294837579</v>
      </c>
      <c r="E16" s="2">
        <f t="shared" si="2"/>
        <v>1.5604021313743268</v>
      </c>
      <c r="F16" s="2">
        <f t="shared" si="3"/>
        <v>1.4332709941897006</v>
      </c>
      <c r="G16" s="2">
        <f>G15*(1+$B16)</f>
        <v>1.3113183844370544</v>
      </c>
      <c r="H16" s="2">
        <f>H15*(1+$B16)</f>
        <v>1.1822199643320002</v>
      </c>
      <c r="I16" s="2">
        <f>I15*(1+$B16)</f>
        <v>1.1114223599999999</v>
      </c>
      <c r="J16" s="2">
        <f>J15*(1+$B16)</f>
        <v>1.0497000000000001</v>
      </c>
      <c r="K16">
        <v>1</v>
      </c>
    </row>
    <row r="17" spans="1:12" x14ac:dyDescent="0.2">
      <c r="A17">
        <v>2017</v>
      </c>
      <c r="B17" s="8">
        <v>2.0799999999999999E-2</v>
      </c>
      <c r="C17" s="2">
        <f t="shared" si="0"/>
        <v>1.9791507808648794</v>
      </c>
      <c r="D17" s="2">
        <f t="shared" si="1"/>
        <v>1.7857536595370198</v>
      </c>
      <c r="E17" s="2">
        <f t="shared" si="2"/>
        <v>1.5928584957069127</v>
      </c>
      <c r="F17" s="2">
        <f t="shared" si="3"/>
        <v>1.4630830308688463</v>
      </c>
      <c r="G17" s="2">
        <f>G16*(1+$B17)</f>
        <v>1.3385938068333449</v>
      </c>
      <c r="H17" s="2">
        <f>H16*(1+$B17)</f>
        <v>1.2068101395901056</v>
      </c>
      <c r="I17" s="2">
        <f>I16*(1+$B17)</f>
        <v>1.1345399450879998</v>
      </c>
      <c r="J17" s="2">
        <f>J16*(1+$B17)</f>
        <v>1.0715337600000001</v>
      </c>
      <c r="K17" s="2">
        <f>K16*(1+$B17)</f>
        <v>1.0207999999999999</v>
      </c>
      <c r="L17">
        <v>1</v>
      </c>
    </row>
    <row r="20" spans="1:12" x14ac:dyDescent="0.2">
      <c r="A20" t="s">
        <v>121</v>
      </c>
    </row>
    <row r="21" spans="1:12" x14ac:dyDescent="0.2">
      <c r="A21" t="s">
        <v>109</v>
      </c>
    </row>
    <row r="22" spans="1:12" ht="30" x14ac:dyDescent="0.2">
      <c r="B22" s="13" t="s">
        <v>107</v>
      </c>
      <c r="C22">
        <v>2008</v>
      </c>
      <c r="D22">
        <v>2009</v>
      </c>
      <c r="E22">
        <v>2010</v>
      </c>
      <c r="F22">
        <v>2011</v>
      </c>
      <c r="G22">
        <v>2012</v>
      </c>
      <c r="H22">
        <v>2013</v>
      </c>
      <c r="I22">
        <v>2014</v>
      </c>
      <c r="J22">
        <v>2015</v>
      </c>
      <c r="K22">
        <v>2016</v>
      </c>
      <c r="L22">
        <v>2017</v>
      </c>
    </row>
    <row r="23" spans="1:12" x14ac:dyDescent="0.2">
      <c r="A23">
        <v>2008</v>
      </c>
      <c r="B23" s="8">
        <v>3.85E-2</v>
      </c>
      <c r="C23">
        <v>1</v>
      </c>
      <c r="D23" s="2"/>
    </row>
    <row r="24" spans="1:12" x14ac:dyDescent="0.2">
      <c r="A24">
        <v>2009</v>
      </c>
      <c r="B24" s="8">
        <v>-3.3999999999999998E-3</v>
      </c>
      <c r="C24" s="2">
        <f>C23*(1+$B24)</f>
        <v>0.99660000000000004</v>
      </c>
      <c r="D24">
        <v>1</v>
      </c>
    </row>
    <row r="25" spans="1:12" x14ac:dyDescent="0.2">
      <c r="A25">
        <v>2010</v>
      </c>
      <c r="B25" s="8">
        <v>1.6400000000000001E-2</v>
      </c>
      <c r="C25" s="2">
        <f t="shared" ref="C25:C32" si="4">C24*(1+B25)</f>
        <v>1.0129442399999999</v>
      </c>
      <c r="D25" s="2">
        <f>D24*(1+$B25)</f>
        <v>1.0164</v>
      </c>
      <c r="E25">
        <v>1</v>
      </c>
    </row>
    <row r="26" spans="1:12" x14ac:dyDescent="0.2">
      <c r="A26">
        <v>2011</v>
      </c>
      <c r="B26" s="8">
        <v>3.1600000000000003E-2</v>
      </c>
      <c r="C26" s="2">
        <f t="shared" si="4"/>
        <v>1.0449532779840001</v>
      </c>
      <c r="D26" s="2">
        <f t="shared" ref="D26:D32" si="5">D25*(1+$B26)</f>
        <v>1.0485182399999999</v>
      </c>
      <c r="E26" s="2">
        <f>E25*(1+$B26)</f>
        <v>1.0316000000000001</v>
      </c>
      <c r="F26">
        <v>1</v>
      </c>
    </row>
    <row r="27" spans="1:12" x14ac:dyDescent="0.2">
      <c r="A27">
        <v>2012</v>
      </c>
      <c r="B27" s="8">
        <v>2.07E-2</v>
      </c>
      <c r="C27" s="2">
        <f t="shared" si="4"/>
        <v>1.0665838108382688</v>
      </c>
      <c r="D27" s="2">
        <f t="shared" si="5"/>
        <v>1.0702225675679999</v>
      </c>
      <c r="E27" s="2">
        <f t="shared" ref="E27:E32" si="6">E26*(1+$B27)</f>
        <v>1.0529541200000001</v>
      </c>
      <c r="F27" s="2">
        <f t="shared" ref="F27:F32" si="7">F26*(1+$B27)</f>
        <v>1.0206999999999999</v>
      </c>
      <c r="G27">
        <v>1</v>
      </c>
    </row>
    <row r="28" spans="1:12" x14ac:dyDescent="0.2">
      <c r="A28">
        <v>2013</v>
      </c>
      <c r="B28" s="8">
        <v>1.47E-2</v>
      </c>
      <c r="C28" s="2">
        <f t="shared" si="4"/>
        <v>1.0822625928575913</v>
      </c>
      <c r="D28" s="2">
        <f t="shared" si="5"/>
        <v>1.0859548393112495</v>
      </c>
      <c r="E28" s="2">
        <f t="shared" si="6"/>
        <v>1.068432545564</v>
      </c>
      <c r="F28" s="2">
        <f t="shared" si="7"/>
        <v>1.03570429</v>
      </c>
      <c r="G28" s="2">
        <f>G27*(1+$B28)</f>
        <v>1.0146999999999999</v>
      </c>
      <c r="H28">
        <v>1</v>
      </c>
    </row>
    <row r="29" spans="1:12" x14ac:dyDescent="0.2">
      <c r="A29">
        <v>2014</v>
      </c>
      <c r="B29" s="8">
        <v>1.6199999999999999E-2</v>
      </c>
      <c r="C29" s="2">
        <f t="shared" si="4"/>
        <v>1.0997952468618843</v>
      </c>
      <c r="D29" s="2">
        <f t="shared" si="5"/>
        <v>1.1035473077080917</v>
      </c>
      <c r="E29" s="2">
        <f t="shared" si="6"/>
        <v>1.0857411528021368</v>
      </c>
      <c r="F29" s="2">
        <f t="shared" si="7"/>
        <v>1.0524826994979999</v>
      </c>
      <c r="G29" s="2">
        <f>G28*(1+$B29)</f>
        <v>1.0311381399999999</v>
      </c>
      <c r="H29" s="2">
        <f>H28*(1+$B29)</f>
        <v>1.0162</v>
      </c>
      <c r="I29">
        <v>1</v>
      </c>
    </row>
    <row r="30" spans="1:12" x14ac:dyDescent="0.2">
      <c r="A30">
        <v>2015</v>
      </c>
      <c r="B30" s="8">
        <v>1.1999999999999999E-3</v>
      </c>
      <c r="C30" s="2">
        <f t="shared" si="4"/>
        <v>1.1011150011581188</v>
      </c>
      <c r="D30" s="2">
        <f t="shared" si="5"/>
        <v>1.1048715644773415</v>
      </c>
      <c r="E30" s="2">
        <f t="shared" si="6"/>
        <v>1.0870440421854994</v>
      </c>
      <c r="F30" s="2">
        <f t="shared" si="7"/>
        <v>1.0537456787373976</v>
      </c>
      <c r="G30" s="2">
        <f>G29*(1+$B30)</f>
        <v>1.032375505768</v>
      </c>
      <c r="H30" s="2">
        <f>H29*(1+$B30)</f>
        <v>1.0174194400000001</v>
      </c>
      <c r="I30" s="2">
        <f>I29*(1+$B30)</f>
        <v>1.0012000000000001</v>
      </c>
      <c r="J30">
        <v>1</v>
      </c>
    </row>
    <row r="31" spans="1:12" x14ac:dyDescent="0.2">
      <c r="A31">
        <v>2016</v>
      </c>
      <c r="B31" s="8">
        <v>1.26E-2</v>
      </c>
      <c r="C31" s="2">
        <f t="shared" si="4"/>
        <v>1.1149890501727111</v>
      </c>
      <c r="D31" s="2">
        <f t="shared" si="5"/>
        <v>1.1187929461897559</v>
      </c>
      <c r="E31" s="2">
        <f t="shared" si="6"/>
        <v>1.1007407971170367</v>
      </c>
      <c r="F31" s="2">
        <f t="shared" si="7"/>
        <v>1.0670228742894887</v>
      </c>
      <c r="G31" s="2">
        <f>G30*(1+$B31)</f>
        <v>1.0453834371406767</v>
      </c>
      <c r="H31" s="2">
        <f>H30*(1+$B31)</f>
        <v>1.030238924944</v>
      </c>
      <c r="I31" s="2">
        <f>I30*(1+$B31)</f>
        <v>1.0138151200000001</v>
      </c>
      <c r="J31" s="2">
        <f>J30*(1+$B31)</f>
        <v>1.0125999999999999</v>
      </c>
      <c r="K31">
        <v>1</v>
      </c>
    </row>
    <row r="32" spans="1:12" x14ac:dyDescent="0.2">
      <c r="A32">
        <v>2017</v>
      </c>
      <c r="B32" s="8">
        <v>2.2200000000000001E-2</v>
      </c>
      <c r="C32" s="2">
        <f t="shared" si="4"/>
        <v>1.1397418070865453</v>
      </c>
      <c r="D32" s="2">
        <f t="shared" si="5"/>
        <v>1.1436301495951684</v>
      </c>
      <c r="E32" s="2">
        <f t="shared" si="6"/>
        <v>1.1251772428130349</v>
      </c>
      <c r="F32" s="2">
        <f t="shared" si="7"/>
        <v>1.0907107820987154</v>
      </c>
      <c r="G32" s="2">
        <f>G31*(1+$B32)</f>
        <v>1.0685909494451997</v>
      </c>
      <c r="H32" s="2">
        <f>H31*(1+$B32)</f>
        <v>1.0531102290777568</v>
      </c>
      <c r="I32" s="2">
        <f>I31*(1+$B32)</f>
        <v>1.0363218156640002</v>
      </c>
      <c r="J32" s="2">
        <f>J31*(1+$B32)</f>
        <v>1.0350797199999999</v>
      </c>
      <c r="K32" s="2">
        <f>K31*(1+$B32)</f>
        <v>1.0222</v>
      </c>
      <c r="L32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9" sqref="C9"/>
    </sheetView>
  </sheetViews>
  <sheetFormatPr baseColWidth="10" defaultRowHeight="15" x14ac:dyDescent="0.2"/>
  <cols>
    <col min="1" max="1" width="24.6640625" bestFit="1" customWidth="1"/>
  </cols>
  <sheetData>
    <row r="1" spans="1:4" x14ac:dyDescent="0.2">
      <c r="A1" t="s">
        <v>484</v>
      </c>
    </row>
    <row r="2" spans="1:4" x14ac:dyDescent="0.2">
      <c r="A2" t="s">
        <v>485</v>
      </c>
    </row>
    <row r="3" spans="1:4" x14ac:dyDescent="0.2">
      <c r="C3">
        <v>70</v>
      </c>
      <c r="D3" t="s">
        <v>489</v>
      </c>
    </row>
    <row r="5" spans="1:4" x14ac:dyDescent="0.2">
      <c r="A5" t="s">
        <v>486</v>
      </c>
      <c r="B5" t="s">
        <v>487</v>
      </c>
      <c r="C5" t="s">
        <v>488</v>
      </c>
    </row>
    <row r="6" spans="1:4" x14ac:dyDescent="0.2">
      <c r="A6">
        <v>210</v>
      </c>
      <c r="B6">
        <v>4500000</v>
      </c>
      <c r="C6" s="5">
        <f>B6/$C$3</f>
        <v>64285.714285714283</v>
      </c>
    </row>
    <row r="7" spans="1:4" x14ac:dyDescent="0.2">
      <c r="A7">
        <v>250</v>
      </c>
      <c r="B7">
        <v>4500000</v>
      </c>
      <c r="C7" s="5">
        <f t="shared" ref="C7:C14" si="0">B7/$C$3</f>
        <v>64285.714285714283</v>
      </c>
    </row>
    <row r="8" spans="1:4" x14ac:dyDescent="0.2">
      <c r="A8">
        <v>300</v>
      </c>
      <c r="B8">
        <v>4350000</v>
      </c>
      <c r="C8" s="5">
        <f t="shared" si="0"/>
        <v>62142.857142857145</v>
      </c>
    </row>
    <row r="9" spans="1:4" x14ac:dyDescent="0.2">
      <c r="A9">
        <v>500</v>
      </c>
      <c r="B9">
        <v>4050000</v>
      </c>
      <c r="C9" s="5">
        <f t="shared" si="0"/>
        <v>57857.142857142855</v>
      </c>
    </row>
    <row r="10" spans="1:4" x14ac:dyDescent="0.2">
      <c r="A10">
        <v>525</v>
      </c>
      <c r="B10">
        <v>4050000</v>
      </c>
      <c r="C10" s="5">
        <f t="shared" si="0"/>
        <v>57857.142857142855</v>
      </c>
    </row>
    <row r="11" spans="1:4" x14ac:dyDescent="0.2">
      <c r="A11">
        <v>600</v>
      </c>
      <c r="B11">
        <v>3700000</v>
      </c>
      <c r="C11" s="5">
        <f t="shared" si="0"/>
        <v>52857.142857142855</v>
      </c>
    </row>
    <row r="12" spans="1:4" x14ac:dyDescent="0.2">
      <c r="A12">
        <v>660</v>
      </c>
      <c r="B12">
        <v>3700000</v>
      </c>
      <c r="C12" s="5">
        <f t="shared" si="0"/>
        <v>52857.142857142855</v>
      </c>
    </row>
    <row r="13" spans="1:4" x14ac:dyDescent="0.2">
      <c r="A13">
        <v>800</v>
      </c>
      <c r="B13">
        <v>3000000</v>
      </c>
      <c r="C13" s="5">
        <f t="shared" si="0"/>
        <v>42857.142857142855</v>
      </c>
    </row>
    <row r="14" spans="1:4" x14ac:dyDescent="0.2">
      <c r="A14">
        <v>830</v>
      </c>
      <c r="B14">
        <v>3000000</v>
      </c>
      <c r="C14" s="5">
        <f t="shared" si="0"/>
        <v>42857.142857142855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opLeftCell="A16" workbookViewId="0">
      <selection activeCell="G37" sqref="G37"/>
    </sheetView>
  </sheetViews>
  <sheetFormatPr baseColWidth="10" defaultColWidth="8.83203125" defaultRowHeight="15" x14ac:dyDescent="0.2"/>
  <cols>
    <col min="1" max="1" width="27.33203125" customWidth="1"/>
    <col min="2" max="2" width="20.5" bestFit="1" customWidth="1"/>
    <col min="3" max="3" width="18.33203125" bestFit="1" customWidth="1"/>
    <col min="4" max="4" width="30.5" bestFit="1" customWidth="1"/>
    <col min="5" max="5" width="22.5" bestFit="1" customWidth="1"/>
    <col min="6" max="6" width="24.33203125" customWidth="1"/>
    <col min="7" max="7" width="20.5" bestFit="1" customWidth="1"/>
    <col min="8" max="8" width="20.5" customWidth="1"/>
    <col min="9" max="9" width="32.83203125" customWidth="1"/>
  </cols>
  <sheetData>
    <row r="1" spans="1:9" x14ac:dyDescent="0.2">
      <c r="A1" t="s">
        <v>404</v>
      </c>
    </row>
    <row r="4" spans="1:9" x14ac:dyDescent="0.2">
      <c r="A4" s="7" t="s">
        <v>403</v>
      </c>
      <c r="B4" s="7" t="s">
        <v>402</v>
      </c>
      <c r="C4" s="7" t="s">
        <v>401</v>
      </c>
      <c r="D4" s="7" t="s">
        <v>400</v>
      </c>
      <c r="E4" s="7" t="s">
        <v>399</v>
      </c>
      <c r="F4" s="7" t="s">
        <v>398</v>
      </c>
      <c r="G4" s="7" t="s">
        <v>397</v>
      </c>
      <c r="H4" s="7" t="s">
        <v>396</v>
      </c>
      <c r="I4" s="7" t="s">
        <v>226</v>
      </c>
    </row>
    <row r="5" spans="1:9" x14ac:dyDescent="0.2">
      <c r="A5" t="s">
        <v>395</v>
      </c>
      <c r="B5">
        <v>0</v>
      </c>
      <c r="C5" t="s">
        <v>394</v>
      </c>
    </row>
    <row r="6" spans="1:9" x14ac:dyDescent="0.2">
      <c r="B6">
        <v>200</v>
      </c>
      <c r="C6" t="s">
        <v>393</v>
      </c>
    </row>
    <row r="7" spans="1:9" x14ac:dyDescent="0.2">
      <c r="B7">
        <v>200</v>
      </c>
      <c r="C7" t="s">
        <v>392</v>
      </c>
    </row>
    <row r="8" spans="1:9" x14ac:dyDescent="0.2">
      <c r="B8">
        <v>200</v>
      </c>
      <c r="C8" t="s">
        <v>391</v>
      </c>
    </row>
    <row r="9" spans="1:9" x14ac:dyDescent="0.2">
      <c r="B9">
        <v>200</v>
      </c>
      <c r="C9" t="s">
        <v>390</v>
      </c>
    </row>
    <row r="10" spans="1:9" x14ac:dyDescent="0.2">
      <c r="B10">
        <v>200</v>
      </c>
      <c r="C10" t="s">
        <v>389</v>
      </c>
    </row>
    <row r="11" spans="1:9" x14ac:dyDescent="0.2">
      <c r="B11">
        <v>300</v>
      </c>
      <c r="C11" t="s">
        <v>393</v>
      </c>
    </row>
    <row r="12" spans="1:9" x14ac:dyDescent="0.2">
      <c r="B12">
        <v>300</v>
      </c>
      <c r="C12" t="s">
        <v>392</v>
      </c>
    </row>
    <row r="13" spans="1:9" x14ac:dyDescent="0.2">
      <c r="B13">
        <v>300</v>
      </c>
      <c r="C13" t="s">
        <v>391</v>
      </c>
    </row>
    <row r="14" spans="1:9" x14ac:dyDescent="0.2">
      <c r="B14">
        <v>300</v>
      </c>
      <c r="C14" t="s">
        <v>390</v>
      </c>
    </row>
    <row r="15" spans="1:9" x14ac:dyDescent="0.2">
      <c r="B15">
        <v>300</v>
      </c>
      <c r="C15" t="s">
        <v>389</v>
      </c>
    </row>
    <row r="16" spans="1:9" x14ac:dyDescent="0.2">
      <c r="B16">
        <v>400</v>
      </c>
      <c r="C16" t="s">
        <v>393</v>
      </c>
    </row>
    <row r="17" spans="1:9" x14ac:dyDescent="0.2">
      <c r="B17">
        <v>400</v>
      </c>
      <c r="C17" t="s">
        <v>392</v>
      </c>
    </row>
    <row r="18" spans="1:9" x14ac:dyDescent="0.2">
      <c r="B18">
        <v>400</v>
      </c>
      <c r="C18" t="s">
        <v>391</v>
      </c>
    </row>
    <row r="19" spans="1:9" x14ac:dyDescent="0.2">
      <c r="B19">
        <v>400</v>
      </c>
      <c r="C19" t="s">
        <v>390</v>
      </c>
    </row>
    <row r="20" spans="1:9" x14ac:dyDescent="0.2">
      <c r="B20">
        <v>400</v>
      </c>
      <c r="C20" t="s">
        <v>389</v>
      </c>
    </row>
    <row r="22" spans="1:9" x14ac:dyDescent="0.2">
      <c r="A22" s="7" t="s">
        <v>388</v>
      </c>
    </row>
    <row r="23" spans="1:9" x14ac:dyDescent="0.2">
      <c r="A23" t="s">
        <v>387</v>
      </c>
      <c r="D23" s="13" t="s">
        <v>386</v>
      </c>
    </row>
    <row r="24" spans="1:9" x14ac:dyDescent="0.2">
      <c r="D24" s="7" t="s">
        <v>385</v>
      </c>
      <c r="G24" t="s">
        <v>384</v>
      </c>
    </row>
    <row r="25" spans="1:9" x14ac:dyDescent="0.2">
      <c r="D25" s="7" t="s">
        <v>383</v>
      </c>
      <c r="G25" t="s">
        <v>382</v>
      </c>
      <c r="H25" t="s">
        <v>436</v>
      </c>
      <c r="I25" t="s">
        <v>437</v>
      </c>
    </row>
    <row r="26" spans="1:9" x14ac:dyDescent="0.2">
      <c r="E26" s="7" t="s">
        <v>381</v>
      </c>
      <c r="G26" t="s">
        <v>380</v>
      </c>
      <c r="H26" t="s">
        <v>311</v>
      </c>
    </row>
    <row r="27" spans="1:9" x14ac:dyDescent="0.2">
      <c r="F27" t="s">
        <v>379</v>
      </c>
      <c r="G27" t="s">
        <v>378</v>
      </c>
      <c r="H27" t="s">
        <v>371</v>
      </c>
    </row>
    <row r="28" spans="1:9" x14ac:dyDescent="0.2">
      <c r="F28" t="s">
        <v>377</v>
      </c>
      <c r="G28" t="s">
        <v>376</v>
      </c>
      <c r="H28" t="s">
        <v>371</v>
      </c>
    </row>
    <row r="29" spans="1:9" x14ac:dyDescent="0.2">
      <c r="F29" t="s">
        <v>375</v>
      </c>
      <c r="G29" t="s">
        <v>374</v>
      </c>
      <c r="H29" t="s">
        <v>371</v>
      </c>
    </row>
    <row r="30" spans="1:9" x14ac:dyDescent="0.2">
      <c r="F30" t="s">
        <v>373</v>
      </c>
      <c r="G30" t="s">
        <v>372</v>
      </c>
      <c r="H30" t="s">
        <v>371</v>
      </c>
    </row>
    <row r="31" spans="1:9" x14ac:dyDescent="0.2">
      <c r="D31" s="7" t="s">
        <v>370</v>
      </c>
      <c r="G31" t="s">
        <v>369</v>
      </c>
      <c r="H31" t="s">
        <v>352</v>
      </c>
      <c r="I31" t="s">
        <v>368</v>
      </c>
    </row>
    <row r="32" spans="1:9" x14ac:dyDescent="0.2">
      <c r="D32" s="7" t="s">
        <v>367</v>
      </c>
      <c r="G32" t="s">
        <v>366</v>
      </c>
      <c r="H32" t="s">
        <v>352</v>
      </c>
      <c r="I32" t="s">
        <v>365</v>
      </c>
    </row>
    <row r="33" spans="4:9" x14ac:dyDescent="0.2">
      <c r="D33" s="7" t="s">
        <v>364</v>
      </c>
      <c r="G33" t="s">
        <v>363</v>
      </c>
      <c r="I33" t="s">
        <v>362</v>
      </c>
    </row>
    <row r="34" spans="4:9" x14ac:dyDescent="0.2">
      <c r="D34" s="22" t="s">
        <v>361</v>
      </c>
      <c r="G34" t="s">
        <v>360</v>
      </c>
      <c r="H34" t="s">
        <v>352</v>
      </c>
      <c r="I34" t="s">
        <v>338</v>
      </c>
    </row>
    <row r="35" spans="4:9" x14ac:dyDescent="0.2">
      <c r="D35" s="7" t="s">
        <v>359</v>
      </c>
      <c r="G35" t="s">
        <v>358</v>
      </c>
      <c r="H35" t="s">
        <v>352</v>
      </c>
      <c r="I35" t="s">
        <v>357</v>
      </c>
    </row>
    <row r="36" spans="4:9" x14ac:dyDescent="0.2">
      <c r="D36" s="22" t="s">
        <v>356</v>
      </c>
      <c r="G36" t="s">
        <v>355</v>
      </c>
      <c r="H36" t="s">
        <v>352</v>
      </c>
      <c r="I36" t="s">
        <v>338</v>
      </c>
    </row>
    <row r="37" spans="4:9" x14ac:dyDescent="0.2">
      <c r="D37" s="7" t="s">
        <v>354</v>
      </c>
      <c r="G37" t="s">
        <v>353</v>
      </c>
      <c r="H37" t="s">
        <v>352</v>
      </c>
      <c r="I37" t="s">
        <v>351</v>
      </c>
    </row>
    <row r="38" spans="4:9" x14ac:dyDescent="0.2">
      <c r="D38" t="s">
        <v>350</v>
      </c>
      <c r="I38" t="s">
        <v>348</v>
      </c>
    </row>
    <row r="39" spans="4:9" x14ac:dyDescent="0.2">
      <c r="D39" t="s">
        <v>349</v>
      </c>
      <c r="I39" t="s">
        <v>348</v>
      </c>
    </row>
    <row r="40" spans="4:9" x14ac:dyDescent="0.2">
      <c r="D40" t="s">
        <v>347</v>
      </c>
      <c r="F40" t="s">
        <v>346</v>
      </c>
      <c r="I40" t="s">
        <v>343</v>
      </c>
    </row>
    <row r="41" spans="4:9" x14ac:dyDescent="0.2">
      <c r="D41" t="s">
        <v>345</v>
      </c>
      <c r="F41" t="s">
        <v>344</v>
      </c>
      <c r="I41" t="s">
        <v>343</v>
      </c>
    </row>
    <row r="42" spans="4:9" x14ac:dyDescent="0.2">
      <c r="D42" s="7" t="s">
        <v>342</v>
      </c>
      <c r="G42" t="s">
        <v>341</v>
      </c>
    </row>
    <row r="43" spans="4:9" x14ac:dyDescent="0.2">
      <c r="D43" t="s">
        <v>340</v>
      </c>
      <c r="I43" t="s">
        <v>338</v>
      </c>
    </row>
    <row r="44" spans="4:9" x14ac:dyDescent="0.2">
      <c r="D44" t="s">
        <v>339</v>
      </c>
      <c r="I44" t="s">
        <v>338</v>
      </c>
    </row>
    <row r="45" spans="4:9" x14ac:dyDescent="0.2">
      <c r="D45" t="s">
        <v>337</v>
      </c>
      <c r="G45" t="s">
        <v>336</v>
      </c>
    </row>
    <row r="46" spans="4:9" x14ac:dyDescent="0.2">
      <c r="D46" s="7" t="s">
        <v>335</v>
      </c>
      <c r="G46" t="s">
        <v>334</v>
      </c>
    </row>
    <row r="47" spans="4:9" x14ac:dyDescent="0.2">
      <c r="D47" s="7" t="s">
        <v>333</v>
      </c>
      <c r="G47" t="s">
        <v>241</v>
      </c>
    </row>
    <row r="48" spans="4:9" x14ac:dyDescent="0.2">
      <c r="D48" t="s">
        <v>332</v>
      </c>
      <c r="G48" t="s">
        <v>331</v>
      </c>
    </row>
    <row r="49" spans="4:7" x14ac:dyDescent="0.2">
      <c r="D49" t="s">
        <v>330</v>
      </c>
      <c r="G49" t="s">
        <v>242</v>
      </c>
    </row>
    <row r="54" spans="4:7" x14ac:dyDescent="0.2">
      <c r="D54" t="s">
        <v>329</v>
      </c>
      <c r="E54" t="s">
        <v>328</v>
      </c>
      <c r="F54" t="s">
        <v>311</v>
      </c>
      <c r="G54" t="s">
        <v>327</v>
      </c>
    </row>
    <row r="55" spans="4:7" x14ac:dyDescent="0.2">
      <c r="D55" t="s">
        <v>322</v>
      </c>
      <c r="E55" t="s">
        <v>315</v>
      </c>
      <c r="F55" t="s">
        <v>313</v>
      </c>
      <c r="G55" t="s">
        <v>323</v>
      </c>
    </row>
    <row r="56" spans="4:7" x14ac:dyDescent="0.2">
      <c r="D56" t="s">
        <v>320</v>
      </c>
      <c r="E56" t="s">
        <v>314</v>
      </c>
      <c r="G56" t="s">
        <v>321</v>
      </c>
    </row>
    <row r="57" spans="4:7" x14ac:dyDescent="0.2">
      <c r="D57" t="s">
        <v>319</v>
      </c>
    </row>
    <row r="58" spans="4:7" x14ac:dyDescent="0.2">
      <c r="D58" t="s">
        <v>318</v>
      </c>
    </row>
    <row r="59" spans="4:7" x14ac:dyDescent="0.2">
      <c r="D59" t="s">
        <v>317</v>
      </c>
    </row>
    <row r="60" spans="4:7" x14ac:dyDescent="0.2">
      <c r="D60" t="s">
        <v>316</v>
      </c>
    </row>
    <row r="63" spans="4:7" x14ac:dyDescent="0.2">
      <c r="D63" t="s">
        <v>326</v>
      </c>
      <c r="E63" t="s">
        <v>325</v>
      </c>
      <c r="F63" t="s">
        <v>324</v>
      </c>
    </row>
    <row r="64" spans="4:7" x14ac:dyDescent="0.2">
      <c r="D64" t="s">
        <v>323</v>
      </c>
      <c r="E64" t="s">
        <v>322</v>
      </c>
      <c r="F64" t="s">
        <v>322</v>
      </c>
    </row>
    <row r="65" spans="4:6" x14ac:dyDescent="0.2">
      <c r="D65" t="s">
        <v>321</v>
      </c>
      <c r="E65" t="s">
        <v>320</v>
      </c>
      <c r="F65" t="s">
        <v>320</v>
      </c>
    </row>
    <row r="66" spans="4:6" x14ac:dyDescent="0.2">
      <c r="D66" t="s">
        <v>316</v>
      </c>
      <c r="E66" t="s">
        <v>319</v>
      </c>
      <c r="F66" t="s">
        <v>319</v>
      </c>
    </row>
    <row r="67" spans="4:6" x14ac:dyDescent="0.2">
      <c r="E67" t="s">
        <v>318</v>
      </c>
      <c r="F67" t="s">
        <v>318</v>
      </c>
    </row>
    <row r="68" spans="4:6" x14ac:dyDescent="0.2">
      <c r="E68" t="s">
        <v>317</v>
      </c>
      <c r="F68" t="s">
        <v>317</v>
      </c>
    </row>
    <row r="69" spans="4:6" x14ac:dyDescent="0.2">
      <c r="E69" t="s">
        <v>316</v>
      </c>
      <c r="F69" t="s">
        <v>316</v>
      </c>
    </row>
    <row r="70" spans="4:6" x14ac:dyDescent="0.2">
      <c r="E70" t="s">
        <v>315</v>
      </c>
      <c r="F70" t="s">
        <v>315</v>
      </c>
    </row>
    <row r="71" spans="4:6" x14ac:dyDescent="0.2">
      <c r="E71" t="s">
        <v>314</v>
      </c>
      <c r="F71" t="s">
        <v>314</v>
      </c>
    </row>
    <row r="72" spans="4:6" x14ac:dyDescent="0.2">
      <c r="F72" t="s">
        <v>313</v>
      </c>
    </row>
  </sheetData>
  <pageMargins left="0.7" right="0.7" top="0.75" bottom="0.75" header="0.3" footer="0.3"/>
  <pageSetup orientation="portrait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3" sqref="F3"/>
    </sheetView>
  </sheetViews>
  <sheetFormatPr baseColWidth="10" defaultColWidth="8.83203125" defaultRowHeight="15" x14ac:dyDescent="0.2"/>
  <cols>
    <col min="6" max="6" width="36.83203125" bestFit="1" customWidth="1"/>
    <col min="7" max="7" width="36.83203125" customWidth="1"/>
  </cols>
  <sheetData>
    <row r="1" spans="1:8" x14ac:dyDescent="0.2">
      <c r="A1" t="s">
        <v>312</v>
      </c>
      <c r="D1" t="s">
        <v>311</v>
      </c>
      <c r="H1" t="s">
        <v>310</v>
      </c>
    </row>
    <row r="2" spans="1:8" x14ac:dyDescent="0.2">
      <c r="A2" t="s">
        <v>309</v>
      </c>
      <c r="D2" t="s">
        <v>308</v>
      </c>
      <c r="E2" t="s">
        <v>307</v>
      </c>
      <c r="F2" t="s">
        <v>306</v>
      </c>
      <c r="H2" t="s">
        <v>305</v>
      </c>
    </row>
    <row r="3" spans="1:8" x14ac:dyDescent="0.2">
      <c r="A3" t="s">
        <v>303</v>
      </c>
      <c r="B3" t="s">
        <v>232</v>
      </c>
      <c r="C3" t="s">
        <v>304</v>
      </c>
      <c r="D3">
        <v>216</v>
      </c>
      <c r="E3">
        <f>D3/60</f>
        <v>3.6</v>
      </c>
      <c r="F3">
        <f>E3*15</f>
        <v>54</v>
      </c>
      <c r="H3">
        <v>3</v>
      </c>
    </row>
    <row r="4" spans="1:8" x14ac:dyDescent="0.2">
      <c r="A4" t="s">
        <v>303</v>
      </c>
      <c r="B4" t="s">
        <v>232</v>
      </c>
      <c r="C4" t="s">
        <v>301</v>
      </c>
      <c r="D4">
        <v>88</v>
      </c>
      <c r="E4">
        <f>D4/60</f>
        <v>1.4666666666666666</v>
      </c>
      <c r="F4">
        <f>E4*15</f>
        <v>22</v>
      </c>
      <c r="H4">
        <v>3</v>
      </c>
    </row>
    <row r="5" spans="1:8" x14ac:dyDescent="0.2">
      <c r="A5" t="s">
        <v>303</v>
      </c>
      <c r="B5" t="s">
        <v>302</v>
      </c>
      <c r="E5">
        <f>D5/60</f>
        <v>0</v>
      </c>
      <c r="F5">
        <f>E5*15</f>
        <v>0</v>
      </c>
      <c r="H5">
        <v>3</v>
      </c>
    </row>
    <row r="6" spans="1:8" x14ac:dyDescent="0.2">
      <c r="A6" t="s">
        <v>303</v>
      </c>
      <c r="B6" t="s">
        <v>302</v>
      </c>
      <c r="C6" t="s">
        <v>301</v>
      </c>
      <c r="D6">
        <v>89</v>
      </c>
      <c r="E6">
        <f>D6/60</f>
        <v>1.4833333333333334</v>
      </c>
      <c r="F6">
        <f>E6*15</f>
        <v>22.25</v>
      </c>
      <c r="H6">
        <v>3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"/>
  <sheetViews>
    <sheetView topLeftCell="I1" workbookViewId="0">
      <selection activeCell="Y11" sqref="Y11"/>
    </sheetView>
  </sheetViews>
  <sheetFormatPr baseColWidth="10" defaultColWidth="8.83203125" defaultRowHeight="15" x14ac:dyDescent="0.2"/>
  <cols>
    <col min="1" max="1" width="15.1640625" bestFit="1" customWidth="1"/>
    <col min="2" max="2" width="7.83203125" bestFit="1" customWidth="1"/>
    <col min="3" max="3" width="12.5" bestFit="1" customWidth="1"/>
    <col min="4" max="4" width="12.6640625" bestFit="1" customWidth="1"/>
    <col min="5" max="5" width="12.1640625" bestFit="1" customWidth="1"/>
    <col min="6" max="6" width="12.6640625" bestFit="1" customWidth="1"/>
    <col min="7" max="7" width="10.83203125" bestFit="1" customWidth="1"/>
    <col min="8" max="9" width="10.6640625" bestFit="1" customWidth="1"/>
    <col min="10" max="10" width="10.6640625" customWidth="1"/>
    <col min="11" max="13" width="12.5" bestFit="1" customWidth="1"/>
    <col min="14" max="16" width="11.6640625" bestFit="1" customWidth="1"/>
    <col min="17" max="17" width="16.6640625" bestFit="1" customWidth="1"/>
    <col min="18" max="18" width="12.1640625" bestFit="1" customWidth="1"/>
    <col min="19" max="19" width="10.6640625" bestFit="1" customWidth="1"/>
    <col min="20" max="20" width="11.33203125" bestFit="1" customWidth="1"/>
    <col min="21" max="21" width="16.5" bestFit="1" customWidth="1"/>
    <col min="22" max="25" width="14.6640625" bestFit="1" customWidth="1"/>
    <col min="26" max="26" width="14.6640625" customWidth="1"/>
    <col min="27" max="27" width="22.83203125" bestFit="1" customWidth="1"/>
    <col min="28" max="28" width="27.83203125" bestFit="1" customWidth="1"/>
    <col min="29" max="29" width="28.83203125" bestFit="1" customWidth="1"/>
    <col min="30" max="30" width="29.6640625" bestFit="1" customWidth="1"/>
  </cols>
  <sheetData>
    <row r="1" spans="1:30" x14ac:dyDescent="0.2">
      <c r="B1" t="s">
        <v>220</v>
      </c>
      <c r="C1" t="s">
        <v>227</v>
      </c>
      <c r="D1" t="s">
        <v>412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  <c r="J1" t="s">
        <v>480</v>
      </c>
      <c r="K1" t="s">
        <v>233</v>
      </c>
      <c r="L1" t="s">
        <v>234</v>
      </c>
      <c r="M1" t="s">
        <v>235</v>
      </c>
      <c r="N1" t="s">
        <v>236</v>
      </c>
      <c r="O1" t="s">
        <v>237</v>
      </c>
      <c r="P1" t="s">
        <v>238</v>
      </c>
      <c r="Q1" t="s">
        <v>239</v>
      </c>
      <c r="R1" t="s">
        <v>240</v>
      </c>
      <c r="S1" t="s">
        <v>241</v>
      </c>
      <c r="T1" t="s">
        <v>242</v>
      </c>
      <c r="U1" t="s">
        <v>414</v>
      </c>
      <c r="V1" t="s">
        <v>419</v>
      </c>
      <c r="W1" t="s">
        <v>420</v>
      </c>
      <c r="X1" t="s">
        <v>421</v>
      </c>
      <c r="Y1" t="s">
        <v>422</v>
      </c>
      <c r="Z1" t="s">
        <v>481</v>
      </c>
      <c r="AA1" t="s">
        <v>438</v>
      </c>
      <c r="AB1" t="s">
        <v>464</v>
      </c>
      <c r="AC1" t="s">
        <v>466</v>
      </c>
      <c r="AD1" t="s">
        <v>467</v>
      </c>
    </row>
    <row r="2" spans="1:30" x14ac:dyDescent="0.2">
      <c r="B2" t="s">
        <v>439</v>
      </c>
      <c r="C2" t="s">
        <v>440</v>
      </c>
      <c r="D2" t="s">
        <v>441</v>
      </c>
      <c r="E2" t="s">
        <v>442</v>
      </c>
      <c r="F2" t="s">
        <v>443</v>
      </c>
      <c r="G2" t="s">
        <v>444</v>
      </c>
      <c r="H2" t="s">
        <v>445</v>
      </c>
      <c r="I2" t="s">
        <v>446</v>
      </c>
      <c r="J2" t="s">
        <v>482</v>
      </c>
      <c r="K2" t="s">
        <v>447</v>
      </c>
      <c r="L2" t="s">
        <v>448</v>
      </c>
      <c r="M2" t="s">
        <v>449</v>
      </c>
      <c r="N2" t="s">
        <v>450</v>
      </c>
      <c r="O2" t="s">
        <v>451</v>
      </c>
      <c r="P2" t="s">
        <v>452</v>
      </c>
      <c r="Q2" t="s">
        <v>453</v>
      </c>
      <c r="R2" t="s">
        <v>454</v>
      </c>
      <c r="S2" t="s">
        <v>455</v>
      </c>
      <c r="T2" t="s">
        <v>456</v>
      </c>
      <c r="U2" t="s">
        <v>457</v>
      </c>
      <c r="V2" t="s">
        <v>458</v>
      </c>
      <c r="W2" t="s">
        <v>459</v>
      </c>
      <c r="X2" t="s">
        <v>460</v>
      </c>
      <c r="Y2" t="s">
        <v>461</v>
      </c>
      <c r="Z2" t="s">
        <v>483</v>
      </c>
      <c r="AA2" t="s">
        <v>462</v>
      </c>
      <c r="AB2" t="s">
        <v>470</v>
      </c>
      <c r="AC2" t="s">
        <v>471</v>
      </c>
      <c r="AD2" t="s">
        <v>472</v>
      </c>
    </row>
    <row r="3" spans="1:30" x14ac:dyDescent="0.2">
      <c r="A3" t="s">
        <v>409</v>
      </c>
      <c r="B3" t="s">
        <v>411</v>
      </c>
      <c r="C3" t="s">
        <v>411</v>
      </c>
      <c r="D3" t="s">
        <v>411</v>
      </c>
      <c r="E3" t="s">
        <v>411</v>
      </c>
      <c r="F3" t="s">
        <v>411</v>
      </c>
      <c r="G3" t="s">
        <v>411</v>
      </c>
      <c r="H3" t="s">
        <v>411</v>
      </c>
      <c r="I3" t="s">
        <v>411</v>
      </c>
      <c r="K3" t="s">
        <v>411</v>
      </c>
      <c r="L3" t="s">
        <v>411</v>
      </c>
      <c r="M3" t="s">
        <v>411</v>
      </c>
      <c r="N3" t="s">
        <v>411</v>
      </c>
      <c r="O3" t="s">
        <v>411</v>
      </c>
      <c r="P3" t="s">
        <v>411</v>
      </c>
      <c r="Q3" t="s">
        <v>411</v>
      </c>
      <c r="R3" t="s">
        <v>411</v>
      </c>
      <c r="S3" t="s">
        <v>411</v>
      </c>
      <c r="T3" t="s">
        <v>411</v>
      </c>
      <c r="U3" t="s">
        <v>411</v>
      </c>
      <c r="V3" t="s">
        <v>411</v>
      </c>
      <c r="W3" t="s">
        <v>411</v>
      </c>
      <c r="X3" t="s">
        <v>411</v>
      </c>
      <c r="Y3" t="s">
        <v>411</v>
      </c>
      <c r="AA3" t="s">
        <v>411</v>
      </c>
      <c r="AB3" t="s">
        <v>411</v>
      </c>
      <c r="AC3" t="s">
        <v>411</v>
      </c>
      <c r="AD3" t="s">
        <v>411</v>
      </c>
    </row>
    <row r="4" spans="1:30" x14ac:dyDescent="0.2">
      <c r="A4" t="s">
        <v>410</v>
      </c>
      <c r="B4" t="s">
        <v>411</v>
      </c>
      <c r="C4" t="s">
        <v>411</v>
      </c>
      <c r="D4" t="s">
        <v>411</v>
      </c>
      <c r="E4" t="s">
        <v>411</v>
      </c>
      <c r="F4" t="s">
        <v>411</v>
      </c>
      <c r="G4" t="s">
        <v>411</v>
      </c>
      <c r="H4" t="s">
        <v>411</v>
      </c>
      <c r="I4" t="s">
        <v>411</v>
      </c>
      <c r="K4" t="s">
        <v>411</v>
      </c>
      <c r="L4" t="s">
        <v>411</v>
      </c>
      <c r="M4" t="s">
        <v>411</v>
      </c>
      <c r="N4" t="s">
        <v>411</v>
      </c>
      <c r="O4" t="s">
        <v>411</v>
      </c>
      <c r="P4" t="s">
        <v>411</v>
      </c>
      <c r="Q4" t="s">
        <v>411</v>
      </c>
      <c r="R4" t="s">
        <v>411</v>
      </c>
      <c r="S4" t="s">
        <v>411</v>
      </c>
      <c r="T4" t="s">
        <v>411</v>
      </c>
      <c r="U4" t="s">
        <v>411</v>
      </c>
      <c r="V4" t="s">
        <v>411</v>
      </c>
      <c r="W4" t="s">
        <v>411</v>
      </c>
      <c r="X4" t="s">
        <v>411</v>
      </c>
      <c r="Y4" t="s">
        <v>411</v>
      </c>
      <c r="AA4" t="s">
        <v>411</v>
      </c>
      <c r="AB4" t="s">
        <v>411</v>
      </c>
      <c r="AC4" t="s">
        <v>411</v>
      </c>
      <c r="AD4" t="s">
        <v>411</v>
      </c>
    </row>
    <row r="5" spans="1:30" x14ac:dyDescent="0.2">
      <c r="A5" t="s">
        <v>406</v>
      </c>
      <c r="B5" t="s">
        <v>411</v>
      </c>
      <c r="C5" t="s">
        <v>411</v>
      </c>
      <c r="D5" t="s">
        <v>411</v>
      </c>
      <c r="H5" t="s">
        <v>411</v>
      </c>
      <c r="I5" t="s">
        <v>411</v>
      </c>
      <c r="K5" t="s">
        <v>411</v>
      </c>
      <c r="L5" t="s">
        <v>411</v>
      </c>
      <c r="M5" t="s">
        <v>411</v>
      </c>
      <c r="N5" t="s">
        <v>411</v>
      </c>
      <c r="O5" t="s">
        <v>411</v>
      </c>
      <c r="P5" t="s">
        <v>411</v>
      </c>
      <c r="Q5" t="s">
        <v>411</v>
      </c>
      <c r="R5" t="s">
        <v>411</v>
      </c>
      <c r="S5" t="s">
        <v>411</v>
      </c>
      <c r="U5" t="s">
        <v>411</v>
      </c>
      <c r="W5" t="s">
        <v>411</v>
      </c>
      <c r="Y5" t="s">
        <v>411</v>
      </c>
      <c r="AA5" t="s">
        <v>411</v>
      </c>
    </row>
    <row r="6" spans="1:30" x14ac:dyDescent="0.2">
      <c r="A6" t="s">
        <v>407</v>
      </c>
      <c r="B6" t="s">
        <v>411</v>
      </c>
      <c r="C6" t="s">
        <v>463</v>
      </c>
      <c r="D6" t="s">
        <v>411</v>
      </c>
      <c r="H6" t="s">
        <v>411</v>
      </c>
      <c r="I6" t="s">
        <v>411</v>
      </c>
      <c r="K6" t="s">
        <v>411</v>
      </c>
      <c r="L6" t="s">
        <v>411</v>
      </c>
      <c r="M6" t="s">
        <v>411</v>
      </c>
      <c r="N6" t="s">
        <v>411</v>
      </c>
      <c r="O6" t="s">
        <v>411</v>
      </c>
      <c r="P6" t="s">
        <v>411</v>
      </c>
      <c r="Q6" t="s">
        <v>411</v>
      </c>
      <c r="R6" t="s">
        <v>411</v>
      </c>
      <c r="S6" t="s">
        <v>411</v>
      </c>
      <c r="U6" t="s">
        <v>411</v>
      </c>
      <c r="W6" t="s">
        <v>411</v>
      </c>
      <c r="Y6" t="s">
        <v>411</v>
      </c>
      <c r="AA6" t="s">
        <v>411</v>
      </c>
    </row>
    <row r="7" spans="1:30" x14ac:dyDescent="0.2">
      <c r="A7" t="s">
        <v>408</v>
      </c>
      <c r="B7" t="s">
        <v>411</v>
      </c>
      <c r="C7" t="s">
        <v>463</v>
      </c>
      <c r="D7" t="s">
        <v>411</v>
      </c>
      <c r="H7" t="s">
        <v>411</v>
      </c>
      <c r="I7" t="s">
        <v>411</v>
      </c>
      <c r="K7" t="s">
        <v>411</v>
      </c>
      <c r="L7" t="s">
        <v>411</v>
      </c>
      <c r="M7" t="s">
        <v>411</v>
      </c>
      <c r="N7" t="s">
        <v>411</v>
      </c>
      <c r="O7" t="s">
        <v>411</v>
      </c>
      <c r="P7" t="s">
        <v>411</v>
      </c>
      <c r="Q7" t="s">
        <v>411</v>
      </c>
      <c r="R7" t="s">
        <v>411</v>
      </c>
      <c r="S7" t="s">
        <v>411</v>
      </c>
      <c r="U7" t="s">
        <v>411</v>
      </c>
      <c r="W7" t="s">
        <v>411</v>
      </c>
      <c r="Y7" t="s">
        <v>411</v>
      </c>
      <c r="AA7" t="s">
        <v>411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73"/>
  <sheetViews>
    <sheetView topLeftCell="Q1" workbookViewId="0">
      <selection activeCell="AG13" sqref="AG13"/>
    </sheetView>
  </sheetViews>
  <sheetFormatPr baseColWidth="10" defaultColWidth="8.83203125" defaultRowHeight="15" x14ac:dyDescent="0.2"/>
  <cols>
    <col min="1" max="1" width="44.5" customWidth="1"/>
    <col min="4" max="4" width="11.1640625" customWidth="1"/>
    <col min="5" max="5" width="17.33203125" customWidth="1"/>
    <col min="7" max="7" width="24.5" bestFit="1" customWidth="1"/>
    <col min="18" max="18" width="32.5" bestFit="1" customWidth="1"/>
    <col min="19" max="19" width="14" customWidth="1"/>
    <col min="20" max="20" width="11.5" customWidth="1"/>
    <col min="21" max="21" width="24.5" customWidth="1"/>
    <col min="22" max="22" width="12" customWidth="1"/>
    <col min="23" max="23" width="22.1640625" bestFit="1" customWidth="1"/>
    <col min="24" max="24" width="13.33203125" customWidth="1"/>
    <col min="25" max="25" width="23.5" bestFit="1" customWidth="1"/>
    <col min="26" max="26" width="13.5" customWidth="1"/>
    <col min="27" max="27" width="26.1640625" bestFit="1" customWidth="1"/>
    <col min="28" max="28" width="15.83203125" bestFit="1" customWidth="1"/>
    <col min="29" max="29" width="20.5" bestFit="1" customWidth="1"/>
    <col min="30" max="30" width="14.5" bestFit="1" customWidth="1"/>
    <col min="31" max="31" width="26.33203125" bestFit="1" customWidth="1"/>
    <col min="32" max="32" width="24.1640625" bestFit="1" customWidth="1"/>
    <col min="33" max="33" width="26.33203125" bestFit="1" customWidth="1"/>
    <col min="34" max="34" width="28.83203125" bestFit="1" customWidth="1"/>
    <col min="35" max="35" width="26.1640625" bestFit="1" customWidth="1"/>
    <col min="36" max="36" width="18.5" bestFit="1" customWidth="1"/>
    <col min="37" max="37" width="28" bestFit="1" customWidth="1"/>
    <col min="38" max="38" width="28.1640625" bestFit="1" customWidth="1"/>
  </cols>
  <sheetData>
    <row r="1" spans="1:38" x14ac:dyDescent="0.2">
      <c r="A1" s="7" t="s">
        <v>0</v>
      </c>
      <c r="D1" t="s">
        <v>36</v>
      </c>
      <c r="E1">
        <v>65</v>
      </c>
      <c r="Q1" s="7" t="s">
        <v>224</v>
      </c>
    </row>
    <row r="2" spans="1:38" x14ac:dyDescent="0.2">
      <c r="D2" t="s">
        <v>35</v>
      </c>
      <c r="E2">
        <v>2.2000000000000002</v>
      </c>
    </row>
    <row r="3" spans="1:38" x14ac:dyDescent="0.2">
      <c r="D3" t="s">
        <v>34</v>
      </c>
      <c r="E3">
        <v>1.0549999999999999</v>
      </c>
      <c r="R3" t="s">
        <v>185</v>
      </c>
      <c r="S3" t="s">
        <v>19</v>
      </c>
      <c r="U3" t="s">
        <v>168</v>
      </c>
      <c r="W3" t="s">
        <v>170</v>
      </c>
      <c r="Y3" t="s">
        <v>173</v>
      </c>
      <c r="AA3" t="s">
        <v>180</v>
      </c>
      <c r="AC3" t="s">
        <v>174</v>
      </c>
      <c r="AE3" t="s">
        <v>209</v>
      </c>
      <c r="AF3" t="s">
        <v>218</v>
      </c>
      <c r="AH3" t="s">
        <v>213</v>
      </c>
      <c r="AI3" t="s">
        <v>217</v>
      </c>
      <c r="AK3" t="s">
        <v>221</v>
      </c>
      <c r="AL3" t="s">
        <v>223</v>
      </c>
    </row>
    <row r="4" spans="1:38" x14ac:dyDescent="0.2">
      <c r="D4" t="s">
        <v>54</v>
      </c>
      <c r="E4">
        <v>3.9656699999999998</v>
      </c>
      <c r="Q4" t="s">
        <v>188</v>
      </c>
      <c r="R4" s="11">
        <v>0.04</v>
      </c>
      <c r="S4" s="2">
        <f>(R4*(1+R4)^$D$49)/(((1+R4)^$D$49)-1)</f>
        <v>6.4011962786454574E-2</v>
      </c>
      <c r="T4" t="s">
        <v>169</v>
      </c>
      <c r="U4" s="5">
        <f>'Data and sources'!D19</f>
        <v>1140</v>
      </c>
      <c r="V4" t="s">
        <v>172</v>
      </c>
      <c r="W4" s="4">
        <f>B7</f>
        <v>2.6153846153846154</v>
      </c>
      <c r="X4" t="s">
        <v>175</v>
      </c>
      <c r="Y4" s="5">
        <f>'Data and sources'!B14</f>
        <v>678.26769230769241</v>
      </c>
      <c r="Z4" t="s">
        <v>177</v>
      </c>
      <c r="AA4" s="5">
        <f>'Data and sources'!C14</f>
        <v>775.16307692307703</v>
      </c>
      <c r="AB4" t="s">
        <v>179</v>
      </c>
      <c r="AC4" s="4">
        <f>B17</f>
        <v>3.6923076923076925</v>
      </c>
      <c r="AD4" t="s">
        <v>220</v>
      </c>
      <c r="AE4">
        <f>B68</f>
        <v>1250</v>
      </c>
      <c r="AF4">
        <f>B69</f>
        <v>15</v>
      </c>
      <c r="AG4" t="s">
        <v>220</v>
      </c>
      <c r="AH4">
        <f>C68</f>
        <v>850</v>
      </c>
      <c r="AI4">
        <f>C69</f>
        <v>10</v>
      </c>
      <c r="AJ4" t="s">
        <v>220</v>
      </c>
      <c r="AK4">
        <v>1200</v>
      </c>
      <c r="AL4">
        <v>76</v>
      </c>
    </row>
    <row r="5" spans="1:38" x14ac:dyDescent="0.2">
      <c r="A5" t="s">
        <v>25</v>
      </c>
      <c r="Q5" t="s">
        <v>186</v>
      </c>
      <c r="R5" s="11">
        <v>7.0000000000000007E-2</v>
      </c>
      <c r="S5" s="2">
        <f>(R5*(1+R5)^$D$49)/(((1+R5)^$D$49)-1)</f>
        <v>8.5810517220665614E-2</v>
      </c>
      <c r="T5" t="s">
        <v>167</v>
      </c>
      <c r="U5" s="5">
        <f>'Data and sources'!D17</f>
        <v>976.42784318082204</v>
      </c>
      <c r="V5" t="s">
        <v>171</v>
      </c>
      <c r="W5">
        <f>$B$15</f>
        <v>3.9</v>
      </c>
      <c r="X5" t="s">
        <v>176</v>
      </c>
      <c r="Z5" t="s">
        <v>178</v>
      </c>
      <c r="AB5" t="s">
        <v>181</v>
      </c>
      <c r="AC5">
        <f>'Data and sources'!B52</f>
        <v>10</v>
      </c>
      <c r="AD5" t="s">
        <v>210</v>
      </c>
      <c r="AE5">
        <f>AE$4*0.9</f>
        <v>1125</v>
      </c>
      <c r="AF5">
        <f>AF4</f>
        <v>15</v>
      </c>
      <c r="AG5" t="s">
        <v>214</v>
      </c>
      <c r="AH5">
        <f>AH$4*0.9</f>
        <v>765</v>
      </c>
      <c r="AI5">
        <f>AI4</f>
        <v>10</v>
      </c>
      <c r="AJ5" t="s">
        <v>423</v>
      </c>
      <c r="AK5">
        <f>$AK$4*0.75</f>
        <v>900</v>
      </c>
      <c r="AL5">
        <f>AL4*0.75</f>
        <v>57</v>
      </c>
    </row>
    <row r="6" spans="1:38" x14ac:dyDescent="0.2">
      <c r="A6" t="s">
        <v>26</v>
      </c>
      <c r="B6">
        <v>170</v>
      </c>
      <c r="Q6" t="s">
        <v>187</v>
      </c>
      <c r="R6" s="11">
        <v>0.1</v>
      </c>
      <c r="S6" s="2">
        <f>(R6*(1+R6)^$D$49)/(((1+R6)^$D$49)-1)</f>
        <v>0.11016807219002084</v>
      </c>
      <c r="AD6" t="s">
        <v>211</v>
      </c>
      <c r="AE6">
        <f>AE$4*0.8</f>
        <v>1000</v>
      </c>
      <c r="AF6">
        <f>AF5</f>
        <v>15</v>
      </c>
      <c r="AG6" t="s">
        <v>215</v>
      </c>
      <c r="AH6">
        <f>AH$4*0.8</f>
        <v>680</v>
      </c>
      <c r="AI6">
        <f>AI5</f>
        <v>10</v>
      </c>
      <c r="AJ6" t="s">
        <v>424</v>
      </c>
      <c r="AK6">
        <f>$AK$4*0.5</f>
        <v>600</v>
      </c>
      <c r="AL6">
        <v>38</v>
      </c>
    </row>
    <row r="7" spans="1:38" x14ac:dyDescent="0.2">
      <c r="A7" t="s">
        <v>33</v>
      </c>
      <c r="B7" s="4">
        <f>B6/E1</f>
        <v>2.6153846153846154</v>
      </c>
      <c r="AD7" t="s">
        <v>212</v>
      </c>
      <c r="AE7">
        <f>AE$4*0.7</f>
        <v>875</v>
      </c>
      <c r="AF7">
        <f>AF6</f>
        <v>15</v>
      </c>
      <c r="AG7" t="s">
        <v>216</v>
      </c>
      <c r="AH7">
        <f>AH$4*0.7</f>
        <v>595</v>
      </c>
      <c r="AI7">
        <f>AI6</f>
        <v>10</v>
      </c>
    </row>
    <row r="8" spans="1:38" x14ac:dyDescent="0.2">
      <c r="A8" t="s">
        <v>28</v>
      </c>
      <c r="B8">
        <v>3900</v>
      </c>
      <c r="R8" s="7" t="s">
        <v>405</v>
      </c>
    </row>
    <row r="9" spans="1:38" x14ac:dyDescent="0.2">
      <c r="A9" t="s">
        <v>30</v>
      </c>
      <c r="B9" s="3">
        <f>B8*4.184*10^-3</f>
        <v>16.317600000000002</v>
      </c>
      <c r="R9" t="s">
        <v>182</v>
      </c>
      <c r="S9" t="str">
        <f t="shared" ref="S9:AF9" si="0">CONCATENATE(S10,IF(S11="base", "", S11),IF(S12="base", "", S12), IF(S13="base", "", S13))</f>
        <v>coallc</v>
      </c>
      <c r="T9" t="str">
        <f t="shared" si="0"/>
        <v>coalhc</v>
      </c>
      <c r="U9" t="str">
        <f t="shared" si="0"/>
        <v>coallcW10lc</v>
      </c>
      <c r="V9" t="str">
        <f t="shared" si="0"/>
        <v>coallcW20lc</v>
      </c>
      <c r="W9" t="str">
        <f t="shared" si="0"/>
        <v>coallcW30lc</v>
      </c>
      <c r="X9" t="str">
        <f t="shared" si="0"/>
        <v>coallcS10lc</v>
      </c>
      <c r="Y9" t="str">
        <f t="shared" si="0"/>
        <v>coallcS20lc</v>
      </c>
      <c r="Z9" t="str">
        <f t="shared" si="0"/>
        <v>coallcS30lc</v>
      </c>
      <c r="AA9" t="str">
        <f t="shared" si="0"/>
        <v>coallcW30lcS30lc</v>
      </c>
      <c r="AB9" t="str">
        <f t="shared" si="0"/>
        <v>coallcB25lc</v>
      </c>
      <c r="AC9" t="str">
        <f t="shared" si="0"/>
        <v>coallcB50lc</v>
      </c>
      <c r="AD9" t="str">
        <f t="shared" si="0"/>
        <v>coallcW30lcB50lc</v>
      </c>
      <c r="AE9" t="str">
        <f t="shared" si="0"/>
        <v>coallcS30lcB50lc</v>
      </c>
      <c r="AF9" t="str">
        <f t="shared" si="0"/>
        <v>coallcW30lcS30lcB50lc</v>
      </c>
      <c r="AG9" t="str">
        <f>CONCATENATE(AG10,IF(AG11="base", "", AG11),IF(AG12="base", "", AG12), IF(AG13="base", "", AG13))</f>
        <v>coalhcB50lc</v>
      </c>
      <c r="AH9" t="str">
        <f>CONCATENATE(AH10,IF(AH11="base", "", AH11),IF(AH12="base", "", AH12), IF(AH13="base", "", AH13))</f>
        <v>coalhcW30lcB50lc</v>
      </c>
      <c r="AI9" t="str">
        <f>CONCATENATE(AI10,IF(AI11="base", "", AI11),IF(AI12="base", "", AI12), IF(AI13="base", "", AI13))</f>
        <v>coalhcS30lcB50lc</v>
      </c>
      <c r="AJ9" t="str">
        <f>CONCATENATE(AJ10,IF(AJ11="base", "", AJ11),IF(AJ12="base", "", AJ12), IF(AJ13="base", "", AJ13))</f>
        <v>coalhcW30lcS30lcB50lc</v>
      </c>
      <c r="AK9" t="str">
        <f>CONCATENATE(AK10,IF(AK11="base", "", AK11),IF(AK12="base", "", AK12), IF(AK13="base", "", AK13))</f>
        <v>coalhcW30lcS30lc</v>
      </c>
    </row>
    <row r="10" spans="1:38" x14ac:dyDescent="0.2">
      <c r="A10" t="s">
        <v>29</v>
      </c>
      <c r="B10" s="5">
        <f>B6*B9</f>
        <v>2773.9920000000002</v>
      </c>
      <c r="R10" t="s">
        <v>219</v>
      </c>
      <c r="S10" t="s">
        <v>167</v>
      </c>
      <c r="T10" t="s">
        <v>169</v>
      </c>
      <c r="U10" t="s">
        <v>167</v>
      </c>
      <c r="V10" t="s">
        <v>167</v>
      </c>
      <c r="W10" t="s">
        <v>167</v>
      </c>
      <c r="X10" t="s">
        <v>167</v>
      </c>
      <c r="Y10" t="s">
        <v>167</v>
      </c>
      <c r="Z10" t="s">
        <v>167</v>
      </c>
      <c r="AA10" t="s">
        <v>167</v>
      </c>
      <c r="AB10" t="s">
        <v>167</v>
      </c>
      <c r="AC10" t="s">
        <v>167</v>
      </c>
      <c r="AD10" t="s">
        <v>167</v>
      </c>
      <c r="AE10" t="s">
        <v>167</v>
      </c>
      <c r="AF10" t="s">
        <v>167</v>
      </c>
      <c r="AG10" t="s">
        <v>169</v>
      </c>
      <c r="AH10" t="s">
        <v>169</v>
      </c>
      <c r="AI10" t="s">
        <v>169</v>
      </c>
      <c r="AJ10" t="s">
        <v>169</v>
      </c>
      <c r="AK10" t="s">
        <v>169</v>
      </c>
    </row>
    <row r="11" spans="1:38" x14ac:dyDescent="0.2">
      <c r="A11" t="s">
        <v>31</v>
      </c>
      <c r="B11" s="4">
        <f>B10/E1</f>
        <v>42.6768</v>
      </c>
      <c r="R11" t="s">
        <v>477</v>
      </c>
      <c r="S11" t="s">
        <v>220</v>
      </c>
      <c r="T11" t="s">
        <v>220</v>
      </c>
      <c r="U11" t="s">
        <v>210</v>
      </c>
      <c r="V11" t="s">
        <v>211</v>
      </c>
      <c r="W11" t="s">
        <v>212</v>
      </c>
      <c r="X11" t="s">
        <v>220</v>
      </c>
      <c r="Y11" t="s">
        <v>220</v>
      </c>
      <c r="Z11" t="s">
        <v>220</v>
      </c>
      <c r="AA11" t="s">
        <v>212</v>
      </c>
      <c r="AB11" t="s">
        <v>220</v>
      </c>
      <c r="AC11" t="s">
        <v>220</v>
      </c>
      <c r="AD11" t="s">
        <v>212</v>
      </c>
      <c r="AE11" t="s">
        <v>220</v>
      </c>
      <c r="AF11" t="s">
        <v>212</v>
      </c>
      <c r="AG11" t="s">
        <v>220</v>
      </c>
      <c r="AH11" t="s">
        <v>212</v>
      </c>
      <c r="AI11" t="s">
        <v>220</v>
      </c>
      <c r="AJ11" t="s">
        <v>212</v>
      </c>
      <c r="AK11" t="s">
        <v>212</v>
      </c>
    </row>
    <row r="12" spans="1:38" x14ac:dyDescent="0.2">
      <c r="A12" t="s">
        <v>96</v>
      </c>
      <c r="B12" s="4">
        <f>D35/B8</f>
        <v>0.57692307692307687</v>
      </c>
      <c r="R12" t="s">
        <v>478</v>
      </c>
      <c r="S12" t="s">
        <v>220</v>
      </c>
      <c r="T12" t="s">
        <v>220</v>
      </c>
      <c r="U12" t="s">
        <v>220</v>
      </c>
      <c r="V12" t="s">
        <v>220</v>
      </c>
      <c r="W12" t="s">
        <v>220</v>
      </c>
      <c r="X12" t="s">
        <v>214</v>
      </c>
      <c r="Y12" t="s">
        <v>215</v>
      </c>
      <c r="Z12" t="s">
        <v>216</v>
      </c>
      <c r="AA12" t="s">
        <v>216</v>
      </c>
      <c r="AB12" t="s">
        <v>220</v>
      </c>
      <c r="AC12" t="s">
        <v>220</v>
      </c>
      <c r="AD12" t="s">
        <v>220</v>
      </c>
      <c r="AE12" t="s">
        <v>216</v>
      </c>
      <c r="AF12" t="s">
        <v>216</v>
      </c>
      <c r="AG12" t="s">
        <v>220</v>
      </c>
      <c r="AH12" t="s">
        <v>220</v>
      </c>
      <c r="AI12" t="s">
        <v>216</v>
      </c>
      <c r="AJ12" t="s">
        <v>216</v>
      </c>
      <c r="AK12" t="s">
        <v>216</v>
      </c>
    </row>
    <row r="13" spans="1:38" x14ac:dyDescent="0.2">
      <c r="A13" t="s">
        <v>40</v>
      </c>
      <c r="B13" s="3">
        <f>D34*E3/B9/10^3</f>
        <v>0.57689299667230454</v>
      </c>
      <c r="C13" t="s">
        <v>59</v>
      </c>
      <c r="R13" t="s">
        <v>479</v>
      </c>
      <c r="S13" t="s">
        <v>220</v>
      </c>
      <c r="T13" t="s">
        <v>220</v>
      </c>
      <c r="U13" t="s">
        <v>220</v>
      </c>
      <c r="V13" t="s">
        <v>220</v>
      </c>
      <c r="W13" t="s">
        <v>220</v>
      </c>
      <c r="X13" t="s">
        <v>220</v>
      </c>
      <c r="Y13" t="s">
        <v>220</v>
      </c>
      <c r="Z13" t="s">
        <v>220</v>
      </c>
      <c r="AA13" t="s">
        <v>220</v>
      </c>
      <c r="AB13" t="s">
        <v>423</v>
      </c>
      <c r="AC13" t="s">
        <v>424</v>
      </c>
      <c r="AD13" t="s">
        <v>424</v>
      </c>
      <c r="AE13" t="s">
        <v>424</v>
      </c>
      <c r="AF13" t="s">
        <v>424</v>
      </c>
      <c r="AG13" t="s">
        <v>424</v>
      </c>
      <c r="AH13" t="s">
        <v>424</v>
      </c>
      <c r="AI13" t="s">
        <v>424</v>
      </c>
      <c r="AJ13" t="s">
        <v>424</v>
      </c>
      <c r="AK13" t="s">
        <v>220</v>
      </c>
    </row>
    <row r="14" spans="1:38" x14ac:dyDescent="0.2">
      <c r="A14" t="s">
        <v>46</v>
      </c>
      <c r="B14" s="5">
        <v>2375</v>
      </c>
      <c r="C14" t="s">
        <v>72</v>
      </c>
      <c r="R14" t="s">
        <v>184</v>
      </c>
      <c r="S14" s="1">
        <f t="shared" ref="S14:AK14" si="1">$R$5</f>
        <v>7.0000000000000007E-2</v>
      </c>
      <c r="T14" s="1">
        <f t="shared" si="1"/>
        <v>7.0000000000000007E-2</v>
      </c>
      <c r="U14" s="1">
        <f t="shared" si="1"/>
        <v>7.0000000000000007E-2</v>
      </c>
      <c r="V14" s="1">
        <f t="shared" si="1"/>
        <v>7.0000000000000007E-2</v>
      </c>
      <c r="W14" s="1">
        <f t="shared" si="1"/>
        <v>7.0000000000000007E-2</v>
      </c>
      <c r="X14" s="1">
        <f t="shared" si="1"/>
        <v>7.0000000000000007E-2</v>
      </c>
      <c r="Y14" s="1">
        <f t="shared" si="1"/>
        <v>7.0000000000000007E-2</v>
      </c>
      <c r="Z14" s="1">
        <f t="shared" si="1"/>
        <v>7.0000000000000007E-2</v>
      </c>
      <c r="AA14" s="1">
        <f t="shared" si="1"/>
        <v>7.0000000000000007E-2</v>
      </c>
      <c r="AB14" s="1">
        <f t="shared" si="1"/>
        <v>7.0000000000000007E-2</v>
      </c>
      <c r="AC14" s="1">
        <f t="shared" si="1"/>
        <v>7.0000000000000007E-2</v>
      </c>
      <c r="AD14" s="1">
        <f t="shared" si="1"/>
        <v>7.0000000000000007E-2</v>
      </c>
      <c r="AE14" s="1">
        <f t="shared" si="1"/>
        <v>7.0000000000000007E-2</v>
      </c>
      <c r="AF14" s="1">
        <f t="shared" si="1"/>
        <v>7.0000000000000007E-2</v>
      </c>
      <c r="AG14" s="1">
        <f t="shared" si="1"/>
        <v>7.0000000000000007E-2</v>
      </c>
      <c r="AH14" s="1">
        <f t="shared" si="1"/>
        <v>7.0000000000000007E-2</v>
      </c>
      <c r="AI14" s="1">
        <f t="shared" si="1"/>
        <v>7.0000000000000007E-2</v>
      </c>
      <c r="AJ14" s="1">
        <f t="shared" si="1"/>
        <v>7.0000000000000007E-2</v>
      </c>
      <c r="AK14" s="1">
        <f t="shared" si="1"/>
        <v>7.0000000000000007E-2</v>
      </c>
    </row>
    <row r="15" spans="1:38" x14ac:dyDescent="0.2">
      <c r="A15" t="s">
        <v>434</v>
      </c>
      <c r="B15">
        <v>3.9</v>
      </c>
      <c r="C15" t="s">
        <v>435</v>
      </c>
      <c r="R15" t="s">
        <v>189</v>
      </c>
      <c r="S15" s="2">
        <f t="shared" ref="S15:AK15" si="2">$S$5</f>
        <v>8.5810517220665614E-2</v>
      </c>
      <c r="T15" s="2">
        <f t="shared" si="2"/>
        <v>8.5810517220665614E-2</v>
      </c>
      <c r="U15" s="2">
        <f t="shared" si="2"/>
        <v>8.5810517220665614E-2</v>
      </c>
      <c r="V15" s="2">
        <f t="shared" si="2"/>
        <v>8.5810517220665614E-2</v>
      </c>
      <c r="W15" s="2">
        <f t="shared" si="2"/>
        <v>8.5810517220665614E-2</v>
      </c>
      <c r="X15" s="2">
        <f t="shared" si="2"/>
        <v>8.5810517220665614E-2</v>
      </c>
      <c r="Y15" s="2">
        <f t="shared" si="2"/>
        <v>8.5810517220665614E-2</v>
      </c>
      <c r="Z15" s="2">
        <f t="shared" si="2"/>
        <v>8.5810517220665614E-2</v>
      </c>
      <c r="AA15" s="2">
        <f t="shared" si="2"/>
        <v>8.5810517220665614E-2</v>
      </c>
      <c r="AB15" s="2">
        <f t="shared" si="2"/>
        <v>8.5810517220665614E-2</v>
      </c>
      <c r="AC15" s="2">
        <f t="shared" si="2"/>
        <v>8.5810517220665614E-2</v>
      </c>
      <c r="AD15" s="2">
        <f t="shared" si="2"/>
        <v>8.5810517220665614E-2</v>
      </c>
      <c r="AE15" s="2">
        <f t="shared" si="2"/>
        <v>8.5810517220665614E-2</v>
      </c>
      <c r="AF15" s="2">
        <f t="shared" si="2"/>
        <v>8.5810517220665614E-2</v>
      </c>
      <c r="AG15" s="2">
        <f t="shared" si="2"/>
        <v>8.5810517220665614E-2</v>
      </c>
      <c r="AH15" s="2">
        <f t="shared" si="2"/>
        <v>8.5810517220665614E-2</v>
      </c>
      <c r="AI15" s="2">
        <f t="shared" si="2"/>
        <v>8.5810517220665614E-2</v>
      </c>
      <c r="AJ15" s="2">
        <f t="shared" si="2"/>
        <v>8.5810517220665614E-2</v>
      </c>
      <c r="AK15" s="2">
        <f t="shared" si="2"/>
        <v>8.5810517220665614E-2</v>
      </c>
    </row>
    <row r="16" spans="1:38" x14ac:dyDescent="0.2">
      <c r="A16" t="s">
        <v>27</v>
      </c>
      <c r="B16">
        <v>240</v>
      </c>
      <c r="R16" s="7" t="s">
        <v>1</v>
      </c>
    </row>
    <row r="17" spans="1:37" x14ac:dyDescent="0.2">
      <c r="A17" t="s">
        <v>38</v>
      </c>
      <c r="B17" s="4">
        <f>B16/E1</f>
        <v>3.6923076923076925</v>
      </c>
      <c r="Q17" t="s">
        <v>207</v>
      </c>
      <c r="R17" t="s">
        <v>60</v>
      </c>
      <c r="S17" s="5">
        <f t="shared" ref="S17:AK17" si="3">$Y$4</f>
        <v>678.26769230769241</v>
      </c>
      <c r="T17" s="5">
        <f t="shared" si="3"/>
        <v>678.26769230769241</v>
      </c>
      <c r="U17" s="5">
        <f t="shared" si="3"/>
        <v>678.26769230769241</v>
      </c>
      <c r="V17" s="5">
        <f t="shared" si="3"/>
        <v>678.26769230769241</v>
      </c>
      <c r="W17" s="5">
        <f t="shared" si="3"/>
        <v>678.26769230769241</v>
      </c>
      <c r="X17" s="5">
        <f t="shared" si="3"/>
        <v>678.26769230769241</v>
      </c>
      <c r="Y17" s="5">
        <f t="shared" si="3"/>
        <v>678.26769230769241</v>
      </c>
      <c r="Z17" s="5">
        <f t="shared" si="3"/>
        <v>678.26769230769241</v>
      </c>
      <c r="AA17" s="5">
        <f t="shared" si="3"/>
        <v>678.26769230769241</v>
      </c>
      <c r="AB17" s="5">
        <f t="shared" si="3"/>
        <v>678.26769230769241</v>
      </c>
      <c r="AC17" s="5">
        <f t="shared" si="3"/>
        <v>678.26769230769241</v>
      </c>
      <c r="AD17" s="5">
        <f t="shared" si="3"/>
        <v>678.26769230769241</v>
      </c>
      <c r="AE17" s="5">
        <f t="shared" si="3"/>
        <v>678.26769230769241</v>
      </c>
      <c r="AF17" s="5">
        <f t="shared" si="3"/>
        <v>678.26769230769241</v>
      </c>
      <c r="AG17" s="5">
        <f t="shared" si="3"/>
        <v>678.26769230769241</v>
      </c>
      <c r="AH17" s="5">
        <f t="shared" si="3"/>
        <v>678.26769230769241</v>
      </c>
      <c r="AI17" s="5">
        <f t="shared" si="3"/>
        <v>678.26769230769241</v>
      </c>
      <c r="AJ17" s="5">
        <f t="shared" si="3"/>
        <v>678.26769230769241</v>
      </c>
      <c r="AK17" s="5">
        <f t="shared" si="3"/>
        <v>678.26769230769241</v>
      </c>
    </row>
    <row r="18" spans="1:37" x14ac:dyDescent="0.2">
      <c r="A18" t="s">
        <v>163</v>
      </c>
      <c r="B18" s="4">
        <f>'Data and sources'!B52</f>
        <v>10</v>
      </c>
      <c r="Q18" t="s">
        <v>208</v>
      </c>
      <c r="R18" t="s">
        <v>58</v>
      </c>
      <c r="S18">
        <f t="shared" ref="S18:AK18" si="4">$AC$5</f>
        <v>10</v>
      </c>
      <c r="T18">
        <f t="shared" si="4"/>
        <v>10</v>
      </c>
      <c r="U18">
        <f t="shared" si="4"/>
        <v>10</v>
      </c>
      <c r="V18">
        <f t="shared" si="4"/>
        <v>10</v>
      </c>
      <c r="W18">
        <f t="shared" si="4"/>
        <v>10</v>
      </c>
      <c r="X18">
        <f t="shared" si="4"/>
        <v>10</v>
      </c>
      <c r="Y18">
        <f t="shared" si="4"/>
        <v>10</v>
      </c>
      <c r="Z18">
        <f t="shared" si="4"/>
        <v>10</v>
      </c>
      <c r="AA18">
        <f t="shared" si="4"/>
        <v>10</v>
      </c>
      <c r="AB18">
        <f t="shared" si="4"/>
        <v>10</v>
      </c>
      <c r="AC18">
        <f t="shared" si="4"/>
        <v>10</v>
      </c>
      <c r="AD18">
        <f t="shared" si="4"/>
        <v>10</v>
      </c>
      <c r="AE18">
        <f t="shared" si="4"/>
        <v>10</v>
      </c>
      <c r="AF18">
        <f t="shared" si="4"/>
        <v>10</v>
      </c>
      <c r="AG18">
        <f t="shared" si="4"/>
        <v>10</v>
      </c>
      <c r="AH18">
        <f t="shared" si="4"/>
        <v>10</v>
      </c>
      <c r="AI18">
        <f t="shared" si="4"/>
        <v>10</v>
      </c>
      <c r="AJ18">
        <f t="shared" si="4"/>
        <v>10</v>
      </c>
      <c r="AK18">
        <f t="shared" si="4"/>
        <v>10</v>
      </c>
    </row>
    <row r="19" spans="1:37" x14ac:dyDescent="0.2">
      <c r="A19" t="s">
        <v>165</v>
      </c>
      <c r="B19" s="4">
        <f>B18/E3</f>
        <v>9.4786729857819907</v>
      </c>
      <c r="R19" t="s">
        <v>20</v>
      </c>
      <c r="S19" s="5">
        <f t="shared" ref="S19:AF19" si="5">S$17*S$15+$B$32</f>
        <v>65.002501490990369</v>
      </c>
      <c r="T19" s="5">
        <f t="shared" si="5"/>
        <v>65.002501490990369</v>
      </c>
      <c r="U19" s="5">
        <f t="shared" si="5"/>
        <v>65.002501490990369</v>
      </c>
      <c r="V19" s="5">
        <f t="shared" si="5"/>
        <v>65.002501490990369</v>
      </c>
      <c r="W19" s="5">
        <f t="shared" si="5"/>
        <v>65.002501490990369</v>
      </c>
      <c r="X19" s="5">
        <f t="shared" si="5"/>
        <v>65.002501490990369</v>
      </c>
      <c r="Y19" s="5">
        <f t="shared" si="5"/>
        <v>65.002501490990369</v>
      </c>
      <c r="Z19" s="5">
        <f t="shared" si="5"/>
        <v>65.002501490990369</v>
      </c>
      <c r="AA19" s="5">
        <f t="shared" si="5"/>
        <v>65.002501490990369</v>
      </c>
      <c r="AB19" s="5">
        <f t="shared" si="5"/>
        <v>65.002501490990369</v>
      </c>
      <c r="AC19" s="5">
        <f t="shared" si="5"/>
        <v>65.002501490990369</v>
      </c>
      <c r="AD19" s="5">
        <f t="shared" si="5"/>
        <v>65.002501490990369</v>
      </c>
      <c r="AE19" s="5">
        <f t="shared" si="5"/>
        <v>65.002501490990369</v>
      </c>
      <c r="AF19" s="5">
        <f t="shared" si="5"/>
        <v>65.002501490990369</v>
      </c>
      <c r="AG19" s="5">
        <f>AG$17*AG$15+$B$32</f>
        <v>65.002501490990369</v>
      </c>
      <c r="AH19" s="5">
        <f>AH$17*AH$15+$B$32</f>
        <v>65.002501490990369</v>
      </c>
      <c r="AI19" s="5">
        <f>AI$17*AI$15+$B$32</f>
        <v>65.002501490990369</v>
      </c>
      <c r="AJ19" s="5">
        <f>AJ$17*AJ$15+$B$32</f>
        <v>65.002501490990369</v>
      </c>
      <c r="AK19" s="5">
        <f>AK$17*AK$15+$B$32</f>
        <v>65.002501490990369</v>
      </c>
    </row>
    <row r="20" spans="1:37" x14ac:dyDescent="0.2">
      <c r="A20" t="s">
        <v>47</v>
      </c>
      <c r="B20">
        <f>'Data and sources'!B35</f>
        <v>3065</v>
      </c>
      <c r="C20" t="s">
        <v>48</v>
      </c>
      <c r="R20" t="s">
        <v>32</v>
      </c>
      <c r="S20" s="5">
        <f t="shared" ref="S20:AF20" si="6">($B$34*S$18*10^-3 + $B$33)/(1-$B$46)</f>
        <v>126.97417171717171</v>
      </c>
      <c r="T20" s="5">
        <f t="shared" si="6"/>
        <v>126.97417171717171</v>
      </c>
      <c r="U20" s="5">
        <f t="shared" si="6"/>
        <v>126.97417171717171</v>
      </c>
      <c r="V20" s="5">
        <f t="shared" si="6"/>
        <v>126.97417171717171</v>
      </c>
      <c r="W20" s="5">
        <f t="shared" si="6"/>
        <v>126.97417171717171</v>
      </c>
      <c r="X20" s="5">
        <f t="shared" si="6"/>
        <v>126.97417171717171</v>
      </c>
      <c r="Y20" s="5">
        <f t="shared" si="6"/>
        <v>126.97417171717171</v>
      </c>
      <c r="Z20" s="5">
        <f t="shared" si="6"/>
        <v>126.97417171717171</v>
      </c>
      <c r="AA20" s="5">
        <f t="shared" si="6"/>
        <v>126.97417171717171</v>
      </c>
      <c r="AB20" s="5">
        <f t="shared" si="6"/>
        <v>126.97417171717171</v>
      </c>
      <c r="AC20" s="5">
        <f t="shared" si="6"/>
        <v>126.97417171717171</v>
      </c>
      <c r="AD20" s="5">
        <f t="shared" si="6"/>
        <v>126.97417171717171</v>
      </c>
      <c r="AE20" s="5">
        <f t="shared" si="6"/>
        <v>126.97417171717171</v>
      </c>
      <c r="AF20" s="5">
        <f t="shared" si="6"/>
        <v>126.97417171717171</v>
      </c>
      <c r="AG20" s="5">
        <f>($B$34*AG$18*10^-3 + $B$33)/(1-$B$46)</f>
        <v>126.97417171717171</v>
      </c>
      <c r="AH20" s="5">
        <f>($B$34*AH$18*10^-3 + $B$33)/(1-$B$46)</f>
        <v>126.97417171717171</v>
      </c>
      <c r="AI20" s="5">
        <f>($B$34*AI$18*10^-3 + $B$33)/(1-$B$46)</f>
        <v>126.97417171717171</v>
      </c>
      <c r="AJ20" s="5">
        <f>($B$34*AJ$18*10^-3 + $B$33)/(1-$B$46)</f>
        <v>126.97417171717171</v>
      </c>
      <c r="AK20" s="5">
        <f>($B$34*AK$18*10^-3 + $B$33)/(1-$B$46)</f>
        <v>126.97417171717171</v>
      </c>
    </row>
    <row r="21" spans="1:37" x14ac:dyDescent="0.2">
      <c r="A21" t="s">
        <v>49</v>
      </c>
      <c r="B21">
        <f>'Data and sources'!C35</f>
        <v>2071</v>
      </c>
      <c r="C21" t="s">
        <v>48</v>
      </c>
    </row>
    <row r="22" spans="1:37" x14ac:dyDescent="0.2">
      <c r="A22" t="s">
        <v>47</v>
      </c>
      <c r="B22">
        <f>'Data and sources'!B36</f>
        <v>2900</v>
      </c>
      <c r="C22" t="s">
        <v>132</v>
      </c>
      <c r="R22" s="7" t="s">
        <v>2</v>
      </c>
    </row>
    <row r="23" spans="1:37" x14ac:dyDescent="0.2">
      <c r="A23" t="s">
        <v>49</v>
      </c>
      <c r="B23">
        <f>'Data and sources'!C36</f>
        <v>2000</v>
      </c>
      <c r="C23" t="s">
        <v>132</v>
      </c>
      <c r="Q23" t="s">
        <v>207</v>
      </c>
      <c r="R23" t="s">
        <v>61</v>
      </c>
      <c r="S23" s="5">
        <f t="shared" ref="S23:AK23" si="7">$AA$4</f>
        <v>775.16307692307703</v>
      </c>
      <c r="T23" s="5">
        <f t="shared" si="7"/>
        <v>775.16307692307703</v>
      </c>
      <c r="U23" s="5">
        <f t="shared" si="7"/>
        <v>775.16307692307703</v>
      </c>
      <c r="V23" s="5">
        <f t="shared" si="7"/>
        <v>775.16307692307703</v>
      </c>
      <c r="W23" s="5">
        <f t="shared" si="7"/>
        <v>775.16307692307703</v>
      </c>
      <c r="X23" s="5">
        <f t="shared" si="7"/>
        <v>775.16307692307703</v>
      </c>
      <c r="Y23" s="5">
        <f t="shared" si="7"/>
        <v>775.16307692307703</v>
      </c>
      <c r="Z23" s="5">
        <f t="shared" si="7"/>
        <v>775.16307692307703</v>
      </c>
      <c r="AA23" s="5">
        <f t="shared" si="7"/>
        <v>775.16307692307703</v>
      </c>
      <c r="AB23" s="5">
        <f t="shared" si="7"/>
        <v>775.16307692307703</v>
      </c>
      <c r="AC23" s="5">
        <f t="shared" si="7"/>
        <v>775.16307692307703</v>
      </c>
      <c r="AD23" s="5">
        <f t="shared" si="7"/>
        <v>775.16307692307703</v>
      </c>
      <c r="AE23" s="5">
        <f t="shared" si="7"/>
        <v>775.16307692307703</v>
      </c>
      <c r="AF23" s="5">
        <f t="shared" si="7"/>
        <v>775.16307692307703</v>
      </c>
      <c r="AG23" s="5">
        <f t="shared" si="7"/>
        <v>775.16307692307703</v>
      </c>
      <c r="AH23" s="5">
        <f t="shared" si="7"/>
        <v>775.16307692307703</v>
      </c>
      <c r="AI23" s="5">
        <f t="shared" si="7"/>
        <v>775.16307692307703</v>
      </c>
      <c r="AJ23" s="5">
        <f t="shared" si="7"/>
        <v>775.16307692307703</v>
      </c>
      <c r="AK23" s="5">
        <f t="shared" si="7"/>
        <v>775.16307692307703</v>
      </c>
    </row>
    <row r="24" spans="1:37" x14ac:dyDescent="0.2">
      <c r="A24" t="s">
        <v>133</v>
      </c>
      <c r="B24">
        <f>'Data and sources'!D36</f>
        <v>2250</v>
      </c>
      <c r="C24" t="s">
        <v>132</v>
      </c>
      <c r="R24" t="s">
        <v>20</v>
      </c>
      <c r="S24" s="5">
        <f t="shared" ref="S24:AF24" si="8">S$23*S$15+$C$32</f>
        <v>77.517144561131843</v>
      </c>
      <c r="T24" s="5">
        <f t="shared" si="8"/>
        <v>77.517144561131843</v>
      </c>
      <c r="U24" s="5">
        <f t="shared" si="8"/>
        <v>77.517144561131843</v>
      </c>
      <c r="V24" s="5">
        <f t="shared" si="8"/>
        <v>77.517144561131843</v>
      </c>
      <c r="W24" s="5">
        <f t="shared" si="8"/>
        <v>77.517144561131843</v>
      </c>
      <c r="X24" s="5">
        <f t="shared" si="8"/>
        <v>77.517144561131843</v>
      </c>
      <c r="Y24" s="5">
        <f t="shared" si="8"/>
        <v>77.517144561131843</v>
      </c>
      <c r="Z24" s="5">
        <f t="shared" si="8"/>
        <v>77.517144561131843</v>
      </c>
      <c r="AA24" s="5">
        <f t="shared" si="8"/>
        <v>77.517144561131843</v>
      </c>
      <c r="AB24" s="5">
        <f t="shared" si="8"/>
        <v>77.517144561131843</v>
      </c>
      <c r="AC24" s="5">
        <f t="shared" si="8"/>
        <v>77.517144561131843</v>
      </c>
      <c r="AD24" s="5">
        <f t="shared" si="8"/>
        <v>77.517144561131843</v>
      </c>
      <c r="AE24" s="5">
        <f t="shared" si="8"/>
        <v>77.517144561131843</v>
      </c>
      <c r="AF24" s="5">
        <f t="shared" si="8"/>
        <v>77.517144561131843</v>
      </c>
      <c r="AG24" s="5">
        <f>AG$23*AG$15+$C$32</f>
        <v>77.517144561131843</v>
      </c>
      <c r="AH24" s="5">
        <f>AH$23*AH$15+$C$32</f>
        <v>77.517144561131843</v>
      </c>
      <c r="AI24" s="5">
        <f>AI$23*AI$15+$C$32</f>
        <v>77.517144561131843</v>
      </c>
      <c r="AJ24" s="5">
        <f>AJ$23*AJ$15+$C$32</f>
        <v>77.517144561131843</v>
      </c>
      <c r="AK24" s="5">
        <f>AK$23*AK$15+$C$32</f>
        <v>77.517144561131843</v>
      </c>
    </row>
    <row r="25" spans="1:37" x14ac:dyDescent="0.2">
      <c r="A25" t="s">
        <v>52</v>
      </c>
      <c r="B25">
        <v>10390</v>
      </c>
      <c r="C25" t="s">
        <v>51</v>
      </c>
      <c r="R25" t="s">
        <v>32</v>
      </c>
      <c r="S25" s="5">
        <f t="shared" ref="S25:AF25" si="9">($C$34*S$18*10^-3 + $C$33)/(1-$C$46)</f>
        <v>84.936820512820518</v>
      </c>
      <c r="T25" s="5">
        <f t="shared" si="9"/>
        <v>84.936820512820518</v>
      </c>
      <c r="U25" s="5">
        <f t="shared" si="9"/>
        <v>84.936820512820518</v>
      </c>
      <c r="V25" s="5">
        <f t="shared" si="9"/>
        <v>84.936820512820518</v>
      </c>
      <c r="W25" s="5">
        <f t="shared" si="9"/>
        <v>84.936820512820518</v>
      </c>
      <c r="X25" s="5">
        <f t="shared" si="9"/>
        <v>84.936820512820518</v>
      </c>
      <c r="Y25" s="5">
        <f t="shared" si="9"/>
        <v>84.936820512820518</v>
      </c>
      <c r="Z25" s="5">
        <f t="shared" si="9"/>
        <v>84.936820512820518</v>
      </c>
      <c r="AA25" s="5">
        <f t="shared" si="9"/>
        <v>84.936820512820518</v>
      </c>
      <c r="AB25" s="5">
        <f t="shared" si="9"/>
        <v>84.936820512820518</v>
      </c>
      <c r="AC25" s="5">
        <f t="shared" si="9"/>
        <v>84.936820512820518</v>
      </c>
      <c r="AD25" s="5">
        <f t="shared" si="9"/>
        <v>84.936820512820518</v>
      </c>
      <c r="AE25" s="5">
        <f t="shared" si="9"/>
        <v>84.936820512820518</v>
      </c>
      <c r="AF25" s="5">
        <f t="shared" si="9"/>
        <v>84.936820512820518</v>
      </c>
      <c r="AG25" s="5">
        <f>($C$34*AG$18*10^-3 + $C$33)/(1-$C$46)</f>
        <v>84.936820512820518</v>
      </c>
      <c r="AH25" s="5">
        <f>($C$34*AH$18*10^-3 + $C$33)/(1-$C$46)</f>
        <v>84.936820512820518</v>
      </c>
      <c r="AI25" s="5">
        <f>($C$34*AI$18*10^-3 + $C$33)/(1-$C$46)</f>
        <v>84.936820512820518</v>
      </c>
      <c r="AJ25" s="5">
        <f>($C$34*AJ$18*10^-3 + $C$33)/(1-$C$46)</f>
        <v>84.936820512820518</v>
      </c>
      <c r="AK25" s="5">
        <f>($C$34*AK$18*10^-3 + $C$33)/(1-$C$46)</f>
        <v>84.936820512820518</v>
      </c>
    </row>
    <row r="26" spans="1:37" x14ac:dyDescent="0.2">
      <c r="A26" t="s">
        <v>53</v>
      </c>
      <c r="B26">
        <v>6705</v>
      </c>
      <c r="C26" t="s">
        <v>51</v>
      </c>
    </row>
    <row r="27" spans="1:37" x14ac:dyDescent="0.2">
      <c r="R27" s="7" t="s">
        <v>3</v>
      </c>
    </row>
    <row r="28" spans="1:37" x14ac:dyDescent="0.2">
      <c r="A28" t="s">
        <v>43</v>
      </c>
      <c r="Q28" t="s">
        <v>207</v>
      </c>
      <c r="R28" t="s">
        <v>62</v>
      </c>
      <c r="S28" s="5">
        <f>INDEX($T$4:$U$5, MATCH(S10,$T$4:$T$5),2)</f>
        <v>976.42784318082204</v>
      </c>
      <c r="T28" s="5">
        <f t="shared" ref="T28:AA28" si="10">INDEX($T$4:$U$5, MATCH(T10,$T$4:$T$5),2)</f>
        <v>1140</v>
      </c>
      <c r="U28" s="5">
        <f t="shared" si="10"/>
        <v>976.42784318082204</v>
      </c>
      <c r="V28" s="5">
        <f t="shared" si="10"/>
        <v>976.42784318082204</v>
      </c>
      <c r="W28" s="5">
        <f t="shared" si="10"/>
        <v>976.42784318082204</v>
      </c>
      <c r="X28" s="5">
        <f t="shared" si="10"/>
        <v>976.42784318082204</v>
      </c>
      <c r="Y28" s="5">
        <f t="shared" si="10"/>
        <v>976.42784318082204</v>
      </c>
      <c r="Z28" s="5">
        <f t="shared" si="10"/>
        <v>976.42784318082204</v>
      </c>
      <c r="AA28" s="5">
        <f t="shared" si="10"/>
        <v>976.42784318082204</v>
      </c>
      <c r="AB28" s="5">
        <f t="shared" ref="AB28:AK28" si="11">INDEX($T$4:$U$5, MATCH(AB10,$T$4:$T$5),2)</f>
        <v>976.42784318082204</v>
      </c>
      <c r="AC28" s="5">
        <f t="shared" si="11"/>
        <v>976.42784318082204</v>
      </c>
      <c r="AD28" s="5">
        <f t="shared" si="11"/>
        <v>976.42784318082204</v>
      </c>
      <c r="AE28" s="5">
        <f t="shared" si="11"/>
        <v>976.42784318082204</v>
      </c>
      <c r="AF28" s="5">
        <f t="shared" si="11"/>
        <v>976.42784318082204</v>
      </c>
      <c r="AG28" s="5">
        <f t="shared" si="11"/>
        <v>1140</v>
      </c>
      <c r="AH28" s="5">
        <f t="shared" si="11"/>
        <v>1140</v>
      </c>
      <c r="AI28" s="5">
        <f t="shared" si="11"/>
        <v>1140</v>
      </c>
      <c r="AJ28" s="5">
        <f t="shared" si="11"/>
        <v>1140</v>
      </c>
      <c r="AK28" s="5">
        <f t="shared" si="11"/>
        <v>1140</v>
      </c>
    </row>
    <row r="29" spans="1:37" x14ac:dyDescent="0.2">
      <c r="A29" s="7" t="s">
        <v>16</v>
      </c>
      <c r="Q29" t="s">
        <v>208</v>
      </c>
      <c r="R29" t="s">
        <v>183</v>
      </c>
      <c r="S29" s="4">
        <f t="shared" ref="S29:AF29" si="12">$W$4</f>
        <v>2.6153846153846154</v>
      </c>
      <c r="T29" s="4">
        <f>$W$5</f>
        <v>3.9</v>
      </c>
      <c r="U29" s="4">
        <f t="shared" si="12"/>
        <v>2.6153846153846154</v>
      </c>
      <c r="V29" s="4">
        <f t="shared" si="12"/>
        <v>2.6153846153846154</v>
      </c>
      <c r="W29" s="4">
        <f t="shared" si="12"/>
        <v>2.6153846153846154</v>
      </c>
      <c r="X29" s="4">
        <f t="shared" si="12"/>
        <v>2.6153846153846154</v>
      </c>
      <c r="Y29" s="4">
        <f t="shared" si="12"/>
        <v>2.6153846153846154</v>
      </c>
      <c r="Z29" s="4">
        <f t="shared" si="12"/>
        <v>2.6153846153846154</v>
      </c>
      <c r="AA29" s="4">
        <f t="shared" si="12"/>
        <v>2.6153846153846154</v>
      </c>
      <c r="AB29" s="4">
        <f t="shared" si="12"/>
        <v>2.6153846153846154</v>
      </c>
      <c r="AC29" s="4">
        <f t="shared" si="12"/>
        <v>2.6153846153846154</v>
      </c>
      <c r="AD29" s="4">
        <f t="shared" si="12"/>
        <v>2.6153846153846154</v>
      </c>
      <c r="AE29" s="4">
        <f t="shared" si="12"/>
        <v>2.6153846153846154</v>
      </c>
      <c r="AF29" s="4">
        <f t="shared" si="12"/>
        <v>2.6153846153846154</v>
      </c>
      <c r="AG29" s="4">
        <f>$W$5</f>
        <v>3.9</v>
      </c>
      <c r="AH29" s="4">
        <f>$W$5</f>
        <v>3.9</v>
      </c>
      <c r="AI29" s="4">
        <f>$W$5</f>
        <v>3.9</v>
      </c>
      <c r="AJ29" s="4">
        <f>$W$5</f>
        <v>3.9</v>
      </c>
      <c r="AK29" s="4">
        <f>$W$5</f>
        <v>3.9</v>
      </c>
    </row>
    <row r="30" spans="1:37" x14ac:dyDescent="0.2">
      <c r="B30" t="s">
        <v>1</v>
      </c>
      <c r="C30" t="s">
        <v>2</v>
      </c>
      <c r="D30" t="s">
        <v>3</v>
      </c>
      <c r="E30" t="s">
        <v>41</v>
      </c>
      <c r="H30" t="s">
        <v>1</v>
      </c>
      <c r="I30" t="s">
        <v>2</v>
      </c>
      <c r="J30" t="s">
        <v>3</v>
      </c>
      <c r="R30" t="s">
        <v>20</v>
      </c>
      <c r="S30" s="5">
        <f t="shared" ref="S30:AF30" si="13">S$28*S$15+$D$32</f>
        <v>125.88777825200532</v>
      </c>
      <c r="T30" s="5">
        <f t="shared" si="13"/>
        <v>139.92398963155881</v>
      </c>
      <c r="U30" s="5">
        <f t="shared" si="13"/>
        <v>125.88777825200532</v>
      </c>
      <c r="V30" s="5">
        <f t="shared" si="13"/>
        <v>125.88777825200532</v>
      </c>
      <c r="W30" s="5">
        <f t="shared" si="13"/>
        <v>125.88777825200532</v>
      </c>
      <c r="X30" s="5">
        <f t="shared" si="13"/>
        <v>125.88777825200532</v>
      </c>
      <c r="Y30" s="5">
        <f t="shared" si="13"/>
        <v>125.88777825200532</v>
      </c>
      <c r="Z30" s="5">
        <f t="shared" si="13"/>
        <v>125.88777825200532</v>
      </c>
      <c r="AA30" s="5">
        <f t="shared" si="13"/>
        <v>125.88777825200532</v>
      </c>
      <c r="AB30" s="5">
        <f t="shared" si="13"/>
        <v>125.88777825200532</v>
      </c>
      <c r="AC30" s="5">
        <f t="shared" si="13"/>
        <v>125.88777825200532</v>
      </c>
      <c r="AD30" s="5">
        <f t="shared" si="13"/>
        <v>125.88777825200532</v>
      </c>
      <c r="AE30" s="5">
        <f t="shared" si="13"/>
        <v>125.88777825200532</v>
      </c>
      <c r="AF30" s="5">
        <f t="shared" si="13"/>
        <v>125.88777825200532</v>
      </c>
      <c r="AG30" s="5">
        <f>AG$28*AG$15+$D$32</f>
        <v>139.92398963155881</v>
      </c>
      <c r="AH30" s="5">
        <f>AH$28*AH$15+$D$32</f>
        <v>139.92398963155881</v>
      </c>
      <c r="AI30" s="5">
        <f>AI$28*AI$15+$D$32</f>
        <v>139.92398963155881</v>
      </c>
      <c r="AJ30" s="5">
        <f>AJ$28*AJ$15+$D$32</f>
        <v>139.92398963155881</v>
      </c>
      <c r="AK30" s="5">
        <f>AK$28*AK$15+$D$32</f>
        <v>139.92398963155881</v>
      </c>
    </row>
    <row r="31" spans="1:37" x14ac:dyDescent="0.2">
      <c r="A31" t="s">
        <v>4</v>
      </c>
      <c r="B31" s="5">
        <f>'Data and sources'!B14</f>
        <v>678.26769230769241</v>
      </c>
      <c r="C31" s="5">
        <f>'Data and sources'!C14</f>
        <v>775.16307692307703</v>
      </c>
      <c r="D31" s="5">
        <f>'Data and sources'!D17</f>
        <v>976.42784318082204</v>
      </c>
      <c r="G31" t="s">
        <v>5</v>
      </c>
      <c r="H31">
        <f t="shared" ref="H31:J33" si="14">B31*$E$1</f>
        <v>44087.400000000009</v>
      </c>
      <c r="I31">
        <f t="shared" si="14"/>
        <v>50385.600000000006</v>
      </c>
      <c r="J31">
        <f t="shared" si="14"/>
        <v>63467.80980675343</v>
      </c>
      <c r="R31" t="s">
        <v>32</v>
      </c>
      <c r="S31" s="5">
        <f t="shared" ref="S31:AF31" si="15">($D$34*S$29*$E$3*10^-3 + $D$33)/(1-$D$46)</f>
        <v>32.466607822649564</v>
      </c>
      <c r="T31" s="5">
        <f t="shared" si="15"/>
        <v>45.902984148611111</v>
      </c>
      <c r="U31" s="5">
        <f t="shared" si="15"/>
        <v>32.466607822649564</v>
      </c>
      <c r="V31" s="5">
        <f t="shared" si="15"/>
        <v>32.466607822649564</v>
      </c>
      <c r="W31" s="5">
        <f t="shared" si="15"/>
        <v>32.466607822649564</v>
      </c>
      <c r="X31" s="5">
        <f t="shared" si="15"/>
        <v>32.466607822649564</v>
      </c>
      <c r="Y31" s="5">
        <f t="shared" si="15"/>
        <v>32.466607822649564</v>
      </c>
      <c r="Z31" s="5">
        <f t="shared" si="15"/>
        <v>32.466607822649564</v>
      </c>
      <c r="AA31" s="5">
        <f t="shared" si="15"/>
        <v>32.466607822649564</v>
      </c>
      <c r="AB31" s="5">
        <f t="shared" si="15"/>
        <v>32.466607822649564</v>
      </c>
      <c r="AC31" s="5">
        <f t="shared" si="15"/>
        <v>32.466607822649564</v>
      </c>
      <c r="AD31" s="5">
        <f t="shared" si="15"/>
        <v>32.466607822649564</v>
      </c>
      <c r="AE31" s="5">
        <f t="shared" si="15"/>
        <v>32.466607822649564</v>
      </c>
      <c r="AF31" s="5">
        <f t="shared" si="15"/>
        <v>32.466607822649564</v>
      </c>
      <c r="AG31" s="5">
        <f>($D$34*AG$29*$E$3*10^-3 + $D$33)/(1-$D$46)</f>
        <v>45.902984148611111</v>
      </c>
      <c r="AH31" s="5">
        <f>($D$34*AH$29*$E$3*10^-3 + $D$33)/(1-$D$46)</f>
        <v>45.902984148611111</v>
      </c>
      <c r="AI31" s="5">
        <f>($D$34*AI$29*$E$3*10^-3 + $D$33)/(1-$D$46)</f>
        <v>45.902984148611111</v>
      </c>
      <c r="AJ31" s="5">
        <f>($D$34*AJ$29*$E$3*10^-3 + $D$33)/(1-$D$46)</f>
        <v>45.902984148611111</v>
      </c>
      <c r="AK31" s="5">
        <f>($D$34*AK$29*$E$3*10^-3 + $D$33)/(1-$D$46)</f>
        <v>45.902984148611111</v>
      </c>
    </row>
    <row r="32" spans="1:37" x14ac:dyDescent="0.2">
      <c r="A32" t="s">
        <v>6</v>
      </c>
      <c r="B32" s="4">
        <f>'Data and sources'!B26</f>
        <v>6.8</v>
      </c>
      <c r="C32" s="4">
        <f>'Data and sources'!C26</f>
        <v>11</v>
      </c>
      <c r="D32" s="4">
        <f>'Data and sources'!D26</f>
        <v>42.1</v>
      </c>
      <c r="G32" t="s">
        <v>14</v>
      </c>
      <c r="H32" s="5">
        <f t="shared" si="14"/>
        <v>442</v>
      </c>
      <c r="I32" s="5">
        <f t="shared" si="14"/>
        <v>715</v>
      </c>
      <c r="J32" s="5">
        <f t="shared" si="14"/>
        <v>2736.5</v>
      </c>
    </row>
    <row r="33" spans="1:37" x14ac:dyDescent="0.2">
      <c r="A33" t="s">
        <v>7</v>
      </c>
      <c r="B33" s="4">
        <f>'Data and sources'!B27</f>
        <v>10.7</v>
      </c>
      <c r="C33" s="4">
        <f>'Data and sources'!C27</f>
        <v>3.5</v>
      </c>
      <c r="D33" s="4">
        <f>'Data and sources'!D27</f>
        <v>4.5999999999999996</v>
      </c>
      <c r="G33" t="s">
        <v>15</v>
      </c>
      <c r="H33" s="5">
        <f t="shared" si="14"/>
        <v>695.5</v>
      </c>
      <c r="I33" s="5">
        <f t="shared" si="14"/>
        <v>227.5</v>
      </c>
      <c r="J33" s="5">
        <f t="shared" si="14"/>
        <v>299</v>
      </c>
      <c r="P33" s="5"/>
      <c r="R33" s="7" t="s">
        <v>190</v>
      </c>
    </row>
    <row r="34" spans="1:37" x14ac:dyDescent="0.2">
      <c r="A34" t="s">
        <v>8</v>
      </c>
      <c r="B34" s="5">
        <f>B22*$E$4</f>
        <v>11500.442999999999</v>
      </c>
      <c r="C34" s="5">
        <f>B23*E4</f>
        <v>7931.3399999999992</v>
      </c>
      <c r="D34" s="5">
        <f>B24*E4</f>
        <v>8922.7574999999997</v>
      </c>
      <c r="E34" t="s">
        <v>76</v>
      </c>
      <c r="F34" t="s">
        <v>75</v>
      </c>
      <c r="Q34" t="s">
        <v>225</v>
      </c>
      <c r="R34" t="s">
        <v>55</v>
      </c>
      <c r="S34" s="2">
        <f t="shared" ref="S34:AC34" si="16">(S24-S19)*1000/(S20-S25)/8760</f>
        <v>3.3984353954038309E-2</v>
      </c>
      <c r="T34" s="2">
        <f t="shared" si="16"/>
        <v>3.3984353954038309E-2</v>
      </c>
      <c r="U34" s="2">
        <f t="shared" si="16"/>
        <v>3.3984353954038309E-2</v>
      </c>
      <c r="V34" s="2">
        <f t="shared" si="16"/>
        <v>3.3984353954038309E-2</v>
      </c>
      <c r="W34" s="2">
        <f t="shared" si="16"/>
        <v>3.3984353954038309E-2</v>
      </c>
      <c r="X34" s="2">
        <f t="shared" si="16"/>
        <v>3.3984353954038309E-2</v>
      </c>
      <c r="Y34" s="2">
        <f t="shared" si="16"/>
        <v>3.3984353954038309E-2</v>
      </c>
      <c r="Z34" s="2">
        <f t="shared" si="16"/>
        <v>3.3984353954038309E-2</v>
      </c>
      <c r="AA34" s="2">
        <f t="shared" si="16"/>
        <v>3.3984353954038309E-2</v>
      </c>
      <c r="AB34" s="2">
        <f t="shared" si="16"/>
        <v>3.3984353954038309E-2</v>
      </c>
      <c r="AC34" s="2">
        <f t="shared" si="16"/>
        <v>3.3984353954038309E-2</v>
      </c>
      <c r="AD34" s="2">
        <f t="shared" ref="AD34:AF34" si="17">(AD24-AD19)*1000/(AD20-AD25)/8760</f>
        <v>3.3984353954038309E-2</v>
      </c>
      <c r="AE34" s="2">
        <f t="shared" si="17"/>
        <v>3.3984353954038309E-2</v>
      </c>
      <c r="AF34" s="2">
        <f t="shared" si="17"/>
        <v>3.3984353954038309E-2</v>
      </c>
      <c r="AG34" s="2">
        <f>(AG24-AG19)*1000/(AG20-AG25)/8760</f>
        <v>3.3984353954038309E-2</v>
      </c>
      <c r="AH34" s="2">
        <f>(AH24-AH19)*1000/(AH20-AH25)/8760</f>
        <v>3.3984353954038309E-2</v>
      </c>
      <c r="AI34" s="2">
        <f>(AI24-AI19)*1000/(AI20-AI25)/8760</f>
        <v>3.3984353954038309E-2</v>
      </c>
      <c r="AJ34" s="2">
        <f>(AJ24-AJ19)*1000/(AJ20-AJ25)/8760</f>
        <v>3.3984353954038309E-2</v>
      </c>
      <c r="AK34" s="2">
        <f>(AK24-AK19)*1000/(AK20-AK25)/8760</f>
        <v>3.3984353954038309E-2</v>
      </c>
    </row>
    <row r="35" spans="1:37" x14ac:dyDescent="0.2">
      <c r="A35" t="s">
        <v>74</v>
      </c>
      <c r="B35">
        <f>B34/$E$4</f>
        <v>2900</v>
      </c>
      <c r="C35">
        <f>C34/$E$4</f>
        <v>2000</v>
      </c>
      <c r="D35" s="5">
        <f>D34/$E$4</f>
        <v>2250</v>
      </c>
      <c r="E35" t="s">
        <v>45</v>
      </c>
      <c r="F35" t="s">
        <v>77</v>
      </c>
      <c r="R35" t="s">
        <v>56</v>
      </c>
      <c r="S35" s="2">
        <f t="shared" ref="S35:AC35" si="18">(S30-S24)*1000/(S25-S31)/8760</f>
        <v>0.10523612453151106</v>
      </c>
      <c r="T35" s="2">
        <f t="shared" si="18"/>
        <v>0.18251009215426989</v>
      </c>
      <c r="U35" s="2">
        <f t="shared" si="18"/>
        <v>0.10523612453151106</v>
      </c>
      <c r="V35" s="2">
        <f t="shared" si="18"/>
        <v>0.10523612453151106</v>
      </c>
      <c r="W35" s="2">
        <f t="shared" si="18"/>
        <v>0.10523612453151106</v>
      </c>
      <c r="X35" s="2">
        <f t="shared" si="18"/>
        <v>0.10523612453151106</v>
      </c>
      <c r="Y35" s="2">
        <f t="shared" si="18"/>
        <v>0.10523612453151106</v>
      </c>
      <c r="Z35" s="2">
        <f t="shared" si="18"/>
        <v>0.10523612453151106</v>
      </c>
      <c r="AA35" s="2">
        <f t="shared" si="18"/>
        <v>0.10523612453151106</v>
      </c>
      <c r="AB35" s="2">
        <f t="shared" si="18"/>
        <v>0.10523612453151106</v>
      </c>
      <c r="AC35" s="2">
        <f t="shared" si="18"/>
        <v>0.10523612453151106</v>
      </c>
      <c r="AD35" s="2">
        <f t="shared" ref="AD35:AF35" si="19">(AD30-AD24)*1000/(AD25-AD31)/8760</f>
        <v>0.10523612453151106</v>
      </c>
      <c r="AE35" s="2">
        <f t="shared" si="19"/>
        <v>0.10523612453151106</v>
      </c>
      <c r="AF35" s="2">
        <f t="shared" si="19"/>
        <v>0.10523612453151106</v>
      </c>
      <c r="AG35" s="2">
        <f>(AG30-AG24)*1000/(AG25-AG31)/8760</f>
        <v>0.18251009215426989</v>
      </c>
      <c r="AH35" s="2">
        <f>(AH30-AH24)*1000/(AH25-AH31)/8760</f>
        <v>0.18251009215426989</v>
      </c>
      <c r="AI35" s="2">
        <f>(AI30-AI24)*1000/(AI25-AI31)/8760</f>
        <v>0.18251009215426989</v>
      </c>
      <c r="AJ35" s="2">
        <f>(AJ30-AJ24)*1000/(AJ25-AJ31)/8760</f>
        <v>0.18251009215426989</v>
      </c>
      <c r="AK35" s="2">
        <f>(AK30-AK24)*1000/(AK25-AK31)/8760</f>
        <v>0.18251009215426989</v>
      </c>
    </row>
    <row r="36" spans="1:37" x14ac:dyDescent="0.2">
      <c r="A36" t="s">
        <v>166</v>
      </c>
      <c r="B36" s="4">
        <f>B34*$E$3*10^-3</f>
        <v>12.132967364999999</v>
      </c>
      <c r="C36" s="4">
        <f>C34*$E$3*10^-3</f>
        <v>8.3675636999999998</v>
      </c>
      <c r="D36" s="4">
        <f>D34*$E$3*10^-3</f>
        <v>9.4135091624999987</v>
      </c>
      <c r="R36" t="s">
        <v>57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2</v>
      </c>
      <c r="AI36">
        <v>2</v>
      </c>
      <c r="AJ36">
        <v>2</v>
      </c>
      <c r="AK36">
        <v>1</v>
      </c>
    </row>
    <row r="37" spans="1:37" x14ac:dyDescent="0.2">
      <c r="A37" t="s">
        <v>9</v>
      </c>
      <c r="B37" s="1">
        <v>0.5</v>
      </c>
      <c r="C37" s="1">
        <v>0.5</v>
      </c>
      <c r="D37" s="1">
        <v>0.55000000000000004</v>
      </c>
      <c r="E37" t="s">
        <v>44</v>
      </c>
      <c r="R37" t="str">
        <f>R18</f>
        <v>gas_price</v>
      </c>
      <c r="S37">
        <f t="shared" ref="S37:AC37" si="20">S18</f>
        <v>10</v>
      </c>
      <c r="T37">
        <f t="shared" si="20"/>
        <v>10</v>
      </c>
      <c r="U37">
        <f t="shared" si="20"/>
        <v>10</v>
      </c>
      <c r="V37">
        <f t="shared" si="20"/>
        <v>10</v>
      </c>
      <c r="W37">
        <f t="shared" si="20"/>
        <v>10</v>
      </c>
      <c r="X37">
        <f t="shared" si="20"/>
        <v>10</v>
      </c>
      <c r="Y37">
        <f t="shared" si="20"/>
        <v>10</v>
      </c>
      <c r="Z37">
        <f t="shared" si="20"/>
        <v>10</v>
      </c>
      <c r="AA37">
        <f t="shared" si="20"/>
        <v>10</v>
      </c>
      <c r="AB37">
        <f t="shared" si="20"/>
        <v>10</v>
      </c>
      <c r="AC37">
        <f t="shared" si="20"/>
        <v>10</v>
      </c>
      <c r="AD37">
        <f t="shared" ref="AD37:AF37" si="21">AD18</f>
        <v>10</v>
      </c>
      <c r="AE37">
        <f t="shared" si="21"/>
        <v>10</v>
      </c>
      <c r="AF37">
        <f t="shared" si="21"/>
        <v>10</v>
      </c>
      <c r="AG37">
        <f t="shared" ref="AG37:AH37" si="22">AG18</f>
        <v>10</v>
      </c>
      <c r="AH37">
        <f t="shared" si="22"/>
        <v>10</v>
      </c>
      <c r="AI37">
        <f t="shared" ref="AI37:AJ37" si="23">AI18</f>
        <v>10</v>
      </c>
      <c r="AJ37">
        <f t="shared" si="23"/>
        <v>10</v>
      </c>
      <c r="AK37">
        <f>AK18</f>
        <v>10</v>
      </c>
    </row>
    <row r="38" spans="1:37" x14ac:dyDescent="0.2">
      <c r="A38" t="s">
        <v>10</v>
      </c>
      <c r="B38">
        <v>117</v>
      </c>
      <c r="C38">
        <v>117</v>
      </c>
      <c r="D38">
        <v>215</v>
      </c>
      <c r="E38" t="s">
        <v>45</v>
      </c>
      <c r="R38" t="str">
        <f>R17</f>
        <v>cap_cost_ct</v>
      </c>
      <c r="S38" s="5">
        <f t="shared" ref="S38:AC38" si="24">S17</f>
        <v>678.26769230769241</v>
      </c>
      <c r="T38" s="5">
        <f t="shared" si="24"/>
        <v>678.26769230769241</v>
      </c>
      <c r="U38" s="5">
        <f t="shared" si="24"/>
        <v>678.26769230769241</v>
      </c>
      <c r="V38" s="5">
        <f t="shared" si="24"/>
        <v>678.26769230769241</v>
      </c>
      <c r="W38" s="5">
        <f t="shared" si="24"/>
        <v>678.26769230769241</v>
      </c>
      <c r="X38" s="5">
        <f t="shared" si="24"/>
        <v>678.26769230769241</v>
      </c>
      <c r="Y38" s="5">
        <f t="shared" si="24"/>
        <v>678.26769230769241</v>
      </c>
      <c r="Z38" s="5">
        <f t="shared" si="24"/>
        <v>678.26769230769241</v>
      </c>
      <c r="AA38" s="5">
        <f t="shared" si="24"/>
        <v>678.26769230769241</v>
      </c>
      <c r="AB38" s="5">
        <f t="shared" si="24"/>
        <v>678.26769230769241</v>
      </c>
      <c r="AC38" s="5">
        <f t="shared" si="24"/>
        <v>678.26769230769241</v>
      </c>
      <c r="AD38" s="5">
        <f t="shared" ref="AD38:AF38" si="25">AD17</f>
        <v>678.26769230769241</v>
      </c>
      <c r="AE38" s="5">
        <f t="shared" si="25"/>
        <v>678.26769230769241</v>
      </c>
      <c r="AF38" s="5">
        <f t="shared" si="25"/>
        <v>678.26769230769241</v>
      </c>
      <c r="AG38" s="5">
        <f t="shared" ref="AG38:AH38" si="26">AG17</f>
        <v>678.26769230769241</v>
      </c>
      <c r="AH38" s="5">
        <f t="shared" si="26"/>
        <v>678.26769230769241</v>
      </c>
      <c r="AI38" s="5">
        <f t="shared" ref="AI38:AJ38" si="27">AI17</f>
        <v>678.26769230769241</v>
      </c>
      <c r="AJ38" s="5">
        <f t="shared" si="27"/>
        <v>678.26769230769241</v>
      </c>
      <c r="AK38" s="5">
        <f>AK17</f>
        <v>678.26769230769241</v>
      </c>
    </row>
    <row r="39" spans="1:37" x14ac:dyDescent="0.2">
      <c r="A39" t="s">
        <v>11</v>
      </c>
      <c r="B39">
        <v>2.0000000000000001E-4</v>
      </c>
      <c r="C39">
        <v>2.0000000000000001E-4</v>
      </c>
      <c r="D39">
        <v>5.5E-2</v>
      </c>
      <c r="E39" t="s">
        <v>45</v>
      </c>
      <c r="R39" t="str">
        <f>R23</f>
        <v>cap_cost_ccgt</v>
      </c>
      <c r="S39" s="5">
        <f t="shared" ref="S39:AC39" si="28">S23</f>
        <v>775.16307692307703</v>
      </c>
      <c r="T39" s="5">
        <f t="shared" si="28"/>
        <v>775.16307692307703</v>
      </c>
      <c r="U39" s="5">
        <f t="shared" si="28"/>
        <v>775.16307692307703</v>
      </c>
      <c r="V39" s="5">
        <f t="shared" si="28"/>
        <v>775.16307692307703</v>
      </c>
      <c r="W39" s="5">
        <f t="shared" si="28"/>
        <v>775.16307692307703</v>
      </c>
      <c r="X39" s="5">
        <f t="shared" si="28"/>
        <v>775.16307692307703</v>
      </c>
      <c r="Y39" s="5">
        <f t="shared" si="28"/>
        <v>775.16307692307703</v>
      </c>
      <c r="Z39" s="5">
        <f t="shared" si="28"/>
        <v>775.16307692307703</v>
      </c>
      <c r="AA39" s="5">
        <f t="shared" si="28"/>
        <v>775.16307692307703</v>
      </c>
      <c r="AB39" s="5">
        <f t="shared" si="28"/>
        <v>775.16307692307703</v>
      </c>
      <c r="AC39" s="5">
        <f t="shared" si="28"/>
        <v>775.16307692307703</v>
      </c>
      <c r="AD39" s="5">
        <f t="shared" ref="AD39:AF39" si="29">AD23</f>
        <v>775.16307692307703</v>
      </c>
      <c r="AE39" s="5">
        <f t="shared" si="29"/>
        <v>775.16307692307703</v>
      </c>
      <c r="AF39" s="5">
        <f t="shared" si="29"/>
        <v>775.16307692307703</v>
      </c>
      <c r="AG39" s="5">
        <f t="shared" ref="AG39:AH39" si="30">AG23</f>
        <v>775.16307692307703</v>
      </c>
      <c r="AH39" s="5">
        <f t="shared" si="30"/>
        <v>775.16307692307703</v>
      </c>
      <c r="AI39" s="5">
        <f t="shared" ref="AI39:AJ39" si="31">AI23</f>
        <v>775.16307692307703</v>
      </c>
      <c r="AJ39" s="5">
        <f t="shared" si="31"/>
        <v>775.16307692307703</v>
      </c>
      <c r="AK39" s="5">
        <f>AK23</f>
        <v>775.16307692307703</v>
      </c>
    </row>
    <row r="40" spans="1:37" x14ac:dyDescent="0.2">
      <c r="A40" t="s">
        <v>12</v>
      </c>
      <c r="B40">
        <v>3.3000000000000002E-2</v>
      </c>
      <c r="C40">
        <v>7.3000000000000001E-3</v>
      </c>
      <c r="D40">
        <v>0.05</v>
      </c>
      <c r="E40" t="s">
        <v>45</v>
      </c>
      <c r="G40">
        <f>52500/65</f>
        <v>807.69230769230774</v>
      </c>
      <c r="R40" t="str">
        <f>R28</f>
        <v>cap_cost_coal</v>
      </c>
      <c r="S40" s="5">
        <f t="shared" ref="S40:AC40" si="32">S28</f>
        <v>976.42784318082204</v>
      </c>
      <c r="T40" s="5">
        <f t="shared" si="32"/>
        <v>1140</v>
      </c>
      <c r="U40" s="5">
        <f t="shared" si="32"/>
        <v>976.42784318082204</v>
      </c>
      <c r="V40" s="5">
        <f t="shared" si="32"/>
        <v>976.42784318082204</v>
      </c>
      <c r="W40" s="5">
        <f t="shared" si="32"/>
        <v>976.42784318082204</v>
      </c>
      <c r="X40" s="5">
        <f t="shared" si="32"/>
        <v>976.42784318082204</v>
      </c>
      <c r="Y40" s="5">
        <f t="shared" si="32"/>
        <v>976.42784318082204</v>
      </c>
      <c r="Z40" s="5">
        <f t="shared" si="32"/>
        <v>976.42784318082204</v>
      </c>
      <c r="AA40" s="5">
        <f t="shared" si="32"/>
        <v>976.42784318082204</v>
      </c>
      <c r="AB40" s="5">
        <f t="shared" si="32"/>
        <v>976.42784318082204</v>
      </c>
      <c r="AC40" s="5">
        <f t="shared" si="32"/>
        <v>976.42784318082204</v>
      </c>
      <c r="AD40" s="5">
        <f t="shared" ref="AD40:AF40" si="33">AD28</f>
        <v>976.42784318082204</v>
      </c>
      <c r="AE40" s="5">
        <f t="shared" si="33"/>
        <v>976.42784318082204</v>
      </c>
      <c r="AF40" s="5">
        <f t="shared" si="33"/>
        <v>976.42784318082204</v>
      </c>
      <c r="AG40" s="5">
        <f t="shared" ref="AG40:AH40" si="34">AG28</f>
        <v>1140</v>
      </c>
      <c r="AH40" s="5">
        <f t="shared" si="34"/>
        <v>1140</v>
      </c>
      <c r="AI40" s="5">
        <f t="shared" ref="AI40:AJ40" si="35">AI28</f>
        <v>1140</v>
      </c>
      <c r="AJ40" s="5">
        <f t="shared" si="35"/>
        <v>1140</v>
      </c>
      <c r="AK40" s="5">
        <f>AK28</f>
        <v>1140</v>
      </c>
    </row>
    <row r="41" spans="1:37" x14ac:dyDescent="0.2">
      <c r="A41" t="s">
        <v>13</v>
      </c>
      <c r="B41">
        <v>6.0000000000000001E-3</v>
      </c>
      <c r="C41">
        <v>5.7999999999999996E-3</v>
      </c>
      <c r="D41">
        <v>1.0999999999999999E-2</v>
      </c>
      <c r="E41" t="s">
        <v>45</v>
      </c>
      <c r="G41">
        <f>35860/65</f>
        <v>551.69230769230774</v>
      </c>
    </row>
    <row r="42" spans="1:37" x14ac:dyDescent="0.2">
      <c r="A42" t="s">
        <v>21</v>
      </c>
      <c r="B42" s="3">
        <f>B38*B$34*10^-6/$E$2</f>
        <v>0.61161446863636348</v>
      </c>
      <c r="C42" s="3">
        <f>C38*C$34*10^-6/$E$2</f>
        <v>0.42180308181818171</v>
      </c>
      <c r="D42" s="3">
        <f>D38*D$34*10^-6/$E$2</f>
        <v>0.87199675568181811</v>
      </c>
      <c r="F42" t="s">
        <v>64</v>
      </c>
      <c r="R42" s="7" t="s">
        <v>192</v>
      </c>
    </row>
    <row r="43" spans="1:37" x14ac:dyDescent="0.2">
      <c r="A43" t="s">
        <v>22</v>
      </c>
      <c r="B43" s="6">
        <f t="shared" ref="B43:D45" si="36">B39*B$34*10^-3/$E$2</f>
        <v>1.0454948181818182E-3</v>
      </c>
      <c r="C43" s="6">
        <f t="shared" si="36"/>
        <v>7.2103090909090911E-4</v>
      </c>
      <c r="D43" s="6">
        <f t="shared" si="36"/>
        <v>0.22306893749999998</v>
      </c>
      <c r="Q43" t="s">
        <v>194</v>
      </c>
      <c r="R43" t="s">
        <v>193</v>
      </c>
    </row>
    <row r="44" spans="1:37" x14ac:dyDescent="0.2">
      <c r="A44" t="s">
        <v>23</v>
      </c>
      <c r="B44" s="3">
        <f t="shared" si="36"/>
        <v>0.17250664499999999</v>
      </c>
      <c r="C44" s="3">
        <f t="shared" si="36"/>
        <v>2.6317628181818178E-2</v>
      </c>
      <c r="D44" s="3">
        <f t="shared" si="36"/>
        <v>0.20278994318181817</v>
      </c>
      <c r="Q44">
        <v>0</v>
      </c>
      <c r="R44" t="s">
        <v>195</v>
      </c>
      <c r="S44" s="5">
        <f t="shared" ref="S44:AC44" si="37">S19</f>
        <v>65.002501490990369</v>
      </c>
      <c r="T44" s="5">
        <f t="shared" si="37"/>
        <v>65.002501490990369</v>
      </c>
      <c r="U44" s="5">
        <f t="shared" si="37"/>
        <v>65.002501490990369</v>
      </c>
      <c r="V44" s="5">
        <f t="shared" si="37"/>
        <v>65.002501490990369</v>
      </c>
      <c r="W44" s="5">
        <f t="shared" si="37"/>
        <v>65.002501490990369</v>
      </c>
      <c r="X44" s="5">
        <f t="shared" si="37"/>
        <v>65.002501490990369</v>
      </c>
      <c r="Y44" s="5">
        <f t="shared" si="37"/>
        <v>65.002501490990369</v>
      </c>
      <c r="Z44" s="5">
        <f t="shared" si="37"/>
        <v>65.002501490990369</v>
      </c>
      <c r="AA44" s="5">
        <f t="shared" si="37"/>
        <v>65.002501490990369</v>
      </c>
      <c r="AB44" s="5">
        <f t="shared" si="37"/>
        <v>65.002501490990369</v>
      </c>
      <c r="AC44" s="5">
        <f t="shared" si="37"/>
        <v>65.002501490990369</v>
      </c>
      <c r="AD44" s="5">
        <f t="shared" ref="AD44:AF44" si="38">AD19</f>
        <v>65.002501490990369</v>
      </c>
      <c r="AE44" s="5">
        <f t="shared" si="38"/>
        <v>65.002501490990369</v>
      </c>
      <c r="AF44" s="5">
        <f t="shared" si="38"/>
        <v>65.002501490990369</v>
      </c>
      <c r="AG44" s="5">
        <f t="shared" ref="AG44:AH44" si="39">AG19</f>
        <v>65.002501490990369</v>
      </c>
      <c r="AH44" s="5">
        <f t="shared" si="39"/>
        <v>65.002501490990369</v>
      </c>
      <c r="AI44" s="5">
        <f t="shared" ref="AI44:AJ44" si="40">AI19</f>
        <v>65.002501490990369</v>
      </c>
      <c r="AJ44" s="5">
        <f t="shared" si="40"/>
        <v>65.002501490990369</v>
      </c>
      <c r="AK44" s="5">
        <f>AK19</f>
        <v>65.002501490990369</v>
      </c>
    </row>
    <row r="45" spans="1:37" x14ac:dyDescent="0.2">
      <c r="A45" t="s">
        <v>24</v>
      </c>
      <c r="B45" s="2">
        <f t="shared" si="36"/>
        <v>3.1364844545454539E-2</v>
      </c>
      <c r="C45" s="2">
        <f t="shared" si="36"/>
        <v>2.0909896363636361E-2</v>
      </c>
      <c r="D45" s="2">
        <f t="shared" si="36"/>
        <v>4.4613787499999995E-2</v>
      </c>
      <c r="Q45">
        <v>8760</v>
      </c>
      <c r="R45" t="s">
        <v>195</v>
      </c>
      <c r="S45" s="5">
        <f t="shared" ref="S45:AC45" si="41">S44+S20*$Q$45/1000</f>
        <v>1177.2962457334145</v>
      </c>
      <c r="T45" s="5">
        <f t="shared" si="41"/>
        <v>1177.2962457334145</v>
      </c>
      <c r="U45" s="5">
        <f t="shared" si="41"/>
        <v>1177.2962457334145</v>
      </c>
      <c r="V45" s="5">
        <f t="shared" si="41"/>
        <v>1177.2962457334145</v>
      </c>
      <c r="W45" s="5">
        <f t="shared" si="41"/>
        <v>1177.2962457334145</v>
      </c>
      <c r="X45" s="5">
        <f t="shared" si="41"/>
        <v>1177.2962457334145</v>
      </c>
      <c r="Y45" s="5">
        <f t="shared" si="41"/>
        <v>1177.2962457334145</v>
      </c>
      <c r="Z45" s="5">
        <f t="shared" si="41"/>
        <v>1177.2962457334145</v>
      </c>
      <c r="AA45" s="5">
        <f t="shared" si="41"/>
        <v>1177.2962457334145</v>
      </c>
      <c r="AB45" s="5">
        <f t="shared" si="41"/>
        <v>1177.2962457334145</v>
      </c>
      <c r="AC45" s="5">
        <f t="shared" si="41"/>
        <v>1177.2962457334145</v>
      </c>
      <c r="AD45" s="5">
        <f t="shared" ref="AD45:AF45" si="42">AD44+AD20*$Q$45/1000</f>
        <v>1177.2962457334145</v>
      </c>
      <c r="AE45" s="5">
        <f t="shared" si="42"/>
        <v>1177.2962457334145</v>
      </c>
      <c r="AF45" s="5">
        <f t="shared" si="42"/>
        <v>1177.2962457334145</v>
      </c>
      <c r="AG45" s="5">
        <f t="shared" ref="AG45:AH45" si="43">AG44+AG20*$Q$45/1000</f>
        <v>1177.2962457334145</v>
      </c>
      <c r="AH45" s="5">
        <f t="shared" si="43"/>
        <v>1177.2962457334145</v>
      </c>
      <c r="AI45" s="5">
        <f t="shared" ref="AI45:AJ45" si="44">AI44+AI20*$Q$45/1000</f>
        <v>1177.2962457334145</v>
      </c>
      <c r="AJ45" s="5">
        <f t="shared" si="44"/>
        <v>1177.2962457334145</v>
      </c>
      <c r="AK45" s="5">
        <f>AK44+AK20*$Q$45/1000</f>
        <v>1177.2962457334145</v>
      </c>
    </row>
    <row r="46" spans="1:37" x14ac:dyDescent="0.2">
      <c r="A46" t="s">
        <v>50</v>
      </c>
      <c r="B46" s="11">
        <v>0.01</v>
      </c>
      <c r="C46" s="11">
        <v>2.5000000000000001E-2</v>
      </c>
      <c r="D46" s="11">
        <v>0.1</v>
      </c>
      <c r="E46" t="s">
        <v>73</v>
      </c>
      <c r="Q46">
        <v>0</v>
      </c>
      <c r="R46" t="s">
        <v>196</v>
      </c>
      <c r="S46" s="5">
        <f t="shared" ref="S46:AC46" si="45">S24</f>
        <v>77.517144561131843</v>
      </c>
      <c r="T46" s="5">
        <f t="shared" si="45"/>
        <v>77.517144561131843</v>
      </c>
      <c r="U46" s="5">
        <f t="shared" si="45"/>
        <v>77.517144561131843</v>
      </c>
      <c r="V46" s="5">
        <f t="shared" si="45"/>
        <v>77.517144561131843</v>
      </c>
      <c r="W46" s="5">
        <f t="shared" si="45"/>
        <v>77.517144561131843</v>
      </c>
      <c r="X46" s="5">
        <f t="shared" si="45"/>
        <v>77.517144561131843</v>
      </c>
      <c r="Y46" s="5">
        <f t="shared" si="45"/>
        <v>77.517144561131843</v>
      </c>
      <c r="Z46" s="5">
        <f t="shared" si="45"/>
        <v>77.517144561131843</v>
      </c>
      <c r="AA46" s="5">
        <f t="shared" si="45"/>
        <v>77.517144561131843</v>
      </c>
      <c r="AB46" s="5">
        <f t="shared" si="45"/>
        <v>77.517144561131843</v>
      </c>
      <c r="AC46" s="5">
        <f t="shared" si="45"/>
        <v>77.517144561131843</v>
      </c>
      <c r="AD46" s="5">
        <f t="shared" ref="AD46:AF46" si="46">AD24</f>
        <v>77.517144561131843</v>
      </c>
      <c r="AE46" s="5">
        <f t="shared" si="46"/>
        <v>77.517144561131843</v>
      </c>
      <c r="AF46" s="5">
        <f t="shared" si="46"/>
        <v>77.517144561131843</v>
      </c>
      <c r="AG46" s="5">
        <f t="shared" ref="AG46:AH46" si="47">AG24</f>
        <v>77.517144561131843</v>
      </c>
      <c r="AH46" s="5">
        <f t="shared" si="47"/>
        <v>77.517144561131843</v>
      </c>
      <c r="AI46" s="5">
        <f t="shared" ref="AI46:AJ46" si="48">AI24</f>
        <v>77.517144561131843</v>
      </c>
      <c r="AJ46" s="5">
        <f t="shared" si="48"/>
        <v>77.517144561131843</v>
      </c>
      <c r="AK46" s="5">
        <f>AK24</f>
        <v>77.517144561131843</v>
      </c>
    </row>
    <row r="47" spans="1:37" x14ac:dyDescent="0.2">
      <c r="Q47">
        <v>8760</v>
      </c>
      <c r="R47" t="s">
        <v>196</v>
      </c>
      <c r="S47" s="5">
        <f t="shared" ref="S47:AC47" si="49">S46+S25*$Q$47/1000</f>
        <v>821.56369225343963</v>
      </c>
      <c r="T47" s="5">
        <f t="shared" si="49"/>
        <v>821.56369225343963</v>
      </c>
      <c r="U47" s="5">
        <f t="shared" si="49"/>
        <v>821.56369225343963</v>
      </c>
      <c r="V47" s="5">
        <f t="shared" si="49"/>
        <v>821.56369225343963</v>
      </c>
      <c r="W47" s="5">
        <f t="shared" si="49"/>
        <v>821.56369225343963</v>
      </c>
      <c r="X47" s="5">
        <f t="shared" si="49"/>
        <v>821.56369225343963</v>
      </c>
      <c r="Y47" s="5">
        <f t="shared" si="49"/>
        <v>821.56369225343963</v>
      </c>
      <c r="Z47" s="5">
        <f t="shared" si="49"/>
        <v>821.56369225343963</v>
      </c>
      <c r="AA47" s="5">
        <f t="shared" si="49"/>
        <v>821.56369225343963</v>
      </c>
      <c r="AB47" s="5">
        <f t="shared" si="49"/>
        <v>821.56369225343963</v>
      </c>
      <c r="AC47" s="5">
        <f t="shared" si="49"/>
        <v>821.56369225343963</v>
      </c>
      <c r="AD47" s="5">
        <f t="shared" ref="AD47:AF47" si="50">AD46+AD25*$Q$47/1000</f>
        <v>821.56369225343963</v>
      </c>
      <c r="AE47" s="5">
        <f t="shared" si="50"/>
        <v>821.56369225343963</v>
      </c>
      <c r="AF47" s="5">
        <f t="shared" si="50"/>
        <v>821.56369225343963</v>
      </c>
      <c r="AG47" s="5">
        <f t="shared" ref="AG47:AH47" si="51">AG46+AG25*$Q$47/1000</f>
        <v>821.56369225343963</v>
      </c>
      <c r="AH47" s="5">
        <f t="shared" si="51"/>
        <v>821.56369225343963</v>
      </c>
      <c r="AI47" s="5">
        <f t="shared" ref="AI47:AJ47" si="52">AI46+AI25*$Q$47/1000</f>
        <v>821.56369225343963</v>
      </c>
      <c r="AJ47" s="5">
        <f t="shared" si="52"/>
        <v>821.56369225343963</v>
      </c>
      <c r="AK47" s="5">
        <f>AK46+AK25*$Q$47/1000</f>
        <v>821.56369225343963</v>
      </c>
    </row>
    <row r="48" spans="1:37" x14ac:dyDescent="0.2">
      <c r="A48" t="s">
        <v>17</v>
      </c>
      <c r="B48" s="10">
        <v>7.0000000000000007E-2</v>
      </c>
      <c r="C48" s="8">
        <f>B48</f>
        <v>7.0000000000000007E-2</v>
      </c>
      <c r="D48" s="8">
        <f>B48</f>
        <v>7.0000000000000007E-2</v>
      </c>
      <c r="E48" t="s">
        <v>139</v>
      </c>
      <c r="Q48">
        <v>0</v>
      </c>
      <c r="R48" t="s">
        <v>3</v>
      </c>
      <c r="S48" s="5">
        <f t="shared" ref="S48:AC48" si="53">S30</f>
        <v>125.88777825200532</v>
      </c>
      <c r="T48" s="5">
        <f t="shared" si="53"/>
        <v>139.92398963155881</v>
      </c>
      <c r="U48" s="5">
        <f t="shared" si="53"/>
        <v>125.88777825200532</v>
      </c>
      <c r="V48" s="5">
        <f t="shared" si="53"/>
        <v>125.88777825200532</v>
      </c>
      <c r="W48" s="5">
        <f t="shared" si="53"/>
        <v>125.88777825200532</v>
      </c>
      <c r="X48" s="5">
        <f t="shared" si="53"/>
        <v>125.88777825200532</v>
      </c>
      <c r="Y48" s="5">
        <f t="shared" si="53"/>
        <v>125.88777825200532</v>
      </c>
      <c r="Z48" s="5">
        <f t="shared" si="53"/>
        <v>125.88777825200532</v>
      </c>
      <c r="AA48" s="5">
        <f t="shared" si="53"/>
        <v>125.88777825200532</v>
      </c>
      <c r="AB48" s="5">
        <f t="shared" si="53"/>
        <v>125.88777825200532</v>
      </c>
      <c r="AC48" s="5">
        <f t="shared" si="53"/>
        <v>125.88777825200532</v>
      </c>
      <c r="AD48" s="5">
        <f t="shared" ref="AD48:AF48" si="54">AD30</f>
        <v>125.88777825200532</v>
      </c>
      <c r="AE48" s="5">
        <f t="shared" si="54"/>
        <v>125.88777825200532</v>
      </c>
      <c r="AF48" s="5">
        <f t="shared" si="54"/>
        <v>125.88777825200532</v>
      </c>
      <c r="AG48" s="5">
        <f t="shared" ref="AG48:AH48" si="55">AG30</f>
        <v>139.92398963155881</v>
      </c>
      <c r="AH48" s="5">
        <f t="shared" si="55"/>
        <v>139.92398963155881</v>
      </c>
      <c r="AI48" s="5">
        <f t="shared" ref="AI48:AJ48" si="56">AI30</f>
        <v>139.92398963155881</v>
      </c>
      <c r="AJ48" s="5">
        <f t="shared" si="56"/>
        <v>139.92398963155881</v>
      </c>
      <c r="AK48" s="5">
        <f>AK30</f>
        <v>139.92398963155881</v>
      </c>
    </row>
    <row r="49" spans="1:37" x14ac:dyDescent="0.2">
      <c r="A49" t="s">
        <v>18</v>
      </c>
      <c r="B49">
        <v>25</v>
      </c>
      <c r="C49">
        <v>25</v>
      </c>
      <c r="D49">
        <v>25</v>
      </c>
      <c r="E49" t="s">
        <v>42</v>
      </c>
      <c r="Q49">
        <v>8760</v>
      </c>
      <c r="R49" t="s">
        <v>3</v>
      </c>
      <c r="S49" s="5">
        <f t="shared" ref="S49:AC49" si="57">S48+S31*$Q$49/1000</f>
        <v>410.29526277841552</v>
      </c>
      <c r="T49" s="5">
        <f t="shared" si="57"/>
        <v>542.03413077339212</v>
      </c>
      <c r="U49" s="5">
        <f t="shared" si="57"/>
        <v>410.29526277841552</v>
      </c>
      <c r="V49" s="5">
        <f t="shared" si="57"/>
        <v>410.29526277841552</v>
      </c>
      <c r="W49" s="5">
        <f t="shared" si="57"/>
        <v>410.29526277841552</v>
      </c>
      <c r="X49" s="5">
        <f t="shared" si="57"/>
        <v>410.29526277841552</v>
      </c>
      <c r="Y49" s="5">
        <f t="shared" si="57"/>
        <v>410.29526277841552</v>
      </c>
      <c r="Z49" s="5">
        <f t="shared" si="57"/>
        <v>410.29526277841552</v>
      </c>
      <c r="AA49" s="5">
        <f t="shared" si="57"/>
        <v>410.29526277841552</v>
      </c>
      <c r="AB49" s="5">
        <f t="shared" si="57"/>
        <v>410.29526277841552</v>
      </c>
      <c r="AC49" s="5">
        <f t="shared" si="57"/>
        <v>410.29526277841552</v>
      </c>
      <c r="AD49" s="5">
        <f t="shared" ref="AD49:AF49" si="58">AD48+AD31*$Q$49/1000</f>
        <v>410.29526277841552</v>
      </c>
      <c r="AE49" s="5">
        <f t="shared" si="58"/>
        <v>410.29526277841552</v>
      </c>
      <c r="AF49" s="5">
        <f t="shared" si="58"/>
        <v>410.29526277841552</v>
      </c>
      <c r="AG49" s="5">
        <f t="shared" ref="AG49:AH49" si="59">AG48+AG31*$Q$49/1000</f>
        <v>542.03413077339212</v>
      </c>
      <c r="AH49" s="5">
        <f t="shared" si="59"/>
        <v>542.03413077339212</v>
      </c>
      <c r="AI49" s="5">
        <f t="shared" ref="AI49:AJ49" si="60">AI48+AI31*$Q$49/1000</f>
        <v>542.03413077339212</v>
      </c>
      <c r="AJ49" s="5">
        <f t="shared" si="60"/>
        <v>542.03413077339212</v>
      </c>
      <c r="AK49" s="5">
        <f>AK48+AK31*$Q$49/1000</f>
        <v>542.03413077339212</v>
      </c>
    </row>
    <row r="50" spans="1:37" ht="16" x14ac:dyDescent="0.2">
      <c r="A50" t="s">
        <v>19</v>
      </c>
      <c r="B50" s="9">
        <f>(B48*(1+B48)^B49)/(((1+B48)^B49)-1)</f>
        <v>8.5810517220665614E-2</v>
      </c>
      <c r="C50" s="9">
        <f>(C48*(1+C48)^C49)/(((1+C48)^C49)-1)</f>
        <v>8.5810517220665614E-2</v>
      </c>
      <c r="D50" s="9">
        <f>(D48*(1+D48)^D49)/(((1+D48)^D49)-1)</f>
        <v>8.5810517220665614E-2</v>
      </c>
    </row>
    <row r="51" spans="1:37" x14ac:dyDescent="0.2">
      <c r="A51" t="s">
        <v>20</v>
      </c>
      <c r="B51" s="4">
        <f>B31*B50+B32</f>
        <v>65.002501490990369</v>
      </c>
      <c r="C51" s="4">
        <f>C31*C50+C32</f>
        <v>77.517144561131843</v>
      </c>
      <c r="D51" s="4">
        <f>D31*D50+D32</f>
        <v>125.88777825200532</v>
      </c>
      <c r="Q51" s="20" t="s">
        <v>425</v>
      </c>
      <c r="R51" s="7" t="s">
        <v>197</v>
      </c>
    </row>
    <row r="52" spans="1:37" x14ac:dyDescent="0.2">
      <c r="A52" t="s">
        <v>39</v>
      </c>
      <c r="B52" s="5">
        <f>B51*$E$1</f>
        <v>4225.1625969143743</v>
      </c>
      <c r="C52" s="5">
        <f>C51*$E$1</f>
        <v>5038.6143964735702</v>
      </c>
      <c r="D52" s="5">
        <f>D51*$E$1</f>
        <v>8182.7055863803453</v>
      </c>
      <c r="G52" t="s">
        <v>63</v>
      </c>
      <c r="H52" s="5">
        <f>B55*8760</f>
        <v>297.7029406373756</v>
      </c>
      <c r="I52" s="5">
        <f>(C55-B55)*8760</f>
        <v>624.16551025866136</v>
      </c>
      <c r="J52" s="5">
        <f>(1-C55-B55)*8760</f>
        <v>7540.4286084665873</v>
      </c>
      <c r="Q52" t="s">
        <v>198</v>
      </c>
      <c r="R52" t="s">
        <v>193</v>
      </c>
      <c r="S52" t="str">
        <f t="shared" ref="S52:AC52" si="61">S9</f>
        <v>coallc</v>
      </c>
      <c r="T52" t="str">
        <f t="shared" si="61"/>
        <v>coalhc</v>
      </c>
      <c r="U52" t="str">
        <f t="shared" si="61"/>
        <v>coallcW10lc</v>
      </c>
      <c r="V52" t="str">
        <f t="shared" si="61"/>
        <v>coallcW20lc</v>
      </c>
      <c r="W52" t="str">
        <f t="shared" si="61"/>
        <v>coallcW30lc</v>
      </c>
      <c r="X52" t="str">
        <f t="shared" si="61"/>
        <v>coallcS10lc</v>
      </c>
      <c r="Y52" t="str">
        <f t="shared" si="61"/>
        <v>coallcS20lc</v>
      </c>
      <c r="Z52" t="str">
        <f t="shared" si="61"/>
        <v>coallcS30lc</v>
      </c>
      <c r="AA52" t="str">
        <f t="shared" si="61"/>
        <v>coallcW30lcS30lc</v>
      </c>
      <c r="AB52" t="str">
        <f t="shared" si="61"/>
        <v>coallcB25lc</v>
      </c>
      <c r="AC52" t="str">
        <f t="shared" si="61"/>
        <v>coallcB50lc</v>
      </c>
      <c r="AD52" t="str">
        <f t="shared" ref="AD52:AF52" si="62">AD9</f>
        <v>coallcW30lcB50lc</v>
      </c>
      <c r="AE52" t="str">
        <f t="shared" si="62"/>
        <v>coallcS30lcB50lc</v>
      </c>
      <c r="AF52" t="str">
        <f t="shared" si="62"/>
        <v>coallcW30lcS30lcB50lc</v>
      </c>
      <c r="AG52" t="str">
        <f t="shared" ref="AG52:AH52" si="63">AG9</f>
        <v>coalhcB50lc</v>
      </c>
      <c r="AH52" t="str">
        <f t="shared" si="63"/>
        <v>coalhcW30lcB50lc</v>
      </c>
      <c r="AI52" t="str">
        <f t="shared" ref="AI52:AJ52" si="64">AI9</f>
        <v>coalhcS30lcB50lc</v>
      </c>
      <c r="AJ52" t="str">
        <f t="shared" si="64"/>
        <v>coalhcW30lcS30lcB50lc</v>
      </c>
      <c r="AK52" t="str">
        <f>AK9</f>
        <v>coalhcW30lcS30lc</v>
      </c>
    </row>
    <row r="53" spans="1:37" x14ac:dyDescent="0.2">
      <c r="A53" t="s">
        <v>32</v>
      </c>
      <c r="B53" s="4">
        <f>(B34*$B$18*10^-3 + B33)/(1-B46)</f>
        <v>126.97417171717171</v>
      </c>
      <c r="C53" s="4">
        <f>(C34*$B$18*10^-3 + C33)/(1-C46)</f>
        <v>84.936820512820518</v>
      </c>
      <c r="D53" s="4">
        <f>(D34*B7*$E$3*10^-3 + D33)/(1-D46)</f>
        <v>32.466607822649564</v>
      </c>
      <c r="H53" t="s">
        <v>1</v>
      </c>
      <c r="I53" t="s">
        <v>2</v>
      </c>
      <c r="J53" t="s">
        <v>3</v>
      </c>
      <c r="Q53" t="s">
        <v>203</v>
      </c>
      <c r="R53" t="s">
        <v>199</v>
      </c>
      <c r="S53" s="5">
        <f t="shared" ref="S53:AC53" si="65">S17</f>
        <v>678.26769230769241</v>
      </c>
      <c r="T53" s="5">
        <f t="shared" si="65"/>
        <v>678.26769230769241</v>
      </c>
      <c r="U53" s="5">
        <f t="shared" si="65"/>
        <v>678.26769230769241</v>
      </c>
      <c r="V53" s="5">
        <f t="shared" si="65"/>
        <v>678.26769230769241</v>
      </c>
      <c r="W53" s="5">
        <f t="shared" si="65"/>
        <v>678.26769230769241</v>
      </c>
      <c r="X53" s="5">
        <f t="shared" si="65"/>
        <v>678.26769230769241</v>
      </c>
      <c r="Y53" s="5">
        <f t="shared" si="65"/>
        <v>678.26769230769241</v>
      </c>
      <c r="Z53" s="5">
        <f t="shared" si="65"/>
        <v>678.26769230769241</v>
      </c>
      <c r="AA53" s="5">
        <f t="shared" si="65"/>
        <v>678.26769230769241</v>
      </c>
      <c r="AB53" s="5">
        <f t="shared" si="65"/>
        <v>678.26769230769241</v>
      </c>
      <c r="AC53" s="5">
        <f t="shared" si="65"/>
        <v>678.26769230769241</v>
      </c>
      <c r="AD53" s="5">
        <f t="shared" ref="AD53:AF53" si="66">AD17</f>
        <v>678.26769230769241</v>
      </c>
      <c r="AE53" s="5">
        <f t="shared" si="66"/>
        <v>678.26769230769241</v>
      </c>
      <c r="AF53" s="5">
        <f t="shared" si="66"/>
        <v>678.26769230769241</v>
      </c>
      <c r="AG53" s="5">
        <f t="shared" ref="AG53:AH53" si="67">AG17</f>
        <v>678.26769230769241</v>
      </c>
      <c r="AH53" s="5">
        <f t="shared" si="67"/>
        <v>678.26769230769241</v>
      </c>
      <c r="AI53" s="5">
        <f t="shared" ref="AI53:AJ53" si="68">AI17</f>
        <v>678.26769230769241</v>
      </c>
      <c r="AJ53" s="5">
        <f t="shared" si="68"/>
        <v>678.26769230769241</v>
      </c>
      <c r="AK53" s="5">
        <f>AK17</f>
        <v>678.26769230769241</v>
      </c>
    </row>
    <row r="54" spans="1:37" x14ac:dyDescent="0.2">
      <c r="A54" t="s">
        <v>37</v>
      </c>
      <c r="B54" s="5">
        <f>B53*$E$1</f>
        <v>8253.3211616161607</v>
      </c>
      <c r="C54" s="5">
        <f>C53*$E$1</f>
        <v>5520.8933333333334</v>
      </c>
      <c r="D54" s="5">
        <f>D53*$E$1</f>
        <v>2110.3295084722217</v>
      </c>
      <c r="G54" t="s">
        <v>206</v>
      </c>
      <c r="H54" s="4">
        <f>B52/H52</f>
        <v>14.192545723157426</v>
      </c>
      <c r="I54" s="4">
        <f>C52/I52</f>
        <v>8.0725613858181795</v>
      </c>
      <c r="J54" s="4">
        <f>D52/J52</f>
        <v>1.0851777811665231</v>
      </c>
      <c r="Q54" t="s">
        <v>204</v>
      </c>
      <c r="R54" t="s">
        <v>199</v>
      </c>
      <c r="S54" s="4">
        <f t="shared" ref="S54:AK54" si="69">$B$32</f>
        <v>6.8</v>
      </c>
      <c r="T54" s="4">
        <f t="shared" si="69"/>
        <v>6.8</v>
      </c>
      <c r="U54" s="4">
        <f t="shared" si="69"/>
        <v>6.8</v>
      </c>
      <c r="V54" s="4">
        <f t="shared" si="69"/>
        <v>6.8</v>
      </c>
      <c r="W54" s="4">
        <f t="shared" si="69"/>
        <v>6.8</v>
      </c>
      <c r="X54" s="4">
        <f t="shared" si="69"/>
        <v>6.8</v>
      </c>
      <c r="Y54" s="4">
        <f t="shared" si="69"/>
        <v>6.8</v>
      </c>
      <c r="Z54" s="4">
        <f t="shared" si="69"/>
        <v>6.8</v>
      </c>
      <c r="AA54" s="4">
        <f t="shared" si="69"/>
        <v>6.8</v>
      </c>
      <c r="AB54" s="4">
        <f t="shared" si="69"/>
        <v>6.8</v>
      </c>
      <c r="AC54" s="4">
        <f t="shared" si="69"/>
        <v>6.8</v>
      </c>
      <c r="AD54" s="4">
        <f t="shared" si="69"/>
        <v>6.8</v>
      </c>
      <c r="AE54" s="4">
        <f t="shared" si="69"/>
        <v>6.8</v>
      </c>
      <c r="AF54" s="4">
        <f t="shared" si="69"/>
        <v>6.8</v>
      </c>
      <c r="AG54" s="4">
        <f t="shared" si="69"/>
        <v>6.8</v>
      </c>
      <c r="AH54" s="4">
        <f t="shared" si="69"/>
        <v>6.8</v>
      </c>
      <c r="AI54" s="4">
        <f t="shared" si="69"/>
        <v>6.8</v>
      </c>
      <c r="AJ54" s="4">
        <f t="shared" si="69"/>
        <v>6.8</v>
      </c>
      <c r="AK54" s="4">
        <f t="shared" si="69"/>
        <v>6.8</v>
      </c>
    </row>
    <row r="55" spans="1:37" x14ac:dyDescent="0.2">
      <c r="A55" t="s">
        <v>190</v>
      </c>
      <c r="B55" s="12">
        <f>(C51-B51)*1000/(B53-C53)/8760</f>
        <v>3.3984353954038309E-2</v>
      </c>
      <c r="C55" s="12">
        <f>(D51-C51)*1000/(C53-D53)/8760</f>
        <v>0.10523612453151106</v>
      </c>
      <c r="G55" t="s">
        <v>205</v>
      </c>
      <c r="H55" s="4">
        <f>H54+B54/1000</f>
        <v>22.445866884773586</v>
      </c>
      <c r="I55" s="4">
        <f>I54+C54/1000</f>
        <v>13.593454719151513</v>
      </c>
      <c r="J55" s="4">
        <f>J54+D54/1000</f>
        <v>3.1955072896387451</v>
      </c>
      <c r="Q55" t="s">
        <v>203</v>
      </c>
      <c r="R55" t="s">
        <v>200</v>
      </c>
      <c r="S55" s="5">
        <f t="shared" ref="S55:AC55" si="70">S23</f>
        <v>775.16307692307703</v>
      </c>
      <c r="T55" s="5">
        <f t="shared" si="70"/>
        <v>775.16307692307703</v>
      </c>
      <c r="U55" s="5">
        <f t="shared" si="70"/>
        <v>775.16307692307703</v>
      </c>
      <c r="V55" s="5">
        <f t="shared" si="70"/>
        <v>775.16307692307703</v>
      </c>
      <c r="W55" s="5">
        <f t="shared" si="70"/>
        <v>775.16307692307703</v>
      </c>
      <c r="X55" s="5">
        <f t="shared" si="70"/>
        <v>775.16307692307703</v>
      </c>
      <c r="Y55" s="5">
        <f t="shared" si="70"/>
        <v>775.16307692307703</v>
      </c>
      <c r="Z55" s="5">
        <f t="shared" si="70"/>
        <v>775.16307692307703</v>
      </c>
      <c r="AA55" s="5">
        <f t="shared" si="70"/>
        <v>775.16307692307703</v>
      </c>
      <c r="AB55" s="5">
        <f t="shared" si="70"/>
        <v>775.16307692307703</v>
      </c>
      <c r="AC55" s="5">
        <f t="shared" si="70"/>
        <v>775.16307692307703</v>
      </c>
      <c r="AD55" s="5">
        <f t="shared" ref="AD55:AF55" si="71">AD23</f>
        <v>775.16307692307703</v>
      </c>
      <c r="AE55" s="5">
        <f t="shared" si="71"/>
        <v>775.16307692307703</v>
      </c>
      <c r="AF55" s="5">
        <f t="shared" si="71"/>
        <v>775.16307692307703</v>
      </c>
      <c r="AG55" s="5">
        <f t="shared" ref="AG55:AH55" si="72">AG23</f>
        <v>775.16307692307703</v>
      </c>
      <c r="AH55" s="5">
        <f t="shared" si="72"/>
        <v>775.16307692307703</v>
      </c>
      <c r="AI55" s="5">
        <f t="shared" ref="AI55:AJ55" si="73">AI23</f>
        <v>775.16307692307703</v>
      </c>
      <c r="AJ55" s="5">
        <f t="shared" si="73"/>
        <v>775.16307692307703</v>
      </c>
      <c r="AK55" s="5">
        <f>AK23</f>
        <v>775.16307692307703</v>
      </c>
    </row>
    <row r="56" spans="1:37" x14ac:dyDescent="0.2">
      <c r="A56" t="s">
        <v>191</v>
      </c>
      <c r="B56" s="12">
        <f>(D51-B51)*1000/(B53-D53)/8760</f>
        <v>7.3543045371836632E-2</v>
      </c>
      <c r="Q56" t="s">
        <v>204</v>
      </c>
      <c r="R56" t="s">
        <v>200</v>
      </c>
      <c r="S56" s="4">
        <f t="shared" ref="S56:AK56" si="74">$C$32</f>
        <v>11</v>
      </c>
      <c r="T56" s="4">
        <f t="shared" si="74"/>
        <v>11</v>
      </c>
      <c r="U56" s="4">
        <f t="shared" si="74"/>
        <v>11</v>
      </c>
      <c r="V56" s="4">
        <f t="shared" si="74"/>
        <v>11</v>
      </c>
      <c r="W56" s="4">
        <f t="shared" si="74"/>
        <v>11</v>
      </c>
      <c r="X56" s="4">
        <f t="shared" si="74"/>
        <v>11</v>
      </c>
      <c r="Y56" s="4">
        <f t="shared" si="74"/>
        <v>11</v>
      </c>
      <c r="Z56" s="4">
        <f t="shared" si="74"/>
        <v>11</v>
      </c>
      <c r="AA56" s="4">
        <f t="shared" si="74"/>
        <v>11</v>
      </c>
      <c r="AB56" s="4">
        <f t="shared" si="74"/>
        <v>11</v>
      </c>
      <c r="AC56" s="4">
        <f t="shared" si="74"/>
        <v>11</v>
      </c>
      <c r="AD56" s="4">
        <f t="shared" si="74"/>
        <v>11</v>
      </c>
      <c r="AE56" s="4">
        <f t="shared" si="74"/>
        <v>11</v>
      </c>
      <c r="AF56" s="4">
        <f t="shared" si="74"/>
        <v>11</v>
      </c>
      <c r="AG56" s="4">
        <f t="shared" si="74"/>
        <v>11</v>
      </c>
      <c r="AH56" s="4">
        <f t="shared" si="74"/>
        <v>11</v>
      </c>
      <c r="AI56" s="4">
        <f t="shared" si="74"/>
        <v>11</v>
      </c>
      <c r="AJ56" s="4">
        <f t="shared" si="74"/>
        <v>11</v>
      </c>
      <c r="AK56" s="4">
        <f t="shared" si="74"/>
        <v>11</v>
      </c>
    </row>
    <row r="57" spans="1:37" x14ac:dyDescent="0.2">
      <c r="B57" s="12"/>
      <c r="Q57" t="s">
        <v>203</v>
      </c>
      <c r="R57" t="s">
        <v>57</v>
      </c>
      <c r="S57" s="5">
        <f t="shared" ref="S57:AC57" si="75">S28</f>
        <v>976.42784318082204</v>
      </c>
      <c r="T57" s="5">
        <f t="shared" si="75"/>
        <v>1140</v>
      </c>
      <c r="U57" s="5">
        <f t="shared" si="75"/>
        <v>976.42784318082204</v>
      </c>
      <c r="V57" s="5">
        <f t="shared" si="75"/>
        <v>976.42784318082204</v>
      </c>
      <c r="W57" s="5">
        <f t="shared" si="75"/>
        <v>976.42784318082204</v>
      </c>
      <c r="X57" s="5">
        <f t="shared" si="75"/>
        <v>976.42784318082204</v>
      </c>
      <c r="Y57" s="5">
        <f t="shared" si="75"/>
        <v>976.42784318082204</v>
      </c>
      <c r="Z57" s="5">
        <f t="shared" si="75"/>
        <v>976.42784318082204</v>
      </c>
      <c r="AA57" s="5">
        <f t="shared" si="75"/>
        <v>976.42784318082204</v>
      </c>
      <c r="AB57" s="5">
        <f t="shared" si="75"/>
        <v>976.42784318082204</v>
      </c>
      <c r="AC57" s="5">
        <f t="shared" si="75"/>
        <v>976.42784318082204</v>
      </c>
      <c r="AD57" s="5">
        <f t="shared" ref="AD57:AF57" si="76">AD28</f>
        <v>976.42784318082204</v>
      </c>
      <c r="AE57" s="5">
        <f t="shared" si="76"/>
        <v>976.42784318082204</v>
      </c>
      <c r="AF57" s="5">
        <f t="shared" si="76"/>
        <v>976.42784318082204</v>
      </c>
      <c r="AG57" s="5">
        <f t="shared" ref="AG57:AH57" si="77">AG28</f>
        <v>1140</v>
      </c>
      <c r="AH57" s="5">
        <f t="shared" si="77"/>
        <v>1140</v>
      </c>
      <c r="AI57" s="5">
        <f t="shared" ref="AI57:AJ57" si="78">AI28</f>
        <v>1140</v>
      </c>
      <c r="AJ57" s="5">
        <f t="shared" si="78"/>
        <v>1140</v>
      </c>
      <c r="AK57" s="5">
        <f>AK28</f>
        <v>1140</v>
      </c>
    </row>
    <row r="58" spans="1:37" x14ac:dyDescent="0.2">
      <c r="B58" s="12"/>
      <c r="D58">
        <f>(D34*B7*$E$3*10^-3 )</f>
        <v>24.619947040384613</v>
      </c>
      <c r="Q58" t="s">
        <v>204</v>
      </c>
      <c r="R58" t="s">
        <v>57</v>
      </c>
      <c r="S58" s="4">
        <f t="shared" ref="S58:AK58" si="79">$D$32</f>
        <v>42.1</v>
      </c>
      <c r="T58" s="4">
        <f t="shared" si="79"/>
        <v>42.1</v>
      </c>
      <c r="U58" s="4">
        <f t="shared" si="79"/>
        <v>42.1</v>
      </c>
      <c r="V58" s="4">
        <f t="shared" si="79"/>
        <v>42.1</v>
      </c>
      <c r="W58" s="4">
        <f t="shared" si="79"/>
        <v>42.1</v>
      </c>
      <c r="X58" s="4">
        <f t="shared" si="79"/>
        <v>42.1</v>
      </c>
      <c r="Y58" s="4">
        <f t="shared" si="79"/>
        <v>42.1</v>
      </c>
      <c r="Z58" s="4">
        <f t="shared" si="79"/>
        <v>42.1</v>
      </c>
      <c r="AA58" s="4">
        <f t="shared" si="79"/>
        <v>42.1</v>
      </c>
      <c r="AB58" s="4">
        <f t="shared" si="79"/>
        <v>42.1</v>
      </c>
      <c r="AC58" s="4">
        <f t="shared" si="79"/>
        <v>42.1</v>
      </c>
      <c r="AD58" s="4">
        <f t="shared" si="79"/>
        <v>42.1</v>
      </c>
      <c r="AE58" s="4">
        <f t="shared" si="79"/>
        <v>42.1</v>
      </c>
      <c r="AF58" s="4">
        <f t="shared" si="79"/>
        <v>42.1</v>
      </c>
      <c r="AG58" s="4">
        <f t="shared" si="79"/>
        <v>42.1</v>
      </c>
      <c r="AH58" s="4">
        <f t="shared" si="79"/>
        <v>42.1</v>
      </c>
      <c r="AI58" s="4">
        <f t="shared" si="79"/>
        <v>42.1</v>
      </c>
      <c r="AJ58" s="4">
        <f t="shared" si="79"/>
        <v>42.1</v>
      </c>
      <c r="AK58" s="4">
        <f t="shared" si="79"/>
        <v>42.1</v>
      </c>
    </row>
    <row r="59" spans="1:37" x14ac:dyDescent="0.2">
      <c r="A59" s="7" t="s">
        <v>149</v>
      </c>
      <c r="Q59" t="s">
        <v>203</v>
      </c>
      <c r="R59" t="s">
        <v>201</v>
      </c>
      <c r="S59">
        <f t="shared" ref="S59:AC59" si="80">INDEX($AD$4:$AF$7, MATCH(S11,$AD$4:$AD$7,0), 2)</f>
        <v>1250</v>
      </c>
      <c r="T59">
        <f t="shared" si="80"/>
        <v>1250</v>
      </c>
      <c r="U59">
        <f t="shared" si="80"/>
        <v>1125</v>
      </c>
      <c r="V59">
        <f t="shared" si="80"/>
        <v>1000</v>
      </c>
      <c r="W59">
        <f t="shared" si="80"/>
        <v>875</v>
      </c>
      <c r="X59">
        <f t="shared" si="80"/>
        <v>1250</v>
      </c>
      <c r="Y59">
        <f t="shared" si="80"/>
        <v>1250</v>
      </c>
      <c r="Z59">
        <f t="shared" si="80"/>
        <v>1250</v>
      </c>
      <c r="AA59">
        <f t="shared" si="80"/>
        <v>875</v>
      </c>
      <c r="AB59">
        <f t="shared" si="80"/>
        <v>1250</v>
      </c>
      <c r="AC59">
        <f t="shared" si="80"/>
        <v>1250</v>
      </c>
      <c r="AD59">
        <f t="shared" ref="AD59:AF59" si="81">INDEX($AD$4:$AF$7, MATCH(AD11,$AD$4:$AD$7,0), 2)</f>
        <v>875</v>
      </c>
      <c r="AE59">
        <f t="shared" si="81"/>
        <v>1250</v>
      </c>
      <c r="AF59">
        <f t="shared" si="81"/>
        <v>875</v>
      </c>
      <c r="AG59">
        <f t="shared" ref="AG59:AH59" si="82">INDEX($AD$4:$AF$7, MATCH(AG11,$AD$4:$AD$7,0), 2)</f>
        <v>1250</v>
      </c>
      <c r="AH59">
        <f t="shared" si="82"/>
        <v>875</v>
      </c>
      <c r="AI59">
        <f t="shared" ref="AI59:AJ59" si="83">INDEX($AD$4:$AF$7, MATCH(AI11,$AD$4:$AD$7,0), 2)</f>
        <v>1250</v>
      </c>
      <c r="AJ59">
        <f t="shared" si="83"/>
        <v>875</v>
      </c>
      <c r="AK59">
        <f>INDEX($AD$4:$AF$7, MATCH(AK11,$AD$4:$AD$7,0), 2)</f>
        <v>875</v>
      </c>
    </row>
    <row r="60" spans="1:37" x14ac:dyDescent="0.2">
      <c r="A60" t="s">
        <v>147</v>
      </c>
      <c r="Q60" t="s">
        <v>204</v>
      </c>
      <c r="R60" t="s">
        <v>201</v>
      </c>
      <c r="S60">
        <f t="shared" ref="S60:AC60" si="84">INDEX($AD$4:$AF$7, MATCH(S11,$AD$4:$AD$7,0), 3)</f>
        <v>15</v>
      </c>
      <c r="T60">
        <f t="shared" si="84"/>
        <v>15</v>
      </c>
      <c r="U60">
        <f t="shared" si="84"/>
        <v>15</v>
      </c>
      <c r="V60">
        <f t="shared" si="84"/>
        <v>15</v>
      </c>
      <c r="W60">
        <f t="shared" si="84"/>
        <v>15</v>
      </c>
      <c r="X60">
        <f t="shared" si="84"/>
        <v>15</v>
      </c>
      <c r="Y60">
        <f t="shared" si="84"/>
        <v>15</v>
      </c>
      <c r="Z60">
        <f t="shared" si="84"/>
        <v>15</v>
      </c>
      <c r="AA60">
        <f t="shared" si="84"/>
        <v>15</v>
      </c>
      <c r="AB60">
        <f t="shared" si="84"/>
        <v>15</v>
      </c>
      <c r="AC60">
        <f t="shared" si="84"/>
        <v>15</v>
      </c>
      <c r="AD60">
        <f t="shared" ref="AD60:AF60" si="85">INDEX($AD$4:$AF$7, MATCH(AD11,$AD$4:$AD$7,0), 3)</f>
        <v>15</v>
      </c>
      <c r="AE60">
        <f t="shared" si="85"/>
        <v>15</v>
      </c>
      <c r="AF60">
        <f t="shared" si="85"/>
        <v>15</v>
      </c>
      <c r="AG60">
        <f t="shared" ref="AG60:AH60" si="86">INDEX($AD$4:$AF$7, MATCH(AG11,$AD$4:$AD$7,0), 3)</f>
        <v>15</v>
      </c>
      <c r="AH60">
        <f t="shared" si="86"/>
        <v>15</v>
      </c>
      <c r="AI60">
        <f t="shared" ref="AI60:AJ60" si="87">INDEX($AD$4:$AF$7, MATCH(AI11,$AD$4:$AD$7,0), 3)</f>
        <v>15</v>
      </c>
      <c r="AJ60">
        <f t="shared" si="87"/>
        <v>15</v>
      </c>
      <c r="AK60">
        <f>INDEX($AD$4:$AF$7, MATCH(AK11,$AD$4:$AD$7,0), 3)</f>
        <v>15</v>
      </c>
    </row>
    <row r="61" spans="1:37" x14ac:dyDescent="0.2">
      <c r="A61">
        <v>0</v>
      </c>
      <c r="B61" s="4">
        <f>B51</f>
        <v>65.002501490990369</v>
      </c>
      <c r="C61" s="4">
        <f>C51</f>
        <v>77.517144561131843</v>
      </c>
      <c r="D61" s="4">
        <f>D51</f>
        <v>125.88777825200532</v>
      </c>
      <c r="Q61" t="s">
        <v>203</v>
      </c>
      <c r="R61" t="s">
        <v>202</v>
      </c>
      <c r="S61">
        <f t="shared" ref="S61:AC61" si="88">INDEX($AG$4:$AI$7, MATCH(S12,$AG$4:$AG$7,0), 2)</f>
        <v>850</v>
      </c>
      <c r="T61">
        <f t="shared" si="88"/>
        <v>850</v>
      </c>
      <c r="U61">
        <f t="shared" si="88"/>
        <v>850</v>
      </c>
      <c r="V61">
        <f t="shared" si="88"/>
        <v>850</v>
      </c>
      <c r="W61">
        <f t="shared" si="88"/>
        <v>850</v>
      </c>
      <c r="X61">
        <f t="shared" si="88"/>
        <v>765</v>
      </c>
      <c r="Y61">
        <f t="shared" si="88"/>
        <v>680</v>
      </c>
      <c r="Z61">
        <f t="shared" si="88"/>
        <v>595</v>
      </c>
      <c r="AA61">
        <f t="shared" si="88"/>
        <v>595</v>
      </c>
      <c r="AB61">
        <f t="shared" si="88"/>
        <v>850</v>
      </c>
      <c r="AC61">
        <f t="shared" si="88"/>
        <v>850</v>
      </c>
      <c r="AD61">
        <f t="shared" ref="AD61:AF61" si="89">INDEX($AG$4:$AI$7, MATCH(AD12,$AG$4:$AG$7,0), 2)</f>
        <v>850</v>
      </c>
      <c r="AE61">
        <f t="shared" si="89"/>
        <v>595</v>
      </c>
      <c r="AF61">
        <f t="shared" si="89"/>
        <v>595</v>
      </c>
      <c r="AG61">
        <f t="shared" ref="AG61:AH61" si="90">INDEX($AG$4:$AI$7, MATCH(AG12,$AG$4:$AG$7,0), 2)</f>
        <v>850</v>
      </c>
      <c r="AH61">
        <f t="shared" si="90"/>
        <v>850</v>
      </c>
      <c r="AI61">
        <f t="shared" ref="AI61:AJ61" si="91">INDEX($AG$4:$AI$7, MATCH(AI12,$AG$4:$AG$7,0), 2)</f>
        <v>595</v>
      </c>
      <c r="AJ61">
        <f t="shared" si="91"/>
        <v>595</v>
      </c>
      <c r="AK61">
        <f>INDEX($AG$4:$AI$7, MATCH(AK12,$AG$4:$AG$7,0), 2)</f>
        <v>595</v>
      </c>
    </row>
    <row r="62" spans="1:37" x14ac:dyDescent="0.2">
      <c r="A62">
        <v>8760</v>
      </c>
      <c r="B62" s="5">
        <f>B61+B53*$A$62/1000</f>
        <v>1177.2962457334145</v>
      </c>
      <c r="C62" s="5">
        <f>C61+C53*$A$62/1000</f>
        <v>821.56369225343963</v>
      </c>
      <c r="D62" s="5">
        <f>D61+D53*$A$62/1000</f>
        <v>410.29526277841552</v>
      </c>
      <c r="Q62" t="s">
        <v>204</v>
      </c>
      <c r="R62" t="s">
        <v>202</v>
      </c>
      <c r="S62">
        <f t="shared" ref="S62:AC62" si="92">INDEX($AG$4:$AI$7, MATCH(S12,$AG$4:$AG$7,0), 3)</f>
        <v>10</v>
      </c>
      <c r="T62">
        <f t="shared" si="92"/>
        <v>10</v>
      </c>
      <c r="U62">
        <f t="shared" si="92"/>
        <v>10</v>
      </c>
      <c r="V62">
        <f t="shared" si="92"/>
        <v>10</v>
      </c>
      <c r="W62">
        <f t="shared" si="92"/>
        <v>10</v>
      </c>
      <c r="X62">
        <f t="shared" si="92"/>
        <v>10</v>
      </c>
      <c r="Y62">
        <f t="shared" si="92"/>
        <v>10</v>
      </c>
      <c r="Z62">
        <f t="shared" si="92"/>
        <v>10</v>
      </c>
      <c r="AA62">
        <f t="shared" si="92"/>
        <v>10</v>
      </c>
      <c r="AB62">
        <f t="shared" si="92"/>
        <v>10</v>
      </c>
      <c r="AC62">
        <f t="shared" si="92"/>
        <v>10</v>
      </c>
      <c r="AD62">
        <f t="shared" ref="AD62:AF62" si="93">INDEX($AG$4:$AI$7, MATCH(AD12,$AG$4:$AG$7,0), 3)</f>
        <v>10</v>
      </c>
      <c r="AE62">
        <f t="shared" si="93"/>
        <v>10</v>
      </c>
      <c r="AF62">
        <f t="shared" si="93"/>
        <v>10</v>
      </c>
      <c r="AG62">
        <f t="shared" ref="AG62:AH62" si="94">INDEX($AG$4:$AI$7, MATCH(AG12,$AG$4:$AG$7,0), 3)</f>
        <v>10</v>
      </c>
      <c r="AH62">
        <f t="shared" si="94"/>
        <v>10</v>
      </c>
      <c r="AI62">
        <f t="shared" ref="AI62:AJ62" si="95">INDEX($AG$4:$AI$7, MATCH(AI12,$AG$4:$AG$7,0), 3)</f>
        <v>10</v>
      </c>
      <c r="AJ62">
        <f t="shared" si="95"/>
        <v>10</v>
      </c>
      <c r="AK62">
        <f>INDEX($AG$4:$AI$7, MATCH(AK12,$AG$4:$AG$7,0), 3)</f>
        <v>10</v>
      </c>
    </row>
    <row r="63" spans="1:37" x14ac:dyDescent="0.2">
      <c r="A63" t="s">
        <v>148</v>
      </c>
      <c r="B63" s="5">
        <f>B55*$A$62</f>
        <v>297.7029406373756</v>
      </c>
      <c r="C63" s="5">
        <f>C55*$A$62</f>
        <v>921.86845089603685</v>
      </c>
      <c r="D63" s="5">
        <f>D55*$A$62</f>
        <v>0</v>
      </c>
      <c r="Q63" t="s">
        <v>203</v>
      </c>
      <c r="R63" t="s">
        <v>222</v>
      </c>
      <c r="S63">
        <f t="shared" ref="S63:AC63" si="96">INDEX($AJ$4:$AL$7, MATCH(S13,$AJ$4:$AJ$7,0), 2)</f>
        <v>1200</v>
      </c>
      <c r="T63">
        <f t="shared" si="96"/>
        <v>1200</v>
      </c>
      <c r="U63">
        <f t="shared" si="96"/>
        <v>1200</v>
      </c>
      <c r="V63">
        <f t="shared" si="96"/>
        <v>1200</v>
      </c>
      <c r="W63">
        <f t="shared" si="96"/>
        <v>1200</v>
      </c>
      <c r="X63">
        <f t="shared" si="96"/>
        <v>1200</v>
      </c>
      <c r="Y63">
        <f t="shared" si="96"/>
        <v>1200</v>
      </c>
      <c r="Z63">
        <f t="shared" si="96"/>
        <v>1200</v>
      </c>
      <c r="AA63">
        <f t="shared" si="96"/>
        <v>1200</v>
      </c>
      <c r="AB63">
        <f t="shared" si="96"/>
        <v>900</v>
      </c>
      <c r="AC63">
        <f t="shared" si="96"/>
        <v>600</v>
      </c>
      <c r="AD63">
        <f t="shared" ref="AD63:AF63" si="97">INDEX($AJ$4:$AL$7, MATCH(AD13,$AJ$4:$AJ$7,0), 2)</f>
        <v>600</v>
      </c>
      <c r="AE63">
        <f t="shared" si="97"/>
        <v>600</v>
      </c>
      <c r="AF63">
        <f t="shared" si="97"/>
        <v>600</v>
      </c>
      <c r="AG63">
        <f t="shared" ref="AG63:AH63" si="98">INDEX($AJ$4:$AL$7, MATCH(AG13,$AJ$4:$AJ$7,0), 2)</f>
        <v>600</v>
      </c>
      <c r="AH63">
        <f t="shared" si="98"/>
        <v>600</v>
      </c>
      <c r="AI63">
        <f t="shared" ref="AI63:AJ63" si="99">INDEX($AJ$4:$AL$7, MATCH(AI13,$AJ$4:$AJ$7,0), 2)</f>
        <v>600</v>
      </c>
      <c r="AJ63">
        <f t="shared" si="99"/>
        <v>600</v>
      </c>
      <c r="AK63">
        <f>INDEX($AJ$4:$AL$7, MATCH(AK13,$AJ$4:$AJ$7,0), 2)</f>
        <v>1200</v>
      </c>
    </row>
    <row r="64" spans="1:37" x14ac:dyDescent="0.2">
      <c r="Q64" t="s">
        <v>204</v>
      </c>
      <c r="R64" t="s">
        <v>222</v>
      </c>
      <c r="S64">
        <f t="shared" ref="S64:AC64" si="100">INDEX($AJ$4:$AL$7, MATCH(S13,$AJ$4:$AJ$7,0), 3)</f>
        <v>76</v>
      </c>
      <c r="T64">
        <f t="shared" si="100"/>
        <v>76</v>
      </c>
      <c r="U64">
        <f t="shared" si="100"/>
        <v>76</v>
      </c>
      <c r="V64">
        <f t="shared" si="100"/>
        <v>76</v>
      </c>
      <c r="W64">
        <f t="shared" si="100"/>
        <v>76</v>
      </c>
      <c r="X64">
        <f t="shared" si="100"/>
        <v>76</v>
      </c>
      <c r="Y64">
        <f t="shared" si="100"/>
        <v>76</v>
      </c>
      <c r="Z64">
        <f t="shared" si="100"/>
        <v>76</v>
      </c>
      <c r="AA64">
        <f t="shared" si="100"/>
        <v>76</v>
      </c>
      <c r="AB64">
        <f t="shared" si="100"/>
        <v>57</v>
      </c>
      <c r="AC64">
        <f t="shared" si="100"/>
        <v>38</v>
      </c>
      <c r="AD64">
        <f t="shared" ref="AD64:AF64" si="101">INDEX($AJ$4:$AL$7, MATCH(AD13,$AJ$4:$AJ$7,0), 3)</f>
        <v>38</v>
      </c>
      <c r="AE64">
        <f t="shared" si="101"/>
        <v>38</v>
      </c>
      <c r="AF64">
        <f t="shared" si="101"/>
        <v>38</v>
      </c>
      <c r="AG64">
        <f t="shared" ref="AG64:AH64" si="102">INDEX($AJ$4:$AL$7, MATCH(AG13,$AJ$4:$AJ$7,0), 3)</f>
        <v>38</v>
      </c>
      <c r="AH64">
        <f t="shared" si="102"/>
        <v>38</v>
      </c>
      <c r="AI64">
        <f t="shared" ref="AI64:AJ64" si="103">INDEX($AJ$4:$AL$7, MATCH(AI13,$AJ$4:$AJ$7,0), 3)</f>
        <v>38</v>
      </c>
      <c r="AJ64">
        <f t="shared" si="103"/>
        <v>38</v>
      </c>
      <c r="AK64">
        <f>INDEX($AJ$4:$AL$7, MATCH(AK13,$AJ$4:$AJ$7,0), 3)</f>
        <v>76</v>
      </c>
    </row>
    <row r="66" spans="1:5" x14ac:dyDescent="0.2">
      <c r="A66" s="7" t="s">
        <v>426</v>
      </c>
      <c r="D66" t="s">
        <v>503</v>
      </c>
    </row>
    <row r="67" spans="1:5" x14ac:dyDescent="0.2">
      <c r="B67" t="s">
        <v>159</v>
      </c>
      <c r="C67" t="s">
        <v>160</v>
      </c>
      <c r="D67" t="s">
        <v>501</v>
      </c>
      <c r="E67" t="s">
        <v>502</v>
      </c>
    </row>
    <row r="68" spans="1:5" x14ac:dyDescent="0.2">
      <c r="A68" t="s">
        <v>427</v>
      </c>
      <c r="B68">
        <v>1250</v>
      </c>
      <c r="C68">
        <v>850</v>
      </c>
      <c r="D68">
        <v>1100</v>
      </c>
      <c r="E68">
        <v>800</v>
      </c>
    </row>
    <row r="69" spans="1:5" x14ac:dyDescent="0.2">
      <c r="A69" t="s">
        <v>428</v>
      </c>
      <c r="B69">
        <v>15</v>
      </c>
      <c r="C69">
        <v>10</v>
      </c>
      <c r="D69">
        <v>15</v>
      </c>
      <c r="E69">
        <v>10</v>
      </c>
    </row>
    <row r="70" spans="1:5" x14ac:dyDescent="0.2">
      <c r="A70" t="s">
        <v>430</v>
      </c>
      <c r="B70" s="1">
        <v>0.28000000000000003</v>
      </c>
      <c r="C70" s="1">
        <v>0.2</v>
      </c>
      <c r="D70" s="1">
        <v>0.28000000000000003</v>
      </c>
      <c r="E70" s="1">
        <v>0.2</v>
      </c>
    </row>
    <row r="71" spans="1:5" x14ac:dyDescent="0.2">
      <c r="A71" t="s">
        <v>153</v>
      </c>
      <c r="B71" s="4">
        <f>(B68*B50+B69)/(8.76*B70)</f>
        <v>49.846357846474234</v>
      </c>
      <c r="C71" s="4">
        <f>(C68*C50+C69)/(8.76*C70)</f>
        <v>47.339577418701921</v>
      </c>
      <c r="D71" s="4">
        <f>(D68*D50+D69)/(8.76*D70)</f>
        <v>44.598650090807311</v>
      </c>
      <c r="E71" s="4">
        <f>(E68*E50+E69)/(8.76*E70)</f>
        <v>5.7077625570776256</v>
      </c>
    </row>
    <row r="72" spans="1:5" x14ac:dyDescent="0.2">
      <c r="A72" t="s">
        <v>155</v>
      </c>
      <c r="B72" s="4">
        <f>B71*65/1000</f>
        <v>3.2400132600208251</v>
      </c>
      <c r="C72" s="4">
        <f>C71*65/1000</f>
        <v>3.0770725322156252</v>
      </c>
      <c r="D72" s="4">
        <f>D71*65/1000</f>
        <v>2.8989122559024754</v>
      </c>
      <c r="E72" s="4">
        <f>E71*65/1000</f>
        <v>0.37100456621004563</v>
      </c>
    </row>
    <row r="73" spans="1:5" x14ac:dyDescent="0.2">
      <c r="A73" t="s">
        <v>429</v>
      </c>
      <c r="B73">
        <v>2.4300000000000002</v>
      </c>
      <c r="C73">
        <v>2.64</v>
      </c>
      <c r="D73">
        <v>2.4300000000000002</v>
      </c>
      <c r="E73">
        <v>2.64</v>
      </c>
    </row>
  </sheetData>
  <pageMargins left="0.7" right="0.7" top="0.75" bottom="0.75" header="0.3" footer="0.3"/>
  <pageSetup orientation="portrait" verticalDpi="30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workbookViewId="0">
      <selection activeCell="P17" sqref="P17"/>
    </sheetView>
  </sheetViews>
  <sheetFormatPr baseColWidth="10" defaultColWidth="8.83203125" defaultRowHeight="15" x14ac:dyDescent="0.2"/>
  <cols>
    <col min="1" max="1" width="11.83203125" bestFit="1" customWidth="1"/>
    <col min="3" max="3" width="6.5" bestFit="1" customWidth="1"/>
    <col min="4" max="6" width="11.33203125" bestFit="1" customWidth="1"/>
    <col min="7" max="9" width="10.5" bestFit="1" customWidth="1"/>
    <col min="10" max="10" width="15.83203125" bestFit="1" customWidth="1"/>
    <col min="11" max="12" width="10.5" bestFit="1" customWidth="1"/>
    <col min="13" max="13" width="16.5" bestFit="1" customWidth="1"/>
    <col min="14" max="14" width="14.33203125" bestFit="1" customWidth="1"/>
    <col min="15" max="15" width="18" bestFit="1" customWidth="1"/>
    <col min="16" max="16" width="9.83203125" bestFit="1" customWidth="1"/>
    <col min="17" max="17" width="14.6640625" bestFit="1" customWidth="1"/>
    <col min="18" max="18" width="13.83203125" bestFit="1" customWidth="1"/>
    <col min="19" max="19" width="18.5" bestFit="1" customWidth="1"/>
    <col min="20" max="20" width="14.5" bestFit="1" customWidth="1"/>
  </cols>
  <sheetData>
    <row r="1" spans="1:21" x14ac:dyDescent="0.2">
      <c r="A1" t="str">
        <f>'Screening curves'!Q34</f>
        <v>parameter</v>
      </c>
      <c r="B1" t="str">
        <f>'Screening curves'!S9</f>
        <v>coallc</v>
      </c>
      <c r="C1" t="str">
        <f>'Screening curves'!T9</f>
        <v>coalhc</v>
      </c>
      <c r="D1" t="str">
        <f>'Screening curves'!U9</f>
        <v>coallcW10lc</v>
      </c>
      <c r="E1" t="str">
        <f>'Screening curves'!V9</f>
        <v>coallcW20lc</v>
      </c>
      <c r="F1" t="str">
        <f>'Screening curves'!W9</f>
        <v>coallcW30lc</v>
      </c>
      <c r="G1" t="str">
        <f>'Screening curves'!X9</f>
        <v>coallcS10lc</v>
      </c>
      <c r="H1" t="str">
        <f>'Screening curves'!Y9</f>
        <v>coallcS20lc</v>
      </c>
      <c r="I1" t="str">
        <f>'Screening curves'!Z9</f>
        <v>coallcS30lc</v>
      </c>
      <c r="J1" t="str">
        <f>'Screening curves'!AA9</f>
        <v>coallcW30lcS30lc</v>
      </c>
      <c r="K1" t="str">
        <f>'Screening curves'!AB9</f>
        <v>coallcB25lc</v>
      </c>
      <c r="L1" t="str">
        <f>'Screening curves'!AC9</f>
        <v>coallcB50lc</v>
      </c>
      <c r="M1" t="str">
        <f>'Screening curves'!AD9</f>
        <v>coallcW30lcB50lc</v>
      </c>
      <c r="N1" t="str">
        <f>'Screening curves'!AE9</f>
        <v>coallcS30lcB50lc</v>
      </c>
      <c r="O1" t="str">
        <f>'Screening curves'!AF9</f>
        <v>coallcW30lcS30lcB50lc</v>
      </c>
      <c r="P1" t="str">
        <f>'Screening curves'!AG9</f>
        <v>coalhcB50lc</v>
      </c>
      <c r="Q1" t="str">
        <f>'Screening curves'!AH9</f>
        <v>coalhcW30lcB50lc</v>
      </c>
      <c r="R1" t="str">
        <f>'Screening curves'!AI9</f>
        <v>coalhcS30lcB50lc</v>
      </c>
      <c r="S1" t="str">
        <f>'Screening curves'!AJ9</f>
        <v>coalhcW30lcS30lcB50lc</v>
      </c>
      <c r="T1" t="str">
        <f>'Screening curves'!AK9</f>
        <v>coalhcW30lcS30lc</v>
      </c>
    </row>
    <row r="2" spans="1:21" x14ac:dyDescent="0.2">
      <c r="A2" t="str">
        <f>'Screening curves'!R34</f>
        <v>gas_ct</v>
      </c>
      <c r="B2" s="2">
        <f>'Screening curves'!S34</f>
        <v>3.3984353954038309E-2</v>
      </c>
      <c r="C2" s="2">
        <f>'Screening curves'!T34</f>
        <v>3.3984353954038309E-2</v>
      </c>
      <c r="D2" s="2">
        <f>'Screening curves'!U34</f>
        <v>3.3984353954038309E-2</v>
      </c>
      <c r="E2" s="2">
        <f>'Screening curves'!V34</f>
        <v>3.3984353954038309E-2</v>
      </c>
      <c r="F2" s="2">
        <f>'Screening curves'!W34</f>
        <v>3.3984353954038309E-2</v>
      </c>
      <c r="G2" s="2">
        <f>'Screening curves'!X34</f>
        <v>3.3984353954038309E-2</v>
      </c>
      <c r="H2" s="2">
        <f>'Screening curves'!Y34</f>
        <v>3.3984353954038309E-2</v>
      </c>
      <c r="I2" s="2">
        <f>'Screening curves'!Z34</f>
        <v>3.3984353954038309E-2</v>
      </c>
      <c r="J2" s="2">
        <f>'Screening curves'!AA34</f>
        <v>3.3984353954038309E-2</v>
      </c>
      <c r="K2" s="2">
        <f>'Screening curves'!AB34</f>
        <v>3.3984353954038309E-2</v>
      </c>
      <c r="L2" s="2">
        <f>'Screening curves'!AC34</f>
        <v>3.3984353954038309E-2</v>
      </c>
      <c r="M2" s="2">
        <f>'Screening curves'!AD34</f>
        <v>3.3984353954038309E-2</v>
      </c>
      <c r="N2" s="2">
        <f>'Screening curves'!AE34</f>
        <v>3.3984353954038309E-2</v>
      </c>
      <c r="O2" s="2">
        <f>'Screening curves'!AF34</f>
        <v>3.3984353954038309E-2</v>
      </c>
      <c r="P2" s="2">
        <f>'Screening curves'!AG34</f>
        <v>3.3984353954038309E-2</v>
      </c>
      <c r="Q2" s="2">
        <f>'Screening curves'!AH34</f>
        <v>3.3984353954038309E-2</v>
      </c>
      <c r="R2" s="2">
        <f>'Screening curves'!AI34</f>
        <v>3.3984353954038309E-2</v>
      </c>
      <c r="S2" s="2">
        <f>'Screening curves'!AJ34</f>
        <v>3.3984353954038309E-2</v>
      </c>
      <c r="T2" s="2">
        <f>'Screening curves'!AK34</f>
        <v>3.3984353954038309E-2</v>
      </c>
      <c r="U2" s="2"/>
    </row>
    <row r="3" spans="1:21" x14ac:dyDescent="0.2">
      <c r="A3" t="str">
        <f>'Screening curves'!R35</f>
        <v>gas_ccgt</v>
      </c>
      <c r="B3" s="2">
        <f>'Screening curves'!S35</f>
        <v>0.10523612453151106</v>
      </c>
      <c r="C3" s="2">
        <f>'Screening curves'!T35</f>
        <v>0.18251009215426989</v>
      </c>
      <c r="D3" s="2">
        <f>'Screening curves'!U35</f>
        <v>0.10523612453151106</v>
      </c>
      <c r="E3" s="2">
        <f>'Screening curves'!V35</f>
        <v>0.10523612453151106</v>
      </c>
      <c r="F3" s="2">
        <f>'Screening curves'!W35</f>
        <v>0.10523612453151106</v>
      </c>
      <c r="G3" s="2">
        <f>'Screening curves'!X35</f>
        <v>0.10523612453151106</v>
      </c>
      <c r="H3" s="2">
        <f>'Screening curves'!Y35</f>
        <v>0.10523612453151106</v>
      </c>
      <c r="I3" s="2">
        <f>'Screening curves'!Z35</f>
        <v>0.10523612453151106</v>
      </c>
      <c r="J3" s="2">
        <f>'Screening curves'!AA35</f>
        <v>0.10523612453151106</v>
      </c>
      <c r="K3" s="2">
        <f>'Screening curves'!AB35</f>
        <v>0.10523612453151106</v>
      </c>
      <c r="L3" s="2">
        <f>'Screening curves'!AC35</f>
        <v>0.10523612453151106</v>
      </c>
      <c r="M3" s="2">
        <f>'Screening curves'!AD35</f>
        <v>0.10523612453151106</v>
      </c>
      <c r="N3" s="2">
        <f>'Screening curves'!AE35</f>
        <v>0.10523612453151106</v>
      </c>
      <c r="O3" s="2">
        <f>'Screening curves'!AF35</f>
        <v>0.10523612453151106</v>
      </c>
      <c r="P3" s="2">
        <f>'Screening curves'!AG35</f>
        <v>0.18251009215426989</v>
      </c>
      <c r="Q3" s="2">
        <f>'Screening curves'!AH35</f>
        <v>0.18251009215426989</v>
      </c>
      <c r="R3" s="2">
        <f>'Screening curves'!AI35</f>
        <v>0.18251009215426989</v>
      </c>
      <c r="S3" s="2">
        <f>'Screening curves'!AJ35</f>
        <v>0.18251009215426989</v>
      </c>
      <c r="T3" s="2">
        <f>'Screening curves'!AK35</f>
        <v>0.18251009215426989</v>
      </c>
      <c r="U3" s="2"/>
    </row>
    <row r="4" spans="1:21" x14ac:dyDescent="0.2">
      <c r="A4" t="str">
        <f>'Screening curves'!R36</f>
        <v>coal</v>
      </c>
      <c r="B4" s="5">
        <f>'Screening curves'!S36</f>
        <v>1</v>
      </c>
      <c r="C4" s="5">
        <f>'Screening curves'!T36</f>
        <v>1</v>
      </c>
      <c r="D4" s="5">
        <f>'Screening curves'!U36</f>
        <v>1</v>
      </c>
      <c r="E4" s="5">
        <f>'Screening curves'!V36</f>
        <v>1</v>
      </c>
      <c r="F4" s="5">
        <f>'Screening curves'!W36</f>
        <v>1</v>
      </c>
      <c r="G4" s="5">
        <f>'Screening curves'!X36</f>
        <v>1</v>
      </c>
      <c r="H4" s="5">
        <f>'Screening curves'!Y36</f>
        <v>1</v>
      </c>
      <c r="I4" s="5">
        <f>'Screening curves'!Z36</f>
        <v>1</v>
      </c>
      <c r="J4" s="5">
        <f>'Screening curves'!AA36</f>
        <v>1</v>
      </c>
      <c r="K4" s="5">
        <f>'Screening curves'!AB36</f>
        <v>1</v>
      </c>
      <c r="L4" s="5">
        <f>'Screening curves'!AC36</f>
        <v>1</v>
      </c>
      <c r="M4" s="5">
        <f>'Screening curves'!AD36</f>
        <v>1</v>
      </c>
      <c r="N4" s="5">
        <f>'Screening curves'!AE36</f>
        <v>1</v>
      </c>
      <c r="O4" s="5">
        <f>'Screening curves'!AF36</f>
        <v>1</v>
      </c>
      <c r="P4" s="5">
        <f>'Screening curves'!AG36</f>
        <v>2</v>
      </c>
      <c r="Q4" s="5">
        <f>'Screening curves'!AH36</f>
        <v>2</v>
      </c>
      <c r="R4" s="5">
        <f>'Screening curves'!AI36</f>
        <v>2</v>
      </c>
      <c r="S4" s="5">
        <f>'Screening curves'!AJ36</f>
        <v>2</v>
      </c>
      <c r="T4" s="5">
        <f>'Screening curves'!AK36</f>
        <v>1</v>
      </c>
      <c r="U4" s="5"/>
    </row>
    <row r="5" spans="1:21" x14ac:dyDescent="0.2">
      <c r="A5" t="str">
        <f>'Screening curves'!R37</f>
        <v>gas_price</v>
      </c>
      <c r="B5" s="5">
        <f>'Screening curves'!S37</f>
        <v>10</v>
      </c>
      <c r="C5" s="5">
        <f>'Screening curves'!T37</f>
        <v>10</v>
      </c>
      <c r="D5" s="5">
        <f>'Screening curves'!U37</f>
        <v>10</v>
      </c>
      <c r="E5" s="5">
        <f>'Screening curves'!V37</f>
        <v>10</v>
      </c>
      <c r="F5" s="5">
        <f>'Screening curves'!W37</f>
        <v>10</v>
      </c>
      <c r="G5" s="5">
        <f>'Screening curves'!X37</f>
        <v>10</v>
      </c>
      <c r="H5" s="5">
        <f>'Screening curves'!Y37</f>
        <v>10</v>
      </c>
      <c r="I5" s="5">
        <f>'Screening curves'!Z37</f>
        <v>10</v>
      </c>
      <c r="J5" s="5">
        <f>'Screening curves'!AA37</f>
        <v>10</v>
      </c>
      <c r="K5" s="5">
        <f>'Screening curves'!AB37</f>
        <v>10</v>
      </c>
      <c r="L5" s="5">
        <f>'Screening curves'!AC37</f>
        <v>10</v>
      </c>
      <c r="M5" s="5">
        <f>'Screening curves'!AD37</f>
        <v>10</v>
      </c>
      <c r="N5" s="5">
        <f>'Screening curves'!AE37</f>
        <v>10</v>
      </c>
      <c r="O5" s="5">
        <f>'Screening curves'!AF37</f>
        <v>10</v>
      </c>
      <c r="P5" s="5">
        <f>'Screening curves'!AG37</f>
        <v>10</v>
      </c>
      <c r="Q5" s="5">
        <f>'Screening curves'!AH37</f>
        <v>10</v>
      </c>
      <c r="R5" s="5">
        <f>'Screening curves'!AI37</f>
        <v>10</v>
      </c>
      <c r="S5" s="5">
        <f>'Screening curves'!AJ37</f>
        <v>10</v>
      </c>
      <c r="T5" s="5">
        <f>'Screening curves'!AK37</f>
        <v>10</v>
      </c>
      <c r="U5" s="5"/>
    </row>
    <row r="6" spans="1:21" x14ac:dyDescent="0.2">
      <c r="A6" t="str">
        <f>'Screening curves'!R38</f>
        <v>cap_cost_ct</v>
      </c>
      <c r="B6" s="5">
        <f>'Screening curves'!S38</f>
        <v>678.26769230769241</v>
      </c>
      <c r="C6" s="5">
        <f>'Screening curves'!T38</f>
        <v>678.26769230769241</v>
      </c>
      <c r="D6" s="5">
        <f>'Screening curves'!U38</f>
        <v>678.26769230769241</v>
      </c>
      <c r="E6" s="5">
        <f>'Screening curves'!V38</f>
        <v>678.26769230769241</v>
      </c>
      <c r="F6" s="5">
        <f>'Screening curves'!W38</f>
        <v>678.26769230769241</v>
      </c>
      <c r="G6" s="5">
        <f>'Screening curves'!X38</f>
        <v>678.26769230769241</v>
      </c>
      <c r="H6" s="5">
        <f>'Screening curves'!Y38</f>
        <v>678.26769230769241</v>
      </c>
      <c r="I6" s="5">
        <f>'Screening curves'!Z38</f>
        <v>678.26769230769241</v>
      </c>
      <c r="J6" s="5">
        <f>'Screening curves'!AA38</f>
        <v>678.26769230769241</v>
      </c>
      <c r="K6" s="5">
        <f>'Screening curves'!AB38</f>
        <v>678.26769230769241</v>
      </c>
      <c r="L6" s="5">
        <f>'Screening curves'!AC38</f>
        <v>678.26769230769241</v>
      </c>
      <c r="M6" s="5">
        <f>'Screening curves'!AD38</f>
        <v>678.26769230769241</v>
      </c>
      <c r="N6" s="5">
        <f>'Screening curves'!AE38</f>
        <v>678.26769230769241</v>
      </c>
      <c r="O6" s="5">
        <f>'Screening curves'!AF38</f>
        <v>678.26769230769241</v>
      </c>
      <c r="P6" s="5">
        <f>'Screening curves'!AG38</f>
        <v>678.26769230769241</v>
      </c>
      <c r="Q6" s="5">
        <f>'Screening curves'!AH38</f>
        <v>678.26769230769241</v>
      </c>
      <c r="R6" s="5">
        <f>'Screening curves'!AI38</f>
        <v>678.26769230769241</v>
      </c>
      <c r="S6" s="5">
        <f>'Screening curves'!AJ38</f>
        <v>678.26769230769241</v>
      </c>
      <c r="T6" s="5">
        <f>'Screening curves'!AK38</f>
        <v>678.26769230769241</v>
      </c>
      <c r="U6" s="5"/>
    </row>
    <row r="7" spans="1:21" x14ac:dyDescent="0.2">
      <c r="A7" t="str">
        <f>'Screening curves'!R39</f>
        <v>cap_cost_ccgt</v>
      </c>
      <c r="B7" s="5">
        <f>'Screening curves'!S39</f>
        <v>775.16307692307703</v>
      </c>
      <c r="C7" s="5">
        <f>'Screening curves'!T39</f>
        <v>775.16307692307703</v>
      </c>
      <c r="D7" s="5">
        <f>'Screening curves'!U39</f>
        <v>775.16307692307703</v>
      </c>
      <c r="E7" s="5">
        <f>'Screening curves'!V39</f>
        <v>775.16307692307703</v>
      </c>
      <c r="F7" s="5">
        <f>'Screening curves'!W39</f>
        <v>775.16307692307703</v>
      </c>
      <c r="G7" s="5">
        <f>'Screening curves'!X39</f>
        <v>775.16307692307703</v>
      </c>
      <c r="H7" s="5">
        <f>'Screening curves'!Y39</f>
        <v>775.16307692307703</v>
      </c>
      <c r="I7" s="5">
        <f>'Screening curves'!Z39</f>
        <v>775.16307692307703</v>
      </c>
      <c r="J7" s="5">
        <f>'Screening curves'!AA39</f>
        <v>775.16307692307703</v>
      </c>
      <c r="K7" s="5">
        <f>'Screening curves'!AB39</f>
        <v>775.16307692307703</v>
      </c>
      <c r="L7" s="5">
        <f>'Screening curves'!AC39</f>
        <v>775.16307692307703</v>
      </c>
      <c r="M7" s="5">
        <f>'Screening curves'!AD39</f>
        <v>775.16307692307703</v>
      </c>
      <c r="N7" s="5">
        <f>'Screening curves'!AE39</f>
        <v>775.16307692307703</v>
      </c>
      <c r="O7" s="5">
        <f>'Screening curves'!AF39</f>
        <v>775.16307692307703</v>
      </c>
      <c r="P7" s="5">
        <f>'Screening curves'!AG39</f>
        <v>775.16307692307703</v>
      </c>
      <c r="Q7" s="5">
        <f>'Screening curves'!AH39</f>
        <v>775.16307692307703</v>
      </c>
      <c r="R7" s="5">
        <f>'Screening curves'!AI39</f>
        <v>775.16307692307703</v>
      </c>
      <c r="S7" s="5">
        <f>'Screening curves'!AJ39</f>
        <v>775.16307692307703</v>
      </c>
      <c r="T7" s="5">
        <f>'Screening curves'!AK39</f>
        <v>775.16307692307703</v>
      </c>
      <c r="U7" s="5"/>
    </row>
    <row r="8" spans="1:21" x14ac:dyDescent="0.2">
      <c r="A8" t="str">
        <f>'Screening curves'!R40</f>
        <v>cap_cost_coal</v>
      </c>
      <c r="B8" s="5">
        <f>'Screening curves'!S40</f>
        <v>976.42784318082204</v>
      </c>
      <c r="C8" s="5">
        <f>'Screening curves'!T40</f>
        <v>1140</v>
      </c>
      <c r="D8" s="5">
        <f>'Screening curves'!U40</f>
        <v>976.42784318082204</v>
      </c>
      <c r="E8" s="5">
        <f>'Screening curves'!V40</f>
        <v>976.42784318082204</v>
      </c>
      <c r="F8" s="5">
        <f>'Screening curves'!W40</f>
        <v>976.42784318082204</v>
      </c>
      <c r="G8" s="5">
        <f>'Screening curves'!X40</f>
        <v>976.42784318082204</v>
      </c>
      <c r="H8" s="5">
        <f>'Screening curves'!Y40</f>
        <v>976.42784318082204</v>
      </c>
      <c r="I8" s="5">
        <f>'Screening curves'!Z40</f>
        <v>976.42784318082204</v>
      </c>
      <c r="J8" s="5">
        <f>'Screening curves'!AA40</f>
        <v>976.42784318082204</v>
      </c>
      <c r="K8" s="5">
        <f>'Screening curves'!AB40</f>
        <v>976.42784318082204</v>
      </c>
      <c r="L8" s="5">
        <f>'Screening curves'!AC40</f>
        <v>976.42784318082204</v>
      </c>
      <c r="M8" s="5">
        <f>'Screening curves'!AD40</f>
        <v>976.42784318082204</v>
      </c>
      <c r="N8" s="5">
        <f>'Screening curves'!AE40</f>
        <v>976.42784318082204</v>
      </c>
      <c r="O8" s="5">
        <f>'Screening curves'!AF40</f>
        <v>976.42784318082204</v>
      </c>
      <c r="P8" s="5">
        <f>'Screening curves'!AG40</f>
        <v>1140</v>
      </c>
      <c r="Q8" s="5">
        <f>'Screening curves'!AH40</f>
        <v>1140</v>
      </c>
      <c r="R8" s="5">
        <f>'Screening curves'!AI40</f>
        <v>1140</v>
      </c>
      <c r="S8" s="5">
        <f>'Screening curves'!AJ40</f>
        <v>1140</v>
      </c>
      <c r="T8" s="5">
        <f>'Screening curves'!AK40</f>
        <v>1140</v>
      </c>
      <c r="U8" s="5"/>
    </row>
  </sheetData>
  <pageMargins left="0.7" right="0.7" top="0.75" bottom="0.75" header="0.3" footer="0.3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ColWidth="8.83203125" defaultRowHeight="15" x14ac:dyDescent="0.2"/>
  <cols>
    <col min="2" max="2" width="10.83203125" bestFit="1" customWidth="1"/>
    <col min="4" max="4" width="12" bestFit="1" customWidth="1"/>
  </cols>
  <sheetData>
    <row r="1" spans="1:4" x14ac:dyDescent="0.2">
      <c r="A1" t="str">
        <f>'Screening curves'!Q43</f>
        <v>hour</v>
      </c>
      <c r="B1" t="str">
        <f>'Screening curves'!R43</f>
        <v>technology</v>
      </c>
      <c r="C1" t="str">
        <f>'Screening curves'!S10</f>
        <v>coallc</v>
      </c>
      <c r="D1" t="str">
        <f>'Screening curves'!T10</f>
        <v>coalhc</v>
      </c>
    </row>
    <row r="2" spans="1:4" x14ac:dyDescent="0.2">
      <c r="A2">
        <f>'Screening curves'!Q44</f>
        <v>0</v>
      </c>
      <c r="B2" t="str">
        <f>'Screening curves'!R44</f>
        <v>CT-LNG</v>
      </c>
      <c r="C2" s="5">
        <f>'Screening curves'!S44</f>
        <v>65.002501490990369</v>
      </c>
      <c r="D2" s="5">
        <f>'Screening curves'!T44</f>
        <v>65.002501490990369</v>
      </c>
    </row>
    <row r="3" spans="1:4" x14ac:dyDescent="0.2">
      <c r="A3">
        <f>'Screening curves'!Q45</f>
        <v>8760</v>
      </c>
      <c r="B3" t="str">
        <f>'Screening curves'!R45</f>
        <v>CT-LNG</v>
      </c>
      <c r="C3" s="5">
        <f>'Screening curves'!S45</f>
        <v>1177.2962457334145</v>
      </c>
      <c r="D3" s="5">
        <f>'Screening curves'!T45</f>
        <v>1177.2962457334145</v>
      </c>
    </row>
    <row r="4" spans="1:4" x14ac:dyDescent="0.2">
      <c r="A4">
        <f>'Screening curves'!Q46</f>
        <v>0</v>
      </c>
      <c r="B4" t="str">
        <f>'Screening curves'!R46</f>
        <v>CCGT-LNG</v>
      </c>
      <c r="C4" s="5">
        <f>'Screening curves'!S46</f>
        <v>77.517144561131843</v>
      </c>
      <c r="D4" s="5">
        <f>'Screening curves'!T46</f>
        <v>77.517144561131843</v>
      </c>
    </row>
    <row r="5" spans="1:4" x14ac:dyDescent="0.2">
      <c r="A5">
        <f>'Screening curves'!Q47</f>
        <v>8760</v>
      </c>
      <c r="B5" t="str">
        <f>'Screening curves'!R47</f>
        <v>CCGT-LNG</v>
      </c>
      <c r="C5" s="5">
        <f>'Screening curves'!S47</f>
        <v>821.56369225343963</v>
      </c>
      <c r="D5" s="5">
        <f>'Screening curves'!T47</f>
        <v>821.56369225343963</v>
      </c>
    </row>
    <row r="6" spans="1:4" x14ac:dyDescent="0.2">
      <c r="A6">
        <f>'Screening curves'!Q48</f>
        <v>0</v>
      </c>
      <c r="B6" t="str">
        <f>'Screening curves'!R48</f>
        <v>Coal</v>
      </c>
      <c r="C6" s="5">
        <f>'Screening curves'!S48</f>
        <v>125.88777825200532</v>
      </c>
      <c r="D6" s="5">
        <f>'Screening curves'!T48</f>
        <v>139.92398963155881</v>
      </c>
    </row>
    <row r="7" spans="1:4" x14ac:dyDescent="0.2">
      <c r="A7">
        <f>'Screening curves'!Q49</f>
        <v>8760</v>
      </c>
      <c r="B7" t="str">
        <f>'Screening curves'!R49</f>
        <v>Coal</v>
      </c>
      <c r="C7" s="5">
        <f>'Screening curves'!S49</f>
        <v>410.29526277841552</v>
      </c>
      <c r="D7" s="5">
        <f>'Screening curves'!T49</f>
        <v>542.03413077339212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U6" sqref="U6"/>
    </sheetView>
  </sheetViews>
  <sheetFormatPr baseColWidth="10" defaultColWidth="8.83203125" defaultRowHeight="15" x14ac:dyDescent="0.2"/>
  <cols>
    <col min="1" max="1" width="9.5" bestFit="1" customWidth="1"/>
    <col min="2" max="2" width="10.83203125" bestFit="1" customWidth="1"/>
    <col min="3" max="3" width="10.1640625" customWidth="1"/>
    <col min="5" max="6" width="12" bestFit="1" customWidth="1"/>
    <col min="7" max="7" width="15.83203125" bestFit="1" customWidth="1"/>
    <col min="8" max="10" width="10.5" bestFit="1" customWidth="1"/>
    <col min="11" max="11" width="15.83203125" bestFit="1" customWidth="1"/>
    <col min="12" max="12" width="10.5" bestFit="1" customWidth="1"/>
    <col min="13" max="13" width="13.1640625" customWidth="1"/>
    <col min="14" max="14" width="14" bestFit="1" customWidth="1"/>
    <col min="15" max="15" width="13.33203125" bestFit="1" customWidth="1"/>
    <col min="16" max="16" width="18" bestFit="1" customWidth="1"/>
    <col min="17" max="17" width="9.83203125" bestFit="1" customWidth="1"/>
    <col min="18" max="18" width="14.6640625" bestFit="1" customWidth="1"/>
    <col min="19" max="19" width="13.83203125" bestFit="1" customWidth="1"/>
    <col min="20" max="20" width="18.5" bestFit="1" customWidth="1"/>
    <col min="21" max="21" width="14.5" bestFit="1" customWidth="1"/>
  </cols>
  <sheetData>
    <row r="1" spans="1:22" x14ac:dyDescent="0.2">
      <c r="A1" t="str">
        <f>'Screening curves'!Q52</f>
        <v>cost_type</v>
      </c>
      <c r="B1" t="str">
        <f>'Screening curves'!R52</f>
        <v>technology</v>
      </c>
      <c r="C1" t="str">
        <f>'Screening curves'!S9</f>
        <v>coallc</v>
      </c>
      <c r="D1" t="str">
        <f>'Screening curves'!T9</f>
        <v>coalhc</v>
      </c>
      <c r="E1" t="str">
        <f>'Screening curves'!U9</f>
        <v>coallcW10lc</v>
      </c>
      <c r="F1" t="str">
        <f>'Screening curves'!V9</f>
        <v>coallcW20lc</v>
      </c>
      <c r="G1" t="str">
        <f>'Screening curves'!W9</f>
        <v>coallcW30lc</v>
      </c>
      <c r="H1" t="str">
        <f>'Screening curves'!X9</f>
        <v>coallcS10lc</v>
      </c>
      <c r="I1" t="str">
        <f>'Screening curves'!Y9</f>
        <v>coallcS20lc</v>
      </c>
      <c r="J1" t="str">
        <f>'Screening curves'!Z9</f>
        <v>coallcS30lc</v>
      </c>
      <c r="K1" t="str">
        <f>'Screening curves'!AA9</f>
        <v>coallcW30lcS30lc</v>
      </c>
      <c r="L1" t="str">
        <f>'Screening curves'!AB9</f>
        <v>coallcB25lc</v>
      </c>
      <c r="M1" t="str">
        <f>'Screening curves'!AC9</f>
        <v>coallcB50lc</v>
      </c>
      <c r="N1" t="str">
        <f>'Screening curves'!AD9</f>
        <v>coallcW30lcB50lc</v>
      </c>
      <c r="O1" t="str">
        <f>'Screening curves'!AE9</f>
        <v>coallcS30lcB50lc</v>
      </c>
      <c r="P1" t="str">
        <f>'Screening curves'!AF9</f>
        <v>coallcW30lcS30lcB50lc</v>
      </c>
      <c r="Q1" t="str">
        <f>'Screening curves'!AG9</f>
        <v>coalhcB50lc</v>
      </c>
      <c r="R1" t="str">
        <f>'Screening curves'!AH9</f>
        <v>coalhcW30lcB50lc</v>
      </c>
      <c r="S1" t="str">
        <f>'Screening curves'!AI9</f>
        <v>coalhcS30lcB50lc</v>
      </c>
      <c r="T1" t="str">
        <f>'Screening curves'!AJ9</f>
        <v>coalhcW30lcS30lcB50lc</v>
      </c>
      <c r="U1" t="str">
        <f>'Screening curves'!AK9</f>
        <v>coalhcW30lcS30lc</v>
      </c>
    </row>
    <row r="2" spans="1:22" x14ac:dyDescent="0.2">
      <c r="A2" t="str">
        <f>'Screening curves'!Q53</f>
        <v>capital</v>
      </c>
      <c r="B2" t="str">
        <f>'Screening curves'!R53</f>
        <v>ct</v>
      </c>
      <c r="C2" s="5">
        <f>'Screening curves'!S53</f>
        <v>678.26769230769241</v>
      </c>
      <c r="D2" s="5">
        <f>'Screening curves'!T53</f>
        <v>678.26769230769241</v>
      </c>
      <c r="E2" s="5">
        <f>'Screening curves'!U53</f>
        <v>678.26769230769241</v>
      </c>
      <c r="F2" s="5">
        <f>'Screening curves'!V53</f>
        <v>678.26769230769241</v>
      </c>
      <c r="G2" s="5">
        <f>'Screening curves'!W53</f>
        <v>678.26769230769241</v>
      </c>
      <c r="H2" s="5">
        <f>'Screening curves'!X53</f>
        <v>678.26769230769241</v>
      </c>
      <c r="I2" s="5">
        <f>'Screening curves'!Y53</f>
        <v>678.26769230769241</v>
      </c>
      <c r="J2" s="5">
        <f>'Screening curves'!Z53</f>
        <v>678.26769230769241</v>
      </c>
      <c r="K2" s="5">
        <f>'Screening curves'!AA53</f>
        <v>678.26769230769241</v>
      </c>
      <c r="L2" s="5">
        <f>'Screening curves'!AB53</f>
        <v>678.26769230769241</v>
      </c>
      <c r="M2" s="5">
        <f>'Screening curves'!AC53</f>
        <v>678.26769230769241</v>
      </c>
      <c r="N2" s="5">
        <f>'Screening curves'!AD53</f>
        <v>678.26769230769241</v>
      </c>
      <c r="O2" s="5">
        <f>'Screening curves'!AE53</f>
        <v>678.26769230769241</v>
      </c>
      <c r="P2" s="5">
        <f>'Screening curves'!AF53</f>
        <v>678.26769230769241</v>
      </c>
      <c r="Q2" s="5">
        <f>'Screening curves'!AG53</f>
        <v>678.26769230769241</v>
      </c>
      <c r="R2" s="5">
        <f>'Screening curves'!AH53</f>
        <v>678.26769230769241</v>
      </c>
      <c r="S2" s="5">
        <f>'Screening curves'!AI53</f>
        <v>678.26769230769241</v>
      </c>
      <c r="T2" s="5">
        <f>'Screening curves'!AJ53</f>
        <v>678.26769230769241</v>
      </c>
      <c r="U2" s="5">
        <f>'Screening curves'!AK53</f>
        <v>678.26769230769241</v>
      </c>
      <c r="V2" s="5"/>
    </row>
    <row r="3" spans="1:22" x14ac:dyDescent="0.2">
      <c r="A3" t="str">
        <f>'Screening curves'!Q54</f>
        <v>om</v>
      </c>
      <c r="B3" t="str">
        <f>'Screening curves'!R54</f>
        <v>ct</v>
      </c>
      <c r="C3" s="5">
        <f>'Screening curves'!S54</f>
        <v>6.8</v>
      </c>
      <c r="D3" s="5">
        <f>'Screening curves'!T54</f>
        <v>6.8</v>
      </c>
      <c r="E3" s="5">
        <f>'Screening curves'!U54</f>
        <v>6.8</v>
      </c>
      <c r="F3" s="5">
        <f>'Screening curves'!V54</f>
        <v>6.8</v>
      </c>
      <c r="G3" s="5">
        <f>'Screening curves'!W54</f>
        <v>6.8</v>
      </c>
      <c r="H3" s="5">
        <f>'Screening curves'!X54</f>
        <v>6.8</v>
      </c>
      <c r="I3" s="5">
        <f>'Screening curves'!Y54</f>
        <v>6.8</v>
      </c>
      <c r="J3" s="5">
        <f>'Screening curves'!Z54</f>
        <v>6.8</v>
      </c>
      <c r="K3" s="5">
        <f>'Screening curves'!AA54</f>
        <v>6.8</v>
      </c>
      <c r="L3" s="5">
        <f>'Screening curves'!AB54</f>
        <v>6.8</v>
      </c>
      <c r="M3" s="5">
        <f>'Screening curves'!AC54</f>
        <v>6.8</v>
      </c>
      <c r="N3" s="5">
        <f>'Screening curves'!AD54</f>
        <v>6.8</v>
      </c>
      <c r="O3" s="5">
        <f>'Screening curves'!AE54</f>
        <v>6.8</v>
      </c>
      <c r="P3" s="5">
        <f>'Screening curves'!AF54</f>
        <v>6.8</v>
      </c>
      <c r="Q3" s="5">
        <f>'Screening curves'!AG54</f>
        <v>6.8</v>
      </c>
      <c r="R3" s="5">
        <f>'Screening curves'!AH54</f>
        <v>6.8</v>
      </c>
      <c r="S3" s="5">
        <f>'Screening curves'!AI54</f>
        <v>6.8</v>
      </c>
      <c r="T3" s="5">
        <f>'Screening curves'!AJ54</f>
        <v>6.8</v>
      </c>
      <c r="U3" s="5">
        <f>'Screening curves'!AK54</f>
        <v>6.8</v>
      </c>
      <c r="V3" s="5"/>
    </row>
    <row r="4" spans="1:22" x14ac:dyDescent="0.2">
      <c r="A4" t="str">
        <f>'Screening curves'!Q55</f>
        <v>capital</v>
      </c>
      <c r="B4" t="str">
        <f>'Screening curves'!R55</f>
        <v>ccgt</v>
      </c>
      <c r="C4" s="5">
        <f>'Screening curves'!S55</f>
        <v>775.16307692307703</v>
      </c>
      <c r="D4" s="5">
        <f>'Screening curves'!T55</f>
        <v>775.16307692307703</v>
      </c>
      <c r="E4" s="5">
        <f>'Screening curves'!U55</f>
        <v>775.16307692307703</v>
      </c>
      <c r="F4" s="5">
        <f>'Screening curves'!V55</f>
        <v>775.16307692307703</v>
      </c>
      <c r="G4" s="5">
        <f>'Screening curves'!W55</f>
        <v>775.16307692307703</v>
      </c>
      <c r="H4" s="5">
        <f>'Screening curves'!X55</f>
        <v>775.16307692307703</v>
      </c>
      <c r="I4" s="5">
        <f>'Screening curves'!Y55</f>
        <v>775.16307692307703</v>
      </c>
      <c r="J4" s="5">
        <f>'Screening curves'!Z55</f>
        <v>775.16307692307703</v>
      </c>
      <c r="K4" s="5">
        <f>'Screening curves'!AA55</f>
        <v>775.16307692307703</v>
      </c>
      <c r="L4" s="5">
        <f>'Screening curves'!AB55</f>
        <v>775.16307692307703</v>
      </c>
      <c r="M4" s="5">
        <f>'Screening curves'!AC55</f>
        <v>775.16307692307703</v>
      </c>
      <c r="N4" s="5">
        <f>'Screening curves'!AD55</f>
        <v>775.16307692307703</v>
      </c>
      <c r="O4" s="5">
        <f>'Screening curves'!AE55</f>
        <v>775.16307692307703</v>
      </c>
      <c r="P4" s="5">
        <f>'Screening curves'!AF55</f>
        <v>775.16307692307703</v>
      </c>
      <c r="Q4" s="5">
        <f>'Screening curves'!AG55</f>
        <v>775.16307692307703</v>
      </c>
      <c r="R4" s="5">
        <f>'Screening curves'!AH55</f>
        <v>775.16307692307703</v>
      </c>
      <c r="S4" s="5">
        <f>'Screening curves'!AI55</f>
        <v>775.16307692307703</v>
      </c>
      <c r="T4" s="5">
        <f>'Screening curves'!AJ55</f>
        <v>775.16307692307703</v>
      </c>
      <c r="U4" s="5">
        <f>'Screening curves'!AK55</f>
        <v>775.16307692307703</v>
      </c>
      <c r="V4" s="5"/>
    </row>
    <row r="5" spans="1:22" x14ac:dyDescent="0.2">
      <c r="A5" t="str">
        <f>'Screening curves'!Q56</f>
        <v>om</v>
      </c>
      <c r="B5" t="str">
        <f>'Screening curves'!R56</f>
        <v>ccgt</v>
      </c>
      <c r="C5" s="5">
        <f>'Screening curves'!S56</f>
        <v>11</v>
      </c>
      <c r="D5" s="5">
        <f>'Screening curves'!T56</f>
        <v>11</v>
      </c>
      <c r="E5" s="5">
        <f>'Screening curves'!U56</f>
        <v>11</v>
      </c>
      <c r="F5" s="5">
        <f>'Screening curves'!V56</f>
        <v>11</v>
      </c>
      <c r="G5" s="5">
        <f>'Screening curves'!W56</f>
        <v>11</v>
      </c>
      <c r="H5" s="5">
        <f>'Screening curves'!X56</f>
        <v>11</v>
      </c>
      <c r="I5" s="5">
        <f>'Screening curves'!Y56</f>
        <v>11</v>
      </c>
      <c r="J5" s="5">
        <f>'Screening curves'!Z56</f>
        <v>11</v>
      </c>
      <c r="K5" s="5">
        <f>'Screening curves'!AA56</f>
        <v>11</v>
      </c>
      <c r="L5" s="5">
        <f>'Screening curves'!AB56</f>
        <v>11</v>
      </c>
      <c r="M5" s="5">
        <f>'Screening curves'!AC56</f>
        <v>11</v>
      </c>
      <c r="N5" s="5">
        <f>'Screening curves'!AD56</f>
        <v>11</v>
      </c>
      <c r="O5" s="5">
        <f>'Screening curves'!AE56</f>
        <v>11</v>
      </c>
      <c r="P5" s="5">
        <f>'Screening curves'!AF56</f>
        <v>11</v>
      </c>
      <c r="Q5" s="5">
        <f>'Screening curves'!AG56</f>
        <v>11</v>
      </c>
      <c r="R5" s="5">
        <f>'Screening curves'!AH56</f>
        <v>11</v>
      </c>
      <c r="S5" s="5">
        <f>'Screening curves'!AI56</f>
        <v>11</v>
      </c>
      <c r="T5" s="5">
        <f>'Screening curves'!AJ56</f>
        <v>11</v>
      </c>
      <c r="U5" s="5">
        <f>'Screening curves'!AK56</f>
        <v>11</v>
      </c>
      <c r="V5" s="5"/>
    </row>
    <row r="6" spans="1:22" x14ac:dyDescent="0.2">
      <c r="A6" t="str">
        <f>'Screening curves'!Q57</f>
        <v>capital</v>
      </c>
      <c r="B6" t="str">
        <f>'Screening curves'!R57</f>
        <v>coal</v>
      </c>
      <c r="C6" s="5">
        <f>'Screening curves'!S57</f>
        <v>976.42784318082204</v>
      </c>
      <c r="D6" s="5">
        <f>'Screening curves'!T57</f>
        <v>1140</v>
      </c>
      <c r="E6" s="5">
        <f>'Screening curves'!U57</f>
        <v>976.42784318082204</v>
      </c>
      <c r="F6" s="5">
        <f>'Screening curves'!V57</f>
        <v>976.42784318082204</v>
      </c>
      <c r="G6" s="5">
        <f>'Screening curves'!W57</f>
        <v>976.42784318082204</v>
      </c>
      <c r="H6" s="5">
        <f>'Screening curves'!X57</f>
        <v>976.42784318082204</v>
      </c>
      <c r="I6" s="5">
        <f>'Screening curves'!Y57</f>
        <v>976.42784318082204</v>
      </c>
      <c r="J6" s="5">
        <f>'Screening curves'!Z57</f>
        <v>976.42784318082204</v>
      </c>
      <c r="K6" s="5">
        <f>'Screening curves'!AA57</f>
        <v>976.42784318082204</v>
      </c>
      <c r="L6" s="5">
        <f>'Screening curves'!AB57</f>
        <v>976.42784318082204</v>
      </c>
      <c r="M6" s="5">
        <f>'Screening curves'!AC57</f>
        <v>976.42784318082204</v>
      </c>
      <c r="N6" s="5">
        <f>'Screening curves'!AD57</f>
        <v>976.42784318082204</v>
      </c>
      <c r="O6" s="5">
        <f>'Screening curves'!AE57</f>
        <v>976.42784318082204</v>
      </c>
      <c r="P6" s="5">
        <f>'Screening curves'!AF57</f>
        <v>976.42784318082204</v>
      </c>
      <c r="Q6" s="5">
        <f>'Screening curves'!AG57</f>
        <v>1140</v>
      </c>
      <c r="R6" s="5">
        <f>'Screening curves'!AH57</f>
        <v>1140</v>
      </c>
      <c r="S6" s="5">
        <f>'Screening curves'!AI57</f>
        <v>1140</v>
      </c>
      <c r="T6" s="5">
        <f>'Screening curves'!AJ57</f>
        <v>1140</v>
      </c>
      <c r="U6" s="5">
        <f>'Screening curves'!AK57</f>
        <v>1140</v>
      </c>
      <c r="V6" s="5"/>
    </row>
    <row r="7" spans="1:22" x14ac:dyDescent="0.2">
      <c r="A7" t="str">
        <f>'Screening curves'!Q58</f>
        <v>om</v>
      </c>
      <c r="B7" t="str">
        <f>'Screening curves'!R58</f>
        <v>coal</v>
      </c>
      <c r="C7" s="5">
        <f>'Screening curves'!S58</f>
        <v>42.1</v>
      </c>
      <c r="D7" s="5">
        <f>'Screening curves'!T58</f>
        <v>42.1</v>
      </c>
      <c r="E7" s="5">
        <f>'Screening curves'!U58</f>
        <v>42.1</v>
      </c>
      <c r="F7" s="5">
        <f>'Screening curves'!V58</f>
        <v>42.1</v>
      </c>
      <c r="G7" s="5">
        <f>'Screening curves'!W58</f>
        <v>42.1</v>
      </c>
      <c r="H7" s="5">
        <f>'Screening curves'!X58</f>
        <v>42.1</v>
      </c>
      <c r="I7" s="5">
        <f>'Screening curves'!Y58</f>
        <v>42.1</v>
      </c>
      <c r="J7" s="5">
        <f>'Screening curves'!Z58</f>
        <v>42.1</v>
      </c>
      <c r="K7" s="5">
        <f>'Screening curves'!AA58</f>
        <v>42.1</v>
      </c>
      <c r="L7" s="5">
        <f>'Screening curves'!AB58</f>
        <v>42.1</v>
      </c>
      <c r="M7" s="5">
        <f>'Screening curves'!AC58</f>
        <v>42.1</v>
      </c>
      <c r="N7" s="5">
        <f>'Screening curves'!AD58</f>
        <v>42.1</v>
      </c>
      <c r="O7" s="5">
        <f>'Screening curves'!AE58</f>
        <v>42.1</v>
      </c>
      <c r="P7" s="5">
        <f>'Screening curves'!AF58</f>
        <v>42.1</v>
      </c>
      <c r="Q7" s="5">
        <f>'Screening curves'!AG58</f>
        <v>42.1</v>
      </c>
      <c r="R7" s="5">
        <f>'Screening curves'!AH58</f>
        <v>42.1</v>
      </c>
      <c r="S7" s="5">
        <f>'Screening curves'!AI58</f>
        <v>42.1</v>
      </c>
      <c r="T7" s="5">
        <f>'Screening curves'!AJ58</f>
        <v>42.1</v>
      </c>
      <c r="U7" s="5">
        <f>'Screening curves'!AK58</f>
        <v>42.1</v>
      </c>
      <c r="V7" s="5"/>
    </row>
    <row r="8" spans="1:22" x14ac:dyDescent="0.2">
      <c r="A8" t="str">
        <f>'Screening curves'!Q59</f>
        <v>capital</v>
      </c>
      <c r="B8" t="str">
        <f>'Screening curves'!R59</f>
        <v>wind</v>
      </c>
      <c r="C8" s="5">
        <f>'Screening curves'!S59</f>
        <v>1250</v>
      </c>
      <c r="D8" s="5">
        <f>'Screening curves'!T59</f>
        <v>1250</v>
      </c>
      <c r="E8" s="5">
        <f>'Screening curves'!U59</f>
        <v>1125</v>
      </c>
      <c r="F8" s="5">
        <f>'Screening curves'!V59</f>
        <v>1000</v>
      </c>
      <c r="G8" s="5">
        <f>'Screening curves'!W59</f>
        <v>875</v>
      </c>
      <c r="H8" s="5">
        <f>'Screening curves'!X59</f>
        <v>1250</v>
      </c>
      <c r="I8" s="5">
        <f>'Screening curves'!Y59</f>
        <v>1250</v>
      </c>
      <c r="J8" s="5">
        <f>'Screening curves'!Z59</f>
        <v>1250</v>
      </c>
      <c r="K8" s="5">
        <f>'Screening curves'!AA59</f>
        <v>875</v>
      </c>
      <c r="L8" s="5">
        <f>'Screening curves'!AB59</f>
        <v>1250</v>
      </c>
      <c r="M8" s="5">
        <f>'Screening curves'!AC59</f>
        <v>1250</v>
      </c>
      <c r="N8" s="5">
        <f>'Screening curves'!AD59</f>
        <v>875</v>
      </c>
      <c r="O8" s="5">
        <f>'Screening curves'!AE59</f>
        <v>1250</v>
      </c>
      <c r="P8" s="5">
        <f>'Screening curves'!AF59</f>
        <v>875</v>
      </c>
      <c r="Q8" s="5">
        <f>'Screening curves'!AG59</f>
        <v>1250</v>
      </c>
      <c r="R8" s="5">
        <f>'Screening curves'!AH59</f>
        <v>875</v>
      </c>
      <c r="S8" s="5">
        <f>'Screening curves'!AI59</f>
        <v>1250</v>
      </c>
      <c r="T8" s="5">
        <f>'Screening curves'!AJ59</f>
        <v>875</v>
      </c>
      <c r="U8" s="5">
        <f>'Screening curves'!AK59</f>
        <v>875</v>
      </c>
      <c r="V8" s="5"/>
    </row>
    <row r="9" spans="1:22" x14ac:dyDescent="0.2">
      <c r="A9" t="str">
        <f>'Screening curves'!Q60</f>
        <v>om</v>
      </c>
      <c r="B9" t="str">
        <f>'Screening curves'!R60</f>
        <v>wind</v>
      </c>
      <c r="C9" s="5">
        <f>'Screening curves'!S60</f>
        <v>15</v>
      </c>
      <c r="D9" s="5">
        <f>'Screening curves'!T60</f>
        <v>15</v>
      </c>
      <c r="E9" s="5">
        <f>'Screening curves'!U60</f>
        <v>15</v>
      </c>
      <c r="F9" s="5">
        <f>'Screening curves'!V60</f>
        <v>15</v>
      </c>
      <c r="G9" s="5">
        <f>'Screening curves'!W60</f>
        <v>15</v>
      </c>
      <c r="H9" s="5">
        <f>'Screening curves'!X60</f>
        <v>15</v>
      </c>
      <c r="I9" s="5">
        <f>'Screening curves'!Y60</f>
        <v>15</v>
      </c>
      <c r="J9" s="5">
        <f>'Screening curves'!Z60</f>
        <v>15</v>
      </c>
      <c r="K9" s="5">
        <f>'Screening curves'!AA60</f>
        <v>15</v>
      </c>
      <c r="L9" s="5">
        <f>'Screening curves'!AB60</f>
        <v>15</v>
      </c>
      <c r="M9" s="5">
        <f>'Screening curves'!AC60</f>
        <v>15</v>
      </c>
      <c r="N9" s="5">
        <f>'Screening curves'!AD60</f>
        <v>15</v>
      </c>
      <c r="O9" s="5">
        <f>'Screening curves'!AE60</f>
        <v>15</v>
      </c>
      <c r="P9" s="5">
        <f>'Screening curves'!AF60</f>
        <v>15</v>
      </c>
      <c r="Q9" s="5">
        <f>'Screening curves'!AG60</f>
        <v>15</v>
      </c>
      <c r="R9" s="5">
        <f>'Screening curves'!AH60</f>
        <v>15</v>
      </c>
      <c r="S9" s="5">
        <f>'Screening curves'!AI60</f>
        <v>15</v>
      </c>
      <c r="T9" s="5">
        <f>'Screening curves'!AJ60</f>
        <v>15</v>
      </c>
      <c r="U9" s="5">
        <f>'Screening curves'!AK60</f>
        <v>15</v>
      </c>
      <c r="V9" s="5"/>
    </row>
    <row r="10" spans="1:22" x14ac:dyDescent="0.2">
      <c r="A10" t="str">
        <f>'Screening curves'!Q61</f>
        <v>capital</v>
      </c>
      <c r="B10" t="str">
        <f>'Screening curves'!R61</f>
        <v>solarPV</v>
      </c>
      <c r="C10" s="5">
        <f>'Screening curves'!S61</f>
        <v>850</v>
      </c>
      <c r="D10" s="5">
        <f>'Screening curves'!T61</f>
        <v>850</v>
      </c>
      <c r="E10" s="5">
        <f>'Screening curves'!U61</f>
        <v>850</v>
      </c>
      <c r="F10" s="5">
        <f>'Screening curves'!V61</f>
        <v>850</v>
      </c>
      <c r="G10" s="5">
        <f>'Screening curves'!W61</f>
        <v>850</v>
      </c>
      <c r="H10" s="5">
        <f>'Screening curves'!X61</f>
        <v>765</v>
      </c>
      <c r="I10" s="5">
        <f>'Screening curves'!Y61</f>
        <v>680</v>
      </c>
      <c r="J10" s="5">
        <f>'Screening curves'!Z61</f>
        <v>595</v>
      </c>
      <c r="K10" s="5">
        <f>'Screening curves'!AA61</f>
        <v>595</v>
      </c>
      <c r="L10" s="5">
        <f>'Screening curves'!AB61</f>
        <v>850</v>
      </c>
      <c r="M10" s="5">
        <f>'Screening curves'!AC61</f>
        <v>850</v>
      </c>
      <c r="N10" s="5">
        <f>'Screening curves'!AD61</f>
        <v>850</v>
      </c>
      <c r="O10" s="5">
        <f>'Screening curves'!AE61</f>
        <v>595</v>
      </c>
      <c r="P10" s="5">
        <f>'Screening curves'!AF61</f>
        <v>595</v>
      </c>
      <c r="Q10" s="5">
        <f>'Screening curves'!AG61</f>
        <v>850</v>
      </c>
      <c r="R10" s="5">
        <f>'Screening curves'!AH61</f>
        <v>850</v>
      </c>
      <c r="S10" s="5">
        <f>'Screening curves'!AI61</f>
        <v>595</v>
      </c>
      <c r="T10" s="5">
        <f>'Screening curves'!AJ61</f>
        <v>595</v>
      </c>
      <c r="U10" s="5">
        <f>'Screening curves'!AK61</f>
        <v>595</v>
      </c>
      <c r="V10" s="5"/>
    </row>
    <row r="11" spans="1:22" x14ac:dyDescent="0.2">
      <c r="A11" t="str">
        <f>'Screening curves'!Q62</f>
        <v>om</v>
      </c>
      <c r="B11" t="str">
        <f>'Screening curves'!R62</f>
        <v>solarPV</v>
      </c>
      <c r="C11" s="5">
        <f>'Screening curves'!S62</f>
        <v>10</v>
      </c>
      <c r="D11" s="5">
        <f>'Screening curves'!T62</f>
        <v>10</v>
      </c>
      <c r="E11" s="5">
        <f>'Screening curves'!U62</f>
        <v>10</v>
      </c>
      <c r="F11" s="5">
        <f>'Screening curves'!V62</f>
        <v>10</v>
      </c>
      <c r="G11" s="5">
        <f>'Screening curves'!W62</f>
        <v>10</v>
      </c>
      <c r="H11" s="5">
        <f>'Screening curves'!X62</f>
        <v>10</v>
      </c>
      <c r="I11" s="5">
        <f>'Screening curves'!Y62</f>
        <v>10</v>
      </c>
      <c r="J11" s="5">
        <f>'Screening curves'!Z62</f>
        <v>10</v>
      </c>
      <c r="K11" s="5">
        <f>'Screening curves'!AA62</f>
        <v>10</v>
      </c>
      <c r="L11" s="5">
        <f>'Screening curves'!AB62</f>
        <v>10</v>
      </c>
      <c r="M11" s="5">
        <f>'Screening curves'!AC62</f>
        <v>10</v>
      </c>
      <c r="N11" s="5">
        <f>'Screening curves'!AD62</f>
        <v>10</v>
      </c>
      <c r="O11" s="5">
        <f>'Screening curves'!AE62</f>
        <v>10</v>
      </c>
      <c r="P11" s="5">
        <f>'Screening curves'!AF62</f>
        <v>10</v>
      </c>
      <c r="Q11" s="5">
        <f>'Screening curves'!AG62</f>
        <v>10</v>
      </c>
      <c r="R11" s="5">
        <f>'Screening curves'!AH62</f>
        <v>10</v>
      </c>
      <c r="S11" s="5">
        <f>'Screening curves'!AI62</f>
        <v>10</v>
      </c>
      <c r="T11" s="5">
        <f>'Screening curves'!AJ62</f>
        <v>10</v>
      </c>
      <c r="U11" s="5">
        <f>'Screening curves'!AK62</f>
        <v>10</v>
      </c>
      <c r="V11" s="5"/>
    </row>
    <row r="12" spans="1:22" x14ac:dyDescent="0.2">
      <c r="A12" t="str">
        <f>'Screening curves'!Q63</f>
        <v>capital</v>
      </c>
      <c r="B12" t="str">
        <f>'Screening curves'!R63</f>
        <v>battery</v>
      </c>
      <c r="C12" s="5">
        <f>'Screening curves'!S63</f>
        <v>1200</v>
      </c>
      <c r="D12" s="5">
        <f>'Screening curves'!T63</f>
        <v>1200</v>
      </c>
      <c r="E12" s="5">
        <f>'Screening curves'!U63</f>
        <v>1200</v>
      </c>
      <c r="F12" s="5">
        <f>'Screening curves'!V63</f>
        <v>1200</v>
      </c>
      <c r="G12" s="5">
        <f>'Screening curves'!W63</f>
        <v>1200</v>
      </c>
      <c r="H12" s="5">
        <f>'Screening curves'!X63</f>
        <v>1200</v>
      </c>
      <c r="I12" s="5">
        <f>'Screening curves'!Y63</f>
        <v>1200</v>
      </c>
      <c r="J12" s="5">
        <f>'Screening curves'!Z63</f>
        <v>1200</v>
      </c>
      <c r="K12" s="5">
        <f>'Screening curves'!AA63</f>
        <v>1200</v>
      </c>
      <c r="L12" s="5">
        <f>'Screening curves'!AB63</f>
        <v>900</v>
      </c>
      <c r="M12" s="5">
        <f>'Screening curves'!AC63</f>
        <v>600</v>
      </c>
      <c r="N12" s="5">
        <f>'Screening curves'!AD63</f>
        <v>600</v>
      </c>
      <c r="O12" s="5">
        <f>'Screening curves'!AE63</f>
        <v>600</v>
      </c>
      <c r="P12" s="5">
        <f>'Screening curves'!AF63</f>
        <v>600</v>
      </c>
      <c r="Q12" s="5">
        <f>'Screening curves'!AG63</f>
        <v>600</v>
      </c>
      <c r="R12" s="5">
        <f>'Screening curves'!AH63</f>
        <v>600</v>
      </c>
      <c r="S12" s="5">
        <f>'Screening curves'!AI63</f>
        <v>600</v>
      </c>
      <c r="T12" s="5">
        <f>'Screening curves'!AJ63</f>
        <v>600</v>
      </c>
      <c r="U12" s="5">
        <f>'Screening curves'!AK63</f>
        <v>1200</v>
      </c>
      <c r="V12" s="5"/>
    </row>
    <row r="13" spans="1:22" x14ac:dyDescent="0.2">
      <c r="A13" t="str">
        <f>'Screening curves'!Q64</f>
        <v>om</v>
      </c>
      <c r="B13" t="str">
        <f>'Screening curves'!R64</f>
        <v>battery</v>
      </c>
      <c r="C13" s="5">
        <f>'Screening curves'!S64</f>
        <v>76</v>
      </c>
      <c r="D13" s="5">
        <f>'Screening curves'!T64</f>
        <v>76</v>
      </c>
      <c r="E13" s="5">
        <f>'Screening curves'!U64</f>
        <v>76</v>
      </c>
      <c r="F13" s="5">
        <f>'Screening curves'!V64</f>
        <v>76</v>
      </c>
      <c r="G13" s="5">
        <f>'Screening curves'!W64</f>
        <v>76</v>
      </c>
      <c r="H13" s="5">
        <f>'Screening curves'!X64</f>
        <v>76</v>
      </c>
      <c r="I13" s="5">
        <f>'Screening curves'!Y64</f>
        <v>76</v>
      </c>
      <c r="J13" s="5">
        <f>'Screening curves'!Z64</f>
        <v>76</v>
      </c>
      <c r="K13" s="5">
        <f>'Screening curves'!AA64</f>
        <v>76</v>
      </c>
      <c r="L13" s="5">
        <f>'Screening curves'!AB64</f>
        <v>57</v>
      </c>
      <c r="M13" s="5">
        <f>'Screening curves'!AC64</f>
        <v>38</v>
      </c>
      <c r="N13" s="5">
        <f>'Screening curves'!AD64</f>
        <v>38</v>
      </c>
      <c r="O13" s="5">
        <f>'Screening curves'!AE64</f>
        <v>38</v>
      </c>
      <c r="P13" s="5">
        <f>'Screening curves'!AF64</f>
        <v>38</v>
      </c>
      <c r="Q13" s="5">
        <f>'Screening curves'!AG64</f>
        <v>38</v>
      </c>
      <c r="R13" s="5">
        <f>'Screening curves'!AH64</f>
        <v>38</v>
      </c>
      <c r="S13" s="5">
        <f>'Screening curves'!AI64</f>
        <v>38</v>
      </c>
      <c r="T13" s="5">
        <f>'Screening curves'!AJ64</f>
        <v>38</v>
      </c>
      <c r="U13" s="5">
        <f>'Screening curves'!AK64</f>
        <v>76</v>
      </c>
      <c r="V13" s="5"/>
    </row>
  </sheetData>
  <pageMargins left="0.7" right="0.7" top="0.75" bottom="0.75" header="0.3" footer="0.3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S52"/>
  <sheetViews>
    <sheetView topLeftCell="A13" workbookViewId="0">
      <selection activeCell="C43" sqref="C43"/>
    </sheetView>
  </sheetViews>
  <sheetFormatPr baseColWidth="10" defaultRowHeight="16" x14ac:dyDescent="0.2"/>
  <cols>
    <col min="1" max="1" width="24" style="23" bestFit="1" customWidth="1"/>
    <col min="2" max="2" width="23.6640625" style="23" bestFit="1" customWidth="1"/>
    <col min="3" max="16" width="10.83203125" style="23"/>
    <col min="17" max="17" width="18.33203125" style="23" bestFit="1" customWidth="1"/>
    <col min="18" max="18" width="35.5" style="23" customWidth="1"/>
    <col min="19" max="19" width="32.5" style="23" bestFit="1" customWidth="1"/>
    <col min="20" max="16384" width="10.83203125" style="23"/>
  </cols>
  <sheetData>
    <row r="2" spans="1:19" x14ac:dyDescent="0.2">
      <c r="B2" s="24">
        <v>0.05</v>
      </c>
      <c r="C2" s="23">
        <v>850</v>
      </c>
      <c r="D2" s="25">
        <f t="shared" ref="D2:E4" si="0">C2*(1-$B2)</f>
        <v>807.5</v>
      </c>
      <c r="E2" s="25">
        <f t="shared" si="0"/>
        <v>767.125</v>
      </c>
      <c r="F2" s="25">
        <f t="shared" ref="F2:P4" si="1">E2*(1-$B2)</f>
        <v>728.76874999999995</v>
      </c>
      <c r="G2" s="25">
        <f t="shared" si="1"/>
        <v>692.33031249999988</v>
      </c>
      <c r="H2" s="25">
        <f t="shared" si="1"/>
        <v>657.71379687499984</v>
      </c>
      <c r="I2" s="25">
        <f t="shared" si="1"/>
        <v>624.82810703124983</v>
      </c>
      <c r="J2" s="25">
        <f t="shared" si="1"/>
        <v>593.58670167968728</v>
      </c>
      <c r="K2" s="25">
        <f t="shared" si="1"/>
        <v>563.90736659570291</v>
      </c>
      <c r="L2" s="25">
        <f t="shared" si="1"/>
        <v>535.71199826591771</v>
      </c>
      <c r="M2" s="25">
        <f t="shared" si="1"/>
        <v>508.92639835262179</v>
      </c>
      <c r="N2" s="25">
        <f t="shared" si="1"/>
        <v>483.48007843499067</v>
      </c>
      <c r="O2" s="25">
        <f t="shared" si="1"/>
        <v>459.30607451324113</v>
      </c>
      <c r="P2" s="25">
        <f t="shared" si="1"/>
        <v>436.34077078757906</v>
      </c>
    </row>
    <row r="3" spans="1:19" x14ac:dyDescent="0.2">
      <c r="A3" s="23" t="s">
        <v>492</v>
      </c>
      <c r="B3" s="24">
        <v>0.03</v>
      </c>
      <c r="C3" s="23">
        <v>850</v>
      </c>
      <c r="D3" s="25">
        <f t="shared" si="0"/>
        <v>824.5</v>
      </c>
      <c r="E3" s="25">
        <f t="shared" si="0"/>
        <v>799.76499999999999</v>
      </c>
      <c r="F3" s="25">
        <f t="shared" si="1"/>
        <v>775.77204999999992</v>
      </c>
      <c r="G3" s="25">
        <f t="shared" si="1"/>
        <v>752.49888849999991</v>
      </c>
      <c r="H3" s="25">
        <f t="shared" si="1"/>
        <v>729.92392184499988</v>
      </c>
      <c r="I3" s="25">
        <f t="shared" si="1"/>
        <v>708.02620418964989</v>
      </c>
      <c r="J3" s="25">
        <f t="shared" si="1"/>
        <v>686.78541806396038</v>
      </c>
      <c r="K3" s="25">
        <f t="shared" si="1"/>
        <v>666.18185552204159</v>
      </c>
      <c r="L3" s="25">
        <f t="shared" si="1"/>
        <v>646.19639985638037</v>
      </c>
      <c r="M3" s="25">
        <f t="shared" si="1"/>
        <v>626.81050786068897</v>
      </c>
      <c r="N3" s="25">
        <f t="shared" si="1"/>
        <v>608.00619262486828</v>
      </c>
      <c r="O3" s="25">
        <f t="shared" si="1"/>
        <v>589.7660068461222</v>
      </c>
      <c r="P3" s="25">
        <f t="shared" si="1"/>
        <v>572.07302664073848</v>
      </c>
    </row>
    <row r="4" spans="1:19" x14ac:dyDescent="0.2">
      <c r="A4" s="23" t="s">
        <v>326</v>
      </c>
      <c r="B4" s="24">
        <v>0</v>
      </c>
      <c r="C4" s="23">
        <v>850</v>
      </c>
      <c r="D4" s="25">
        <f t="shared" si="0"/>
        <v>850</v>
      </c>
      <c r="E4" s="25">
        <f t="shared" si="0"/>
        <v>850</v>
      </c>
      <c r="F4" s="25">
        <f t="shared" si="1"/>
        <v>850</v>
      </c>
      <c r="G4" s="25">
        <f t="shared" si="1"/>
        <v>850</v>
      </c>
      <c r="H4" s="25">
        <f t="shared" si="1"/>
        <v>850</v>
      </c>
      <c r="I4" s="25">
        <f t="shared" si="1"/>
        <v>850</v>
      </c>
      <c r="J4" s="25">
        <f t="shared" si="1"/>
        <v>850</v>
      </c>
      <c r="K4" s="25">
        <f t="shared" si="1"/>
        <v>850</v>
      </c>
      <c r="L4" s="25">
        <f t="shared" si="1"/>
        <v>850</v>
      </c>
      <c r="M4" s="25">
        <f t="shared" si="1"/>
        <v>850</v>
      </c>
      <c r="N4" s="25">
        <f t="shared" si="1"/>
        <v>850</v>
      </c>
      <c r="O4" s="25">
        <f t="shared" si="1"/>
        <v>850</v>
      </c>
      <c r="P4" s="25">
        <f t="shared" si="1"/>
        <v>850</v>
      </c>
    </row>
    <row r="5" spans="1:19" x14ac:dyDescent="0.2">
      <c r="A5" s="23" t="s">
        <v>493</v>
      </c>
      <c r="B5" s="23" t="s">
        <v>494</v>
      </c>
      <c r="C5" s="23">
        <v>2017</v>
      </c>
      <c r="D5" s="23">
        <v>2018</v>
      </c>
      <c r="E5" s="23">
        <v>2019</v>
      </c>
      <c r="F5" s="23">
        <v>2020</v>
      </c>
      <c r="G5" s="23">
        <v>2021</v>
      </c>
      <c r="H5" s="23">
        <v>2022</v>
      </c>
      <c r="I5" s="23">
        <v>2023</v>
      </c>
      <c r="J5" s="23">
        <v>2024</v>
      </c>
      <c r="K5" s="23">
        <v>2025</v>
      </c>
      <c r="L5" s="23">
        <v>2026</v>
      </c>
      <c r="M5" s="23">
        <v>2027</v>
      </c>
      <c r="N5" s="23">
        <v>2028</v>
      </c>
      <c r="O5" s="23">
        <v>2029</v>
      </c>
      <c r="P5" s="23">
        <v>2030</v>
      </c>
      <c r="Q5" s="23" t="s">
        <v>495</v>
      </c>
      <c r="R5" s="23" t="str">
        <f>CONCATENATE("Weighted_cost_solarPV_USDpkW_",B3*100, "pc")</f>
        <v>Weighted_cost_solarPV_USDpkW_3pc</v>
      </c>
      <c r="S5" s="23" t="str">
        <f>CONCATENATE("Weighted_cost_solarPV_USDpkW_",B2*100, "pc")</f>
        <v>Weighted_cost_solarPV_USDpkW_5pc</v>
      </c>
    </row>
    <row r="6" spans="1:19" x14ac:dyDescent="0.2">
      <c r="A6" s="23">
        <v>0</v>
      </c>
      <c r="B6" s="24">
        <v>0</v>
      </c>
      <c r="C6" s="23">
        <v>0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5">
        <f>SUM(C6:P6)</f>
        <v>0</v>
      </c>
      <c r="R6" s="23">
        <f>C3</f>
        <v>850</v>
      </c>
      <c r="S6" s="23">
        <f>C2</f>
        <v>850</v>
      </c>
    </row>
    <row r="7" spans="1:19" x14ac:dyDescent="0.2">
      <c r="A7" s="23">
        <v>50</v>
      </c>
      <c r="B7" s="26">
        <f>((A7/C7)^(1/($P$5-$C$5))-1)</f>
        <v>0.11603048646067049</v>
      </c>
      <c r="C7" s="23">
        <v>12</v>
      </c>
      <c r="D7" s="25">
        <f>SUM(C7:$C7)*($B7)</f>
        <v>1.3923658375280459</v>
      </c>
      <c r="E7" s="25">
        <f>SUM($C7:D7)*($B7)</f>
        <v>1.553922722987644</v>
      </c>
      <c r="F7" s="25">
        <f>SUM($C7:E7)*($B7)</f>
        <v>1.7342251324581899</v>
      </c>
      <c r="G7" s="25">
        <f>SUM($C7:F7)*($B7)</f>
        <v>1.9354481182096344</v>
      </c>
      <c r="H7" s="25">
        <f>SUM($C7:G7)*($B7)</f>
        <v>2.1600191048848876</v>
      </c>
      <c r="I7" s="25">
        <f>SUM($C7:H7)*($B7)</f>
        <v>2.410647172389023</v>
      </c>
      <c r="J7" s="25">
        <f>SUM($C7:I7)*($B7)</f>
        <v>2.6903557364863615</v>
      </c>
      <c r="K7" s="25">
        <f>SUM($C7:J7)*($B7)</f>
        <v>3.002519021343129</v>
      </c>
      <c r="L7" s="25">
        <f>SUM($C7:K7)*($B7)</f>
        <v>3.3509027639969888</v>
      </c>
      <c r="M7" s="25">
        <f>SUM($C7:L7)*($B7)</f>
        <v>3.7397096417859648</v>
      </c>
      <c r="N7" s="25">
        <f>SUM($C7:M7)*($B7)</f>
        <v>4.1736299707440496</v>
      </c>
      <c r="O7" s="25">
        <f>SUM($C7:N7)*($B7)</f>
        <v>4.6578982865563159</v>
      </c>
      <c r="P7" s="25">
        <f>SUM($C7:O7)*($B7)</f>
        <v>5.1983564906297692</v>
      </c>
      <c r="Q7" s="25">
        <f>SUM(C7:P7)</f>
        <v>50.000000000000007</v>
      </c>
      <c r="R7" s="25">
        <f>SUMPRODUCT($C$3:$P$3,C7:P7)/SUM(C7:P7)</f>
        <v>705.83738845999585</v>
      </c>
      <c r="S7" s="25">
        <f>SUMPRODUCT($C$2:$P$2,C7:P7)/SUM(C7:P7)</f>
        <v>629.22203798974965</v>
      </c>
    </row>
    <row r="8" spans="1:19" x14ac:dyDescent="0.2">
      <c r="A8" s="23">
        <v>75</v>
      </c>
      <c r="B8" s="26">
        <f t="shared" ref="B8:B16" si="2">((A8/C8)^(1/($P$5-$C$5))-1)</f>
        <v>0.15138757835407213</v>
      </c>
      <c r="C8" s="23">
        <v>12</v>
      </c>
      <c r="D8" s="25">
        <f>SUM(C8:$C8)*($B8)</f>
        <v>1.8166509402488655</v>
      </c>
      <c r="E8" s="25">
        <f>SUM($C8:D8)*($B8)</f>
        <v>2.0916693268077897</v>
      </c>
      <c r="F8" s="25">
        <f>SUM($C8:E8)*($B8)</f>
        <v>2.4083220809107133</v>
      </c>
      <c r="G8" s="25">
        <f>SUM($C8:F8)*($B8)</f>
        <v>2.7729121286364258</v>
      </c>
      <c r="H8" s="25">
        <f>SUM($C8:G8)*($B8)</f>
        <v>3.1926965807793297</v>
      </c>
      <c r="I8" s="25">
        <f>SUM($C8:H8)*($B8)</f>
        <v>3.6760311845628384</v>
      </c>
      <c r="J8" s="25">
        <f>SUM($C8:I8)*($B8)</f>
        <v>4.2325366435478573</v>
      </c>
      <c r="K8" s="25">
        <f>SUM($C8:J8)*($B8)</f>
        <v>4.8732901163094402</v>
      </c>
      <c r="L8" s="25">
        <f>SUM($C8:K8)*($B8)</f>
        <v>5.6110457056343614</v>
      </c>
      <c r="M8" s="25">
        <f>SUM($C8:L8)*($B8)</f>
        <v>6.4604883270443629</v>
      </c>
      <c r="N8" s="25">
        <f>SUM($C8:M8)*($B8)</f>
        <v>7.4385260098603601</v>
      </c>
      <c r="O8" s="25">
        <f>SUM($C8:N8)*($B8)</f>
        <v>8.5646264490168988</v>
      </c>
      <c r="P8" s="25">
        <f>SUM($C8:O8)*($B8)</f>
        <v>9.8612045066408047</v>
      </c>
      <c r="Q8" s="25">
        <f t="shared" ref="Q8:Q16" si="3">SUM(C8:P8)</f>
        <v>75.000000000000057</v>
      </c>
      <c r="R8" s="25">
        <f t="shared" ref="R8:R15" si="4">SUMPRODUCT($C$3:$P$3,C8:P8)/SUM(C8:P8)</f>
        <v>684.03403758613194</v>
      </c>
      <c r="S8" s="25">
        <f t="shared" ref="S8:S16" si="5">SUMPRODUCT($C$2:$P$2,C8:P8)/SUM(C8:P8)</f>
        <v>596.40607399736996</v>
      </c>
    </row>
    <row r="9" spans="1:19" x14ac:dyDescent="0.2">
      <c r="A9" s="23">
        <v>100</v>
      </c>
      <c r="B9" s="26">
        <f t="shared" si="2"/>
        <v>0.17715109743802482</v>
      </c>
      <c r="C9" s="23">
        <v>12</v>
      </c>
      <c r="D9" s="25">
        <f>SUM(C9:$C9)*($B9)</f>
        <v>2.1258131692562978</v>
      </c>
      <c r="E9" s="25">
        <f>SUM($C9:D9)*($B9)</f>
        <v>2.5024033051382566</v>
      </c>
      <c r="F9" s="25">
        <f>SUM($C9:E9)*($B9)</f>
        <v>2.9457067968760389</v>
      </c>
      <c r="G9" s="25">
        <f>SUM($C9:F9)*($B9)</f>
        <v>3.4675419886732777</v>
      </c>
      <c r="H9" s="25">
        <f>SUM($C9:G9)*($B9)</f>
        <v>4.0818208573791805</v>
      </c>
      <c r="I9" s="25">
        <f>SUM($C9:H9)*($B9)</f>
        <v>4.8049199018093214</v>
      </c>
      <c r="J9" s="25">
        <f>SUM($C9:I9)*($B9)</f>
        <v>5.6561167355166493</v>
      </c>
      <c r="K9" s="25">
        <f>SUM($C9:J9)*($B9)</f>
        <v>6.6581040224510026</v>
      </c>
      <c r="L9" s="25">
        <f>SUM($C9:K9)*($B9)</f>
        <v>7.837594456884724</v>
      </c>
      <c r="M9" s="25">
        <f>SUM($C9:L9)*($B9)</f>
        <v>9.2260329161960328</v>
      </c>
      <c r="N9" s="25">
        <f>SUM($C9:M9)*($B9)</f>
        <v>10.8604347722995</v>
      </c>
      <c r="O9" s="25">
        <f>SUM($C9:N9)*($B9)</f>
        <v>12.784372710866444</v>
      </c>
      <c r="P9" s="25">
        <f>SUM($C9:O9)*($B9)</f>
        <v>15.049138366653171</v>
      </c>
      <c r="Q9" s="25">
        <f t="shared" si="3"/>
        <v>99.999999999999901</v>
      </c>
      <c r="R9" s="25">
        <f t="shared" si="4"/>
        <v>671.49866379893615</v>
      </c>
      <c r="S9" s="25">
        <f t="shared" si="5"/>
        <v>577.65903868909618</v>
      </c>
    </row>
    <row r="10" spans="1:19" x14ac:dyDescent="0.2">
      <c r="A10" s="23">
        <v>150</v>
      </c>
      <c r="B10" s="26">
        <f t="shared" si="2"/>
        <v>0.21444455853022926</v>
      </c>
      <c r="C10" s="23">
        <v>12</v>
      </c>
      <c r="D10" s="25">
        <f>SUM(C10:$C10)*($B10)</f>
        <v>2.5733347023627511</v>
      </c>
      <c r="E10" s="25">
        <f>SUM($C10:D10)*($B10)</f>
        <v>3.1251723265614499</v>
      </c>
      <c r="F10" s="25">
        <f>SUM($C10:E10)*($B10)</f>
        <v>3.7953485264618099</v>
      </c>
      <c r="G10" s="25">
        <f>SUM($C10:F10)*($B10)</f>
        <v>4.6092403656872687</v>
      </c>
      <c r="H10" s="25">
        <f>SUM($C10:G10)*($B10)</f>
        <v>5.5976668810667887</v>
      </c>
      <c r="I10" s="25">
        <f>SUM($C10:H10)*($B10)</f>
        <v>6.7980560841764408</v>
      </c>
      <c r="J10" s="25">
        <f>SUM($C10:I10)*($B10)</f>
        <v>8.2558622200113962</v>
      </c>
      <c r="K10" s="25">
        <f>SUM($C10:J10)*($B10)</f>
        <v>10.026286949068139</v>
      </c>
      <c r="L10" s="25">
        <f>SUM($C10:K10)*($B10)</f>
        <v>12.176369627558454</v>
      </c>
      <c r="M10" s="25">
        <f>SUM($C10:L10)*($B10)</f>
        <v>14.78752583684112</v>
      </c>
      <c r="N10" s="25">
        <f>SUM($C10:M10)*($B10)</f>
        <v>17.958630286676872</v>
      </c>
      <c r="O10" s="25">
        <f>SUM($C10:N10)*($B10)</f>
        <v>21.8097608303109</v>
      </c>
      <c r="P10" s="25">
        <f>SUM($C10:O10)*($B10)</f>
        <v>26.486745363216805</v>
      </c>
      <c r="Q10" s="25">
        <f t="shared" si="3"/>
        <v>150.0000000000002</v>
      </c>
      <c r="R10" s="25">
        <f t="shared" si="4"/>
        <v>657.02379911728303</v>
      </c>
      <c r="S10" s="25">
        <f t="shared" si="5"/>
        <v>556.14794822919907</v>
      </c>
    </row>
    <row r="11" spans="1:19" x14ac:dyDescent="0.2">
      <c r="A11" s="23">
        <v>200</v>
      </c>
      <c r="B11" s="26">
        <f t="shared" si="2"/>
        <v>0.24161904447077021</v>
      </c>
      <c r="C11" s="23">
        <v>12</v>
      </c>
      <c r="D11" s="25">
        <f>SUM(C11:$C11)*($B11)</f>
        <v>2.8994285336492425</v>
      </c>
      <c r="E11" s="25">
        <f>SUM($C11:D11)*($B11)</f>
        <v>3.599985685460859</v>
      </c>
      <c r="F11" s="25">
        <f>SUM($C11:E11)*($B11)</f>
        <v>4.4698107868903625</v>
      </c>
      <c r="G11" s="25">
        <f>SUM($C11:F11)*($B11)</f>
        <v>5.5498021981839534</v>
      </c>
      <c r="H11" s="25">
        <f>SUM($C11:G11)*($B11)</f>
        <v>6.8907401023109403</v>
      </c>
      <c r="I11" s="25">
        <f>SUM($C11:H11)*($B11)</f>
        <v>8.555674141527728</v>
      </c>
      <c r="J11" s="25">
        <f>SUM($C11:I11)*($B11)</f>
        <v>10.622887952406934</v>
      </c>
      <c r="K11" s="25">
        <f>SUM($C11:J11)*($B11)</f>
        <v>13.189579988987553</v>
      </c>
      <c r="L11" s="25">
        <f>SUM($C11:K11)*($B11)</f>
        <v>16.376433702897518</v>
      </c>
      <c r="M11" s="25">
        <f>SUM($C11:L11)*($B11)</f>
        <v>20.333291966030533</v>
      </c>
      <c r="N11" s="25">
        <f>SUM($C11:M11)*($B11)</f>
        <v>25.246202541808017</v>
      </c>
      <c r="O11" s="25">
        <f>SUM($C11:N11)*($B11)</f>
        <v>31.346165876475201</v>
      </c>
      <c r="P11" s="25">
        <f>SUM($C11:O11)*($B11)</f>
        <v>38.919996523371402</v>
      </c>
      <c r="Q11" s="25">
        <f t="shared" si="3"/>
        <v>200.00000000000023</v>
      </c>
      <c r="R11" s="25">
        <f t="shared" si="4"/>
        <v>648.56250459370142</v>
      </c>
      <c r="S11" s="25">
        <f t="shared" si="5"/>
        <v>543.65525930763886</v>
      </c>
    </row>
    <row r="12" spans="1:19" x14ac:dyDescent="0.2">
      <c r="A12" s="23">
        <v>225</v>
      </c>
      <c r="B12" s="26">
        <f t="shared" si="2"/>
        <v>0.25291951810912949</v>
      </c>
      <c r="C12" s="23">
        <v>12</v>
      </c>
      <c r="D12" s="25">
        <f>SUM(C12:$C12)*($B12)</f>
        <v>3.0350342173095539</v>
      </c>
      <c r="E12" s="25">
        <f>SUM($C12:D12)*($B12)</f>
        <v>3.8026536089962053</v>
      </c>
      <c r="F12" s="25">
        <f>SUM($C12:E12)*($B12)</f>
        <v>4.7644189273194684</v>
      </c>
      <c r="G12" s="25">
        <f>SUM($C12:F12)*($B12)</f>
        <v>5.969433466487124</v>
      </c>
      <c r="H12" s="25">
        <f>SUM($C12:G12)*($B12)</f>
        <v>7.4792197022155573</v>
      </c>
      <c r="I12" s="25">
        <f>SUM($C12:H12)*($B12)</f>
        <v>9.3708603451322237</v>
      </c>
      <c r="J12" s="25">
        <f>SUM($C12:I12)*($B12)</f>
        <v>11.740933827891016</v>
      </c>
      <c r="K12" s="25">
        <f>SUM($C12:J12)*($B12)</f>
        <v>14.71044515379239</v>
      </c>
      <c r="L12" s="25">
        <f>SUM($C12:K12)*($B12)</f>
        <v>18.431003853260343</v>
      </c>
      <c r="M12" s="25">
        <f>SUM($C12:L12)*($B12)</f>
        <v>23.092564466094458</v>
      </c>
      <c r="N12" s="25">
        <f>SUM($C12:M12)*($B12)</f>
        <v>28.933124742763077</v>
      </c>
      <c r="O12" s="25">
        <f>SUM($C12:N12)*($B12)</f>
        <v>36.25087671009404</v>
      </c>
      <c r="P12" s="25">
        <f>SUM($C12:O12)*($B12)</f>
        <v>45.419430978644492</v>
      </c>
      <c r="Q12" s="25">
        <f t="shared" si="3"/>
        <v>224.99999999999997</v>
      </c>
      <c r="R12" s="25">
        <f t="shared" si="4"/>
        <v>645.45829101340325</v>
      </c>
      <c r="S12" s="25">
        <f t="shared" si="5"/>
        <v>539.08953788513566</v>
      </c>
    </row>
    <row r="13" spans="1:19" x14ac:dyDescent="0.2">
      <c r="A13" s="23">
        <v>300</v>
      </c>
      <c r="B13" s="26">
        <f t="shared" si="2"/>
        <v>0.28095492210541528</v>
      </c>
      <c r="C13" s="23">
        <v>12</v>
      </c>
      <c r="D13" s="25">
        <f>SUM(C13:$C13)*($B13)</f>
        <v>3.3714590652649834</v>
      </c>
      <c r="E13" s="25">
        <f>SUM($C13:D13)*($B13)</f>
        <v>4.3186870843281024</v>
      </c>
      <c r="F13" s="25">
        <f>SUM($C13:E13)*($B13)</f>
        <v>5.5320434777031675</v>
      </c>
      <c r="G13" s="25">
        <f>SUM($C13:F13)*($B13)</f>
        <v>7.0862983220650317</v>
      </c>
      <c r="H13" s="25">
        <f>SUM($C13:G13)*($B13)</f>
        <v>9.0772287151565489</v>
      </c>
      <c r="I13" s="25">
        <f>SUM($C13:H13)*($B13)</f>
        <v>11.627520801756397</v>
      </c>
      <c r="J13" s="25">
        <f>SUM($C13:I13)*($B13)</f>
        <v>14.894330002892961</v>
      </c>
      <c r="K13" s="25">
        <f>SUM($C13:J13)*($B13)</f>
        <v>19.078965328668101</v>
      </c>
      <c r="L13" s="25">
        <f>SUM($C13:K13)*($B13)</f>
        <v>24.439294546435967</v>
      </c>
      <c r="M13" s="25">
        <f>SUM($C13:L13)*($B13)</f>
        <v>31.305634642041184</v>
      </c>
      <c r="N13" s="25">
        <f>SUM($C13:M13)*($B13)</f>
        <v>40.101106784356453</v>
      </c>
      <c r="O13" s="25">
        <f>SUM($C13:N13)*($B13)</f>
        <v>51.367710117296262</v>
      </c>
      <c r="P13" s="25">
        <f>SUM($C13:O13)*($B13)</f>
        <v>65.799721112034788</v>
      </c>
      <c r="Q13" s="25">
        <f t="shared" si="3"/>
        <v>299.99999999999994</v>
      </c>
      <c r="R13" s="25">
        <f t="shared" si="4"/>
        <v>638.63155039798903</v>
      </c>
      <c r="S13" s="25">
        <f t="shared" si="5"/>
        <v>529.08569011364864</v>
      </c>
    </row>
    <row r="14" spans="1:19" x14ac:dyDescent="0.2">
      <c r="A14" s="23">
        <v>400</v>
      </c>
      <c r="B14" s="26">
        <f t="shared" si="2"/>
        <v>0.3096176480213253</v>
      </c>
      <c r="C14" s="23">
        <v>12</v>
      </c>
      <c r="D14" s="25">
        <f>SUM(C14:$C14)*($B14)</f>
        <v>3.7154117762559036</v>
      </c>
      <c r="E14" s="25">
        <f>SUM($C14:D14)*($B14)</f>
        <v>4.8657688318509908</v>
      </c>
      <c r="F14" s="25">
        <f>SUM($C14:E14)*($B14)</f>
        <v>6.3722967333841662</v>
      </c>
      <c r="G14" s="25">
        <f>SUM($C14:F14)*($B14)</f>
        <v>8.3452722604685459</v>
      </c>
      <c r="H14" s="25">
        <f>SUM($C14:G14)*($B14)</f>
        <v>10.929115829852426</v>
      </c>
      <c r="I14" s="25">
        <f>SUM($C14:H14)*($B14)</f>
        <v>14.312962968043969</v>
      </c>
      <c r="J14" s="25">
        <f>SUM($C14:I14)*($B14)</f>
        <v>18.744508898426069</v>
      </c>
      <c r="K14" s="25">
        <f>SUM($C14:J14)*($B14)</f>
        <v>24.548139656871552</v>
      </c>
      <c r="L14" s="25">
        <f>SUM($C14:K14)*($B14)</f>
        <v>32.148676920731148</v>
      </c>
      <c r="M14" s="25">
        <f>SUM($C14:L14)*($B14)</f>
        <v>42.102474655925384</v>
      </c>
      <c r="N14" s="25">
        <f>SUM($C14:M14)*($B14)</f>
        <v>55.13814383477046</v>
      </c>
      <c r="O14" s="25">
        <f>SUM($C14:N14)*($B14)</f>
        <v>72.209886245153626</v>
      </c>
      <c r="P14" s="25">
        <f>SUM($C14:O14)*($B14)</f>
        <v>94.567341388265547</v>
      </c>
      <c r="Q14" s="25">
        <f t="shared" si="3"/>
        <v>399.99999999999983</v>
      </c>
      <c r="R14" s="25">
        <f t="shared" si="4"/>
        <v>632.72942534951483</v>
      </c>
      <c r="S14" s="25">
        <f t="shared" si="5"/>
        <v>520.48229075565689</v>
      </c>
    </row>
    <row r="15" spans="1:19" x14ac:dyDescent="0.2">
      <c r="A15" s="23">
        <v>450</v>
      </c>
      <c r="B15" s="26">
        <f t="shared" si="2"/>
        <v>0.32153700426324217</v>
      </c>
      <c r="C15" s="23">
        <v>12</v>
      </c>
      <c r="D15" s="25">
        <f>SUM(C15:$C15)*($B15)</f>
        <v>3.858444051158906</v>
      </c>
      <c r="E15" s="25">
        <f>SUM($C15:D15)*($B15)</f>
        <v>5.0990765924858685</v>
      </c>
      <c r="F15" s="25">
        <f>SUM($C15:E15)*($B15)</f>
        <v>6.7386184045425956</v>
      </c>
      <c r="G15" s="25">
        <f>SUM($C15:F15)*($B15)</f>
        <v>8.9053335792123693</v>
      </c>
      <c r="H15" s="25">
        <f>SUM($C15:G15)*($B15)</f>
        <v>11.768727860237171</v>
      </c>
      <c r="I15" s="25">
        <f>SUM($C15:H15)*($B15)</f>
        <v>15.552809360407187</v>
      </c>
      <c r="J15" s="25">
        <f>SUM($C15:I15)*($B15)</f>
        <v>20.553613090029824</v>
      </c>
      <c r="K15" s="25">
        <f>SUM($C15:J15)*($B15)</f>
        <v>27.162360269783775</v>
      </c>
      <c r="L15" s="25">
        <f>SUM($C15:K15)*($B15)</f>
        <v>35.896064219648956</v>
      </c>
      <c r="M15" s="25">
        <f>SUM($C15:L15)*($B15)</f>
        <v>47.43797717367584</v>
      </c>
      <c r="N15" s="25">
        <f>SUM($C15:M15)*($B15)</f>
        <v>62.691042242407633</v>
      </c>
      <c r="O15" s="25">
        <f>SUM($C15:N15)*($B15)</f>
        <v>82.848532159171754</v>
      </c>
      <c r="P15" s="25">
        <f>SUM($C15:O15)*($B15)</f>
        <v>109.48740099723874</v>
      </c>
      <c r="Q15" s="25">
        <f t="shared" si="3"/>
        <v>450.00000000000068</v>
      </c>
      <c r="R15" s="25">
        <f t="shared" si="4"/>
        <v>630.54313384224497</v>
      </c>
      <c r="S15" s="25">
        <f t="shared" si="5"/>
        <v>517.30723416014405</v>
      </c>
    </row>
    <row r="16" spans="1:19" x14ac:dyDescent="0.2">
      <c r="A16" s="23">
        <v>600</v>
      </c>
      <c r="B16" s="26">
        <f t="shared" si="2"/>
        <v>0.35110779733898223</v>
      </c>
      <c r="C16" s="23">
        <v>12</v>
      </c>
      <c r="D16" s="25">
        <f>SUM(C16:$C16)*($B16)</f>
        <v>4.2132935680677868</v>
      </c>
      <c r="E16" s="25">
        <f>SUM($C16:D16)*($B16)</f>
        <v>5.6926137922945683</v>
      </c>
      <c r="F16" s="25">
        <f>SUM($C16:E16)*($B16)</f>
        <v>7.6913348820086256</v>
      </c>
      <c r="G16" s="25">
        <f>SUM($C16:F16)*($B16)</f>
        <v>10.391822531027154</v>
      </c>
      <c r="H16" s="25">
        <f>SUM($C16:G16)*($B16)</f>
        <v>14.040472450233706</v>
      </c>
      <c r="I16" s="25">
        <f>SUM($C16:H16)*($B16)</f>
        <v>18.970191805833924</v>
      </c>
      <c r="J16" s="25">
        <f>SUM($C16:I16)*($B16)</f>
        <v>25.630774065878285</v>
      </c>
      <c r="K16" s="25">
        <f>SUM($C16:J16)*($B16)</f>
        <v>34.629938692241922</v>
      </c>
      <c r="L16" s="25">
        <f>SUM($C16:K16)*($B16)</f>
        <v>46.788780188458979</v>
      </c>
      <c r="M16" s="25">
        <f>SUM($C16:L16)*($B16)</f>
        <v>63.216685740606628</v>
      </c>
      <c r="N16" s="25">
        <f>SUM($C16:M16)*($B16)</f>
        <v>85.412557026061663</v>
      </c>
      <c r="O16" s="25">
        <f>SUM($C16:N16)*($B16)</f>
        <v>115.4015717885724</v>
      </c>
      <c r="P16" s="25">
        <f>SUM($C16:O16)*($B16)</f>
        <v>155.91996346871449</v>
      </c>
      <c r="Q16" s="25">
        <f t="shared" si="3"/>
        <v>600.00000000000023</v>
      </c>
      <c r="R16" s="25">
        <f>SUMPRODUCT($C$3:$P$3,C16:P16)/SUM(C16:P16)</f>
        <v>625.69039509459515</v>
      </c>
      <c r="S16" s="25">
        <f t="shared" si="5"/>
        <v>510.2849094612983</v>
      </c>
    </row>
    <row r="20" spans="1:19" x14ac:dyDescent="0.2">
      <c r="B20" s="24">
        <v>0.05</v>
      </c>
      <c r="C20" s="23">
        <v>1250</v>
      </c>
      <c r="D20" s="25">
        <f t="shared" ref="D20:E22" si="6">C20*(1-$B20)</f>
        <v>1187.5</v>
      </c>
      <c r="E20" s="25">
        <f t="shared" si="6"/>
        <v>1128.125</v>
      </c>
      <c r="F20" s="25">
        <f t="shared" ref="F20:P22" si="7">E20*(1-$B20)</f>
        <v>1071.71875</v>
      </c>
      <c r="G20" s="25">
        <f t="shared" si="7"/>
        <v>1018.1328125</v>
      </c>
      <c r="H20" s="25">
        <f t="shared" si="7"/>
        <v>967.22617187499998</v>
      </c>
      <c r="I20" s="25">
        <f t="shared" si="7"/>
        <v>918.86486328124988</v>
      </c>
      <c r="J20" s="25">
        <f t="shared" si="7"/>
        <v>872.92162011718733</v>
      </c>
      <c r="K20" s="25">
        <f t="shared" si="7"/>
        <v>829.27553911132793</v>
      </c>
      <c r="L20" s="25">
        <f t="shared" si="7"/>
        <v>787.81176215576147</v>
      </c>
      <c r="M20" s="25">
        <f t="shared" si="7"/>
        <v>748.42117404797341</v>
      </c>
      <c r="N20" s="25">
        <f t="shared" si="7"/>
        <v>711.00011534557473</v>
      </c>
      <c r="O20" s="25">
        <f t="shared" si="7"/>
        <v>675.45010957829595</v>
      </c>
      <c r="P20" s="25">
        <f t="shared" si="7"/>
        <v>641.67760409938114</v>
      </c>
    </row>
    <row r="21" spans="1:19" x14ac:dyDescent="0.2">
      <c r="A21" s="23" t="s">
        <v>159</v>
      </c>
      <c r="B21" s="24">
        <v>0.03</v>
      </c>
      <c r="C21" s="23">
        <v>1250</v>
      </c>
      <c r="D21" s="25">
        <f t="shared" si="6"/>
        <v>1212.5</v>
      </c>
      <c r="E21" s="25">
        <f t="shared" si="6"/>
        <v>1176.125</v>
      </c>
      <c r="F21" s="25">
        <f t="shared" si="7"/>
        <v>1140.8412499999999</v>
      </c>
      <c r="G21" s="25">
        <f t="shared" si="7"/>
        <v>1106.6160124999999</v>
      </c>
      <c r="H21" s="25">
        <f t="shared" si="7"/>
        <v>1073.417532125</v>
      </c>
      <c r="I21" s="25">
        <f t="shared" si="7"/>
        <v>1041.2150061612499</v>
      </c>
      <c r="J21" s="25">
        <f t="shared" si="7"/>
        <v>1009.9785559764124</v>
      </c>
      <c r="K21" s="25">
        <f t="shared" si="7"/>
        <v>979.67919929712002</v>
      </c>
      <c r="L21" s="25">
        <f t="shared" si="7"/>
        <v>950.28882331820637</v>
      </c>
      <c r="M21" s="25">
        <f t="shared" si="7"/>
        <v>921.78015861866015</v>
      </c>
      <c r="N21" s="25">
        <f t="shared" si="7"/>
        <v>894.12675386010028</v>
      </c>
      <c r="O21" s="25">
        <f t="shared" si="7"/>
        <v>867.30295124429722</v>
      </c>
      <c r="P21" s="25">
        <f t="shared" si="7"/>
        <v>841.28386270696831</v>
      </c>
    </row>
    <row r="22" spans="1:19" x14ac:dyDescent="0.2">
      <c r="A22" s="23" t="s">
        <v>326</v>
      </c>
      <c r="B22" s="24">
        <v>0</v>
      </c>
      <c r="C22" s="23">
        <v>1250</v>
      </c>
      <c r="D22" s="25">
        <f t="shared" si="6"/>
        <v>1250</v>
      </c>
      <c r="E22" s="25">
        <f t="shared" si="6"/>
        <v>1250</v>
      </c>
      <c r="F22" s="25">
        <f t="shared" si="7"/>
        <v>1250</v>
      </c>
      <c r="G22" s="25">
        <f t="shared" si="7"/>
        <v>1250</v>
      </c>
      <c r="H22" s="25">
        <f t="shared" si="7"/>
        <v>1250</v>
      </c>
      <c r="I22" s="25">
        <f t="shared" si="7"/>
        <v>1250</v>
      </c>
      <c r="J22" s="25">
        <f t="shared" si="7"/>
        <v>1250</v>
      </c>
      <c r="K22" s="25">
        <f t="shared" si="7"/>
        <v>1250</v>
      </c>
      <c r="L22" s="25">
        <f t="shared" si="7"/>
        <v>1250</v>
      </c>
      <c r="M22" s="25">
        <f t="shared" si="7"/>
        <v>1250</v>
      </c>
      <c r="N22" s="25">
        <f t="shared" si="7"/>
        <v>1250</v>
      </c>
      <c r="O22" s="25">
        <f t="shared" si="7"/>
        <v>1250</v>
      </c>
      <c r="P22" s="25">
        <f t="shared" si="7"/>
        <v>1250</v>
      </c>
    </row>
    <row r="23" spans="1:19" x14ac:dyDescent="0.2">
      <c r="A23" s="23" t="s">
        <v>496</v>
      </c>
      <c r="B23" s="23" t="s">
        <v>497</v>
      </c>
      <c r="C23" s="23">
        <v>2017</v>
      </c>
      <c r="D23" s="23">
        <v>2018</v>
      </c>
      <c r="E23" s="23">
        <v>2019</v>
      </c>
      <c r="F23" s="23">
        <v>2020</v>
      </c>
      <c r="G23" s="23">
        <v>2021</v>
      </c>
      <c r="H23" s="23">
        <v>2022</v>
      </c>
      <c r="I23" s="23">
        <v>2023</v>
      </c>
      <c r="J23" s="23">
        <v>2024</v>
      </c>
      <c r="K23" s="23">
        <v>2025</v>
      </c>
      <c r="L23" s="23">
        <v>2026</v>
      </c>
      <c r="M23" s="23">
        <v>2027</v>
      </c>
      <c r="N23" s="23">
        <v>2028</v>
      </c>
      <c r="O23" s="23">
        <v>2029</v>
      </c>
      <c r="P23" s="23">
        <v>2030</v>
      </c>
      <c r="Q23" s="23" t="s">
        <v>498</v>
      </c>
      <c r="R23" s="23" t="str">
        <f>CONCATENATE("Weighted_cost_wind_USDpkW_",B21*100, "pc")</f>
        <v>Weighted_cost_wind_USDpkW_3pc</v>
      </c>
      <c r="S23" s="23" t="str">
        <f>CONCATENATE("Weighted_cost_wind_USDpkW_",B20*100, "pc")</f>
        <v>Weighted_cost_wind_USDpkW_5pc</v>
      </c>
    </row>
    <row r="24" spans="1:19" x14ac:dyDescent="0.2">
      <c r="A24" s="23">
        <v>0</v>
      </c>
      <c r="B24" s="26">
        <v>0</v>
      </c>
      <c r="C24" s="23">
        <v>0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5">
        <f>SUM(C24:P24)</f>
        <v>0</v>
      </c>
      <c r="R24" s="25">
        <f>C21</f>
        <v>1250</v>
      </c>
      <c r="S24" s="23">
        <f>C20</f>
        <v>1250</v>
      </c>
    </row>
    <row r="25" spans="1:19" x14ac:dyDescent="0.2">
      <c r="A25" s="23">
        <v>50</v>
      </c>
      <c r="B25" s="26">
        <f>((A25/C25)^(1/($P$5-$C$5))-1)</f>
        <v>3.0110774665771611E-2</v>
      </c>
      <c r="C25" s="23">
        <v>34</v>
      </c>
      <c r="D25" s="25">
        <f>SUM(C25:$C25)*($B25)</f>
        <v>1.0237663386362348</v>
      </c>
      <c r="E25" s="25">
        <f>SUM($C25:D25)*($B25)</f>
        <v>1.0545927361693126</v>
      </c>
      <c r="F25" s="25">
        <f>SUM($C25:E25)*($B25)</f>
        <v>1.0863473404122661</v>
      </c>
      <c r="G25" s="25">
        <f>SUM($C25:F25)*($B25)</f>
        <v>1.1190581003881803</v>
      </c>
      <c r="H25" s="25">
        <f>SUM($C25:G25)*($B25)</f>
        <v>1.1527538066868752</v>
      </c>
      <c r="I25" s="25">
        <f>SUM($C25:H25)*($B25)</f>
        <v>1.1874641168051341</v>
      </c>
      <c r="J25" s="25">
        <f>SUM($C25:I25)*($B25)</f>
        <v>1.2232195812499429</v>
      </c>
      <c r="K25" s="25">
        <f>SUM($C25:J25)*($B25)</f>
        <v>1.2600516704277194</v>
      </c>
      <c r="L25" s="25">
        <f>SUM($C25:K25)*($B25)</f>
        <v>1.2979928023431977</v>
      </c>
      <c r="M25" s="25">
        <f>SUM($C25:L25)*($B25)</f>
        <v>1.337076371132347</v>
      </c>
      <c r="N25" s="25">
        <f>SUM($C25:M25)*($B25)</f>
        <v>1.3773367764544409</v>
      </c>
      <c r="O25" s="25">
        <f>SUM($C25:N25)*($B25)</f>
        <v>1.4188094537691407</v>
      </c>
      <c r="P25" s="25">
        <f>SUM($C25:O25)*($B25)</f>
        <v>1.4615309055252499</v>
      </c>
      <c r="Q25" s="25">
        <f>SUM(C25:P25)</f>
        <v>50.000000000000043</v>
      </c>
      <c r="R25" s="25">
        <f>SUMPRODUCT($C$21:$P$21,C25:P25)/SUM(C25:P25)</f>
        <v>1171.2120555049391</v>
      </c>
      <c r="S25" s="25">
        <f>SUMPRODUCT($C$20:$P$20,C25:P25)/SUM(C25:P25)</f>
        <v>1128.5312923270249</v>
      </c>
    </row>
    <row r="26" spans="1:19" x14ac:dyDescent="0.2">
      <c r="A26" s="23">
        <v>75</v>
      </c>
      <c r="B26" s="26">
        <f t="shared" ref="B26:B34" si="8">((A26/C26)^(1/($P$5-$C$5))-1)</f>
        <v>6.274583415751267E-2</v>
      </c>
      <c r="C26" s="23">
        <v>34</v>
      </c>
      <c r="D26" s="25">
        <f>SUM(C26:$C26)*($B26)</f>
        <v>2.1333583613554308</v>
      </c>
      <c r="E26" s="25">
        <f>SUM($C26:D26)*($B26)</f>
        <v>2.267217711295582</v>
      </c>
      <c r="F26" s="25">
        <f>SUM($C26:E26)*($B26)</f>
        <v>2.4094761778075098</v>
      </c>
      <c r="G26" s="25">
        <f>SUM($C26:F26)*($B26)</f>
        <v>2.5606607704666975</v>
      </c>
      <c r="H26" s="25">
        <f>SUM($C26:G26)*($B26)</f>
        <v>2.7213315665040492</v>
      </c>
      <c r="I26" s="25">
        <f>SUM($C26:H26)*($B26)</f>
        <v>2.8920837856635164</v>
      </c>
      <c r="J26" s="25">
        <f>SUM($C26:I26)*($B26)</f>
        <v>3.0735499952483911</v>
      </c>
      <c r="K26" s="25">
        <f>SUM($C26:J26)*($B26)</f>
        <v>3.2664024535250702</v>
      </c>
      <c r="L26" s="25">
        <f>SUM($C26:K26)*($B26)</f>
        <v>3.4713556001656469</v>
      </c>
      <c r="M26" s="25">
        <f>SUM($C26:L26)*($B26)</f>
        <v>3.689168702955393</v>
      </c>
      <c r="N26" s="25">
        <f>SUM($C26:M26)*($B26)</f>
        <v>3.9206486705701185</v>
      </c>
      <c r="O26" s="25">
        <f>SUM($C26:N26)*($B26)</f>
        <v>4.166653041843583</v>
      </c>
      <c r="P26" s="25">
        <f>SUM($C26:O26)*($B26)</f>
        <v>4.428093162598997</v>
      </c>
      <c r="Q26" s="25">
        <f t="shared" ref="Q26:Q34" si="9">SUM(C26:P26)</f>
        <v>74.999999999999986</v>
      </c>
      <c r="R26" s="25">
        <f t="shared" ref="R26:R34" si="10">SUMPRODUCT($C$21:$P$21,C26:P26)/SUM(C26:P26)</f>
        <v>1108.2181634204294</v>
      </c>
      <c r="S26" s="25">
        <f t="shared" ref="S26:S34" si="11">SUMPRODUCT($C$20:$P$20,C26:P26)/SUM(C26:P26)</f>
        <v>1032.012235110707</v>
      </c>
    </row>
    <row r="27" spans="1:19" x14ac:dyDescent="0.2">
      <c r="A27" s="23">
        <v>100</v>
      </c>
      <c r="B27" s="26">
        <f t="shared" si="8"/>
        <v>8.6525900135685507E-2</v>
      </c>
      <c r="C27" s="23">
        <v>34</v>
      </c>
      <c r="D27" s="25">
        <f>SUM(C27:$C27)*($B27)</f>
        <v>2.9418806046133072</v>
      </c>
      <c r="E27" s="25">
        <f>SUM($C27:D27)*($B27)</f>
        <v>3.1964294720191888</v>
      </c>
      <c r="F27" s="25">
        <f>SUM($C27:E27)*($B27)</f>
        <v>3.4730034093058828</v>
      </c>
      <c r="G27" s="25">
        <f>SUM($C27:F27)*($B27)</f>
        <v>3.7735081554703789</v>
      </c>
      <c r="H27" s="25">
        <f>SUM($C27:G27)*($B27)</f>
        <v>4.1000143452918039</v>
      </c>
      <c r="I27" s="25">
        <f>SUM($C27:H27)*($B27)</f>
        <v>4.4547717770874007</v>
      </c>
      <c r="J27" s="25">
        <f>SUM($C27:I27)*($B27)</f>
        <v>4.8402249149989354</v>
      </c>
      <c r="K27" s="25">
        <f>SUM($C27:J27)*($B27)</f>
        <v>5.2590297326283899</v>
      </c>
      <c r="L27" s="25">
        <f>SUM($C27:K27)*($B27)</f>
        <v>5.7140720140843948</v>
      </c>
      <c r="M27" s="25">
        <f>SUM($C27:L27)*($B27)</f>
        <v>6.2084872385431771</v>
      </c>
      <c r="N27" s="25">
        <f>SUM($C27:M27)*($B27)</f>
        <v>6.7456821853390414</v>
      </c>
      <c r="O27" s="25">
        <f>SUM($C27:N27)*($B27)</f>
        <v>7.3293584084547589</v>
      </c>
      <c r="P27" s="25">
        <f>SUM($C27:O27)*($B27)</f>
        <v>7.9635377421633633</v>
      </c>
      <c r="Q27" s="25">
        <f t="shared" si="9"/>
        <v>100.00000000000003</v>
      </c>
      <c r="R27" s="25">
        <f t="shared" si="10"/>
        <v>1072.852328640769</v>
      </c>
      <c r="S27" s="25">
        <f t="shared" si="11"/>
        <v>978.13763712149307</v>
      </c>
    </row>
    <row r="28" spans="1:19" x14ac:dyDescent="0.2">
      <c r="A28" s="23">
        <v>150</v>
      </c>
      <c r="B28" s="26">
        <f t="shared" si="8"/>
        <v>0.12094825379153451</v>
      </c>
      <c r="C28" s="23">
        <v>34</v>
      </c>
      <c r="D28" s="25">
        <f>SUM(C28:$C28)*($B28)</f>
        <v>4.1122406289121738</v>
      </c>
      <c r="E28" s="25">
        <f>SUM($C28:D28)*($B28)</f>
        <v>4.6096089521497028</v>
      </c>
      <c r="F28" s="25">
        <f>SUM($C28:E28)*($B28)</f>
        <v>5.1671331055740337</v>
      </c>
      <c r="G28" s="25">
        <f>SUM($C28:F28)*($B28)</f>
        <v>5.7920888318016415</v>
      </c>
      <c r="H28" s="25">
        <f>SUM($C28:G28)*($B28)</f>
        <v>6.4926318618134991</v>
      </c>
      <c r="I28" s="25">
        <f>SUM($C28:H28)*($B28)</f>
        <v>7.2779043480111216</v>
      </c>
      <c r="J28" s="25">
        <f>SUM($C28:I28)*($B28)</f>
        <v>8.1581541701648845</v>
      </c>
      <c r="K28" s="25">
        <f>SUM($C28:J28)*($B28)</f>
        <v>9.1448686712084513</v>
      </c>
      <c r="L28" s="25">
        <f>SUM($C28:K28)*($B28)</f>
        <v>10.250924568144026</v>
      </c>
      <c r="M28" s="25">
        <f>SUM($C28:L28)*($B28)</f>
        <v>11.490755994409785</v>
      </c>
      <c r="N28" s="25">
        <f>SUM($C28:M28)*($B28)</f>
        <v>12.880542866678256</v>
      </c>
      <c r="O28" s="25">
        <f>SUM($C28:N28)*($B28)</f>
        <v>14.438422034289998</v>
      </c>
      <c r="P28" s="25">
        <f>SUM($C28:O28)*($B28)</f>
        <v>16.184723966842586</v>
      </c>
      <c r="Q28" s="25">
        <f t="shared" si="9"/>
        <v>150.00000000000017</v>
      </c>
      <c r="R28" s="25">
        <f t="shared" si="10"/>
        <v>1032.9759496904005</v>
      </c>
      <c r="S28" s="25">
        <f t="shared" si="11"/>
        <v>917.74819477408266</v>
      </c>
    </row>
    <row r="29" spans="1:19" x14ac:dyDescent="0.2">
      <c r="A29" s="23">
        <v>200</v>
      </c>
      <c r="B29" s="26">
        <f t="shared" si="8"/>
        <v>0.14603066068180648</v>
      </c>
      <c r="C29" s="23">
        <v>34</v>
      </c>
      <c r="D29" s="25">
        <f>SUM(C29:$C29)*($B29)</f>
        <v>4.9650424631814207</v>
      </c>
      <c r="E29" s="25">
        <f>SUM($C29:D29)*($B29)</f>
        <v>5.6900908943930268</v>
      </c>
      <c r="F29" s="25">
        <f>SUM($C29:E29)*($B29)</f>
        <v>6.5210186270407711</v>
      </c>
      <c r="G29" s="25">
        <f>SUM($C29:F29)*($B29)</f>
        <v>7.4732872854659016</v>
      </c>
      <c r="H29" s="25">
        <f>SUM($C29:G29)*($B29)</f>
        <v>8.5646163652274314</v>
      </c>
      <c r="I29" s="25">
        <f>SUM($C29:H29)*($B29)</f>
        <v>9.8153129515278064</v>
      </c>
      <c r="J29" s="25">
        <f>SUM($C29:I29)*($B29)</f>
        <v>11.248649586638102</v>
      </c>
      <c r="K29" s="25">
        <f>SUM($C29:J29)*($B29)</f>
        <v>12.891297317552995</v>
      </c>
      <c r="L29" s="25">
        <f>SUM($C29:K29)*($B29)</f>
        <v>14.773821981880859</v>
      </c>
      <c r="M29" s="25">
        <f>SUM($C29:L29)*($B29)</f>
        <v>16.931252966690316</v>
      </c>
      <c r="N29" s="25">
        <f>SUM($C29:M29)*($B29)</f>
        <v>19.403735023586901</v>
      </c>
      <c r="O29" s="25">
        <f>SUM($C29:N29)*($B29)</f>
        <v>22.237275268776003</v>
      </c>
      <c r="P29" s="25">
        <f>SUM($C29:O29)*($B29)</f>
        <v>25.484599268038561</v>
      </c>
      <c r="Q29" s="25">
        <f t="shared" si="9"/>
        <v>200.00000000000011</v>
      </c>
      <c r="R29" s="25">
        <f t="shared" si="10"/>
        <v>1010.2364794858461</v>
      </c>
      <c r="S29" s="25">
        <f t="shared" si="11"/>
        <v>883.52468153451491</v>
      </c>
    </row>
    <row r="30" spans="1:19" x14ac:dyDescent="0.2">
      <c r="A30" s="23">
        <v>225</v>
      </c>
      <c r="B30" s="26">
        <f t="shared" si="8"/>
        <v>0.1564611460448162</v>
      </c>
      <c r="C30" s="23">
        <v>34</v>
      </c>
      <c r="D30" s="25">
        <f>SUM(C30:$C30)*($B30)</f>
        <v>5.3196789655237513</v>
      </c>
      <c r="E30" s="25">
        <f>SUM($C30:D30)*($B30)</f>
        <v>6.1520020330600991</v>
      </c>
      <c r="F30" s="25">
        <f>SUM($C30:E30)*($B30)</f>
        <v>7.1145513216227219</v>
      </c>
      <c r="G30" s="25">
        <f>SUM($C30:F30)*($B30)</f>
        <v>8.2277021749984733</v>
      </c>
      <c r="H30" s="25">
        <f>SUM($C30:G30)*($B30)</f>
        <v>9.5150178866141619</v>
      </c>
      <c r="I30" s="25">
        <f>SUM($C30:H30)*($B30)</f>
        <v>11.003748489790739</v>
      </c>
      <c r="J30" s="25">
        <f>SUM($C30:I30)*($B30)</f>
        <v>12.725407589292313</v>
      </c>
      <c r="K30" s="25">
        <f>SUM($C30:J30)*($B30)</f>
        <v>14.716439444600391</v>
      </c>
      <c r="L30" s="25">
        <f>SUM($C30:K30)*($B30)</f>
        <v>17.018990425801707</v>
      </c>
      <c r="M30" s="25">
        <f>SUM($C30:L30)*($B30)</f>
        <v>19.681801172348397</v>
      </c>
      <c r="N30" s="25">
        <f>SUM($C30:M30)*($B30)</f>
        <v>22.761238340000233</v>
      </c>
      <c r="O30" s="25">
        <f>SUM($C30:N30)*($B30)</f>
        <v>26.322487776075878</v>
      </c>
      <c r="P30" s="25">
        <f>SUM($C30:O30)*($B30)</f>
        <v>30.440934380271379</v>
      </c>
      <c r="Q30" s="25">
        <f t="shared" si="9"/>
        <v>225.00000000000026</v>
      </c>
      <c r="R30" s="25">
        <f t="shared" si="10"/>
        <v>1002.0154165794322</v>
      </c>
      <c r="S30" s="25">
        <f t="shared" si="11"/>
        <v>871.19782340947734</v>
      </c>
    </row>
    <row r="31" spans="1:19" x14ac:dyDescent="0.2">
      <c r="A31" s="23">
        <v>300</v>
      </c>
      <c r="B31" s="26">
        <f t="shared" si="8"/>
        <v>0.1823381915906499</v>
      </c>
      <c r="C31" s="23">
        <v>34</v>
      </c>
      <c r="D31" s="25">
        <f>SUM(C31:$C31)*($B31)</f>
        <v>6.1994985140820962</v>
      </c>
      <c r="E31" s="25">
        <f>SUM($C31:D31)*($B31)</f>
        <v>7.3299038619087469</v>
      </c>
      <c r="F31" s="25">
        <f>SUM($C31:E31)*($B31)</f>
        <v>8.6664252766225083</v>
      </c>
      <c r="G31" s="25">
        <f>SUM($C31:F31)*($B31)</f>
        <v>10.246645589117353</v>
      </c>
      <c r="H31" s="25">
        <f>SUM($C31:G31)*($B31)</f>
        <v>12.115000415707321</v>
      </c>
      <c r="I31" s="25">
        <f>SUM($C31:H31)*($B31)</f>
        <v>14.324027682627364</v>
      </c>
      <c r="J31" s="25">
        <f>SUM($C31:I31)*($B31)</f>
        <v>16.935844986572047</v>
      </c>
      <c r="K31" s="25">
        <f>SUM($C31:J31)*($B31)</f>
        <v>20.023896334483165</v>
      </c>
      <c r="L31" s="25">
        <f>SUM($C31:K31)*($B31)</f>
        <v>23.67501738071147</v>
      </c>
      <c r="M31" s="25">
        <f>SUM($C31:L31)*($B31)</f>
        <v>27.991877235787605</v>
      </c>
      <c r="N31" s="25">
        <f>SUM($C31:M31)*($B31)</f>
        <v>33.095865510188595</v>
      </c>
      <c r="O31" s="25">
        <f>SUM($C31:N31)*($B31)</f>
        <v>39.130505776443748</v>
      </c>
      <c r="P31" s="25">
        <f>SUM($C31:O31)*($B31)</f>
        <v>46.265491435747975</v>
      </c>
      <c r="Q31" s="25">
        <f t="shared" si="9"/>
        <v>300</v>
      </c>
      <c r="R31" s="25">
        <f t="shared" si="10"/>
        <v>984.19116266284482</v>
      </c>
      <c r="S31" s="25">
        <f t="shared" si="11"/>
        <v>844.56907271257194</v>
      </c>
    </row>
    <row r="32" spans="1:19" x14ac:dyDescent="0.2">
      <c r="A32" s="23">
        <v>400</v>
      </c>
      <c r="B32" s="26">
        <f t="shared" si="8"/>
        <v>0.2087942634950184</v>
      </c>
      <c r="C32" s="23">
        <v>34</v>
      </c>
      <c r="D32" s="25">
        <f>SUM(C32:$C32)*($B32)</f>
        <v>7.0990049588306254</v>
      </c>
      <c r="E32" s="25">
        <f>SUM($C32:D32)*($B32)</f>
        <v>8.5812364707571493</v>
      </c>
      <c r="F32" s="25">
        <f>SUM($C32:E32)*($B32)</f>
        <v>10.372949419545479</v>
      </c>
      <c r="G32" s="25">
        <f>SUM($C32:F32)*($B32)</f>
        <v>12.538761753870556</v>
      </c>
      <c r="H32" s="25">
        <f>SUM($C32:G32)*($B32)</f>
        <v>15.156783279409463</v>
      </c>
      <c r="I32" s="25">
        <f>SUM($C32:H32)*($B32)</f>
        <v>18.321432681187371</v>
      </c>
      <c r="J32" s="25">
        <f>SUM($C32:I32)*($B32)</f>
        <v>22.146842724029451</v>
      </c>
      <c r="K32" s="25">
        <f>SUM($C32:J32)*($B32)</f>
        <v>26.770976439333186</v>
      </c>
      <c r="L32" s="25">
        <f>SUM($C32:K32)*($B32)</f>
        <v>32.360602748026253</v>
      </c>
      <c r="M32" s="25">
        <f>SUM($C32:L32)*($B32)</f>
        <v>39.11731096505526</v>
      </c>
      <c r="N32" s="25">
        <f>SUM($C32:M32)*($B32)</f>
        <v>47.28478109790958</v>
      </c>
      <c r="O32" s="25">
        <f>SUM($C32:N32)*($B32)</f>
        <v>57.157572141770778</v>
      </c>
      <c r="P32" s="25">
        <f>SUM($C32:O32)*($B32)</f>
        <v>69.091745320275194</v>
      </c>
      <c r="Q32" s="25">
        <f t="shared" si="9"/>
        <v>400.0000000000004</v>
      </c>
      <c r="R32" s="25">
        <f t="shared" si="10"/>
        <v>969.09328836441841</v>
      </c>
      <c r="S32" s="25">
        <f t="shared" si="11"/>
        <v>822.13300736928477</v>
      </c>
    </row>
    <row r="33" spans="1:19" x14ac:dyDescent="0.2">
      <c r="A33" s="23">
        <v>450</v>
      </c>
      <c r="B33" s="26">
        <f t="shared" si="8"/>
        <v>0.21979598561715918</v>
      </c>
      <c r="C33" s="23">
        <v>34</v>
      </c>
      <c r="D33" s="25">
        <f>SUM(C33:$C33)*($B33)</f>
        <v>7.4730635109834118</v>
      </c>
      <c r="E33" s="25">
        <f>SUM($C33:D33)*($B33)</f>
        <v>9.1156128709596391</v>
      </c>
      <c r="F33" s="25">
        <f>SUM($C33:E33)*($B33)</f>
        <v>11.119187986436675</v>
      </c>
      <c r="G33" s="25">
        <f>SUM($C33:F33)*($B33)</f>
        <v>13.563140869177998</v>
      </c>
      <c r="H33" s="25">
        <f>SUM($C33:G33)*($B33)</f>
        <v>16.544264784583348</v>
      </c>
      <c r="I33" s="25">
        <f>SUM($C33:H33)*($B33)</f>
        <v>20.180627769222106</v>
      </c>
      <c r="J33" s="25">
        <f>SUM($C33:I33)*($B33)</f>
        <v>24.61624874013129</v>
      </c>
      <c r="K33" s="25">
        <f>SUM($C33:J33)*($B33)</f>
        <v>30.026801394165599</v>
      </c>
      <c r="L33" s="25">
        <f>SUM($C33:K33)*($B33)</f>
        <v>36.626571801526914</v>
      </c>
      <c r="M33" s="25">
        <f>SUM($C33:L33)*($B33)</f>
        <v>44.676945250421177</v>
      </c>
      <c r="N33" s="25">
        <f>SUM($C33:M33)*($B33)</f>
        <v>54.496758466101355</v>
      </c>
      <c r="O33" s="25">
        <f>SUM($C33:N33)*($B33)</f>
        <v>66.474927206098371</v>
      </c>
      <c r="P33" s="25">
        <f>SUM($C33:O33)*($B33)</f>
        <v>81.085849350191666</v>
      </c>
      <c r="Q33" s="25">
        <f t="shared" si="9"/>
        <v>449.99999999999955</v>
      </c>
      <c r="R33" s="25">
        <f t="shared" si="10"/>
        <v>963.58148816072071</v>
      </c>
      <c r="S33" s="25">
        <f t="shared" si="11"/>
        <v>813.97352413868964</v>
      </c>
    </row>
    <row r="34" spans="1:19" x14ac:dyDescent="0.2">
      <c r="A34" s="23">
        <v>600</v>
      </c>
      <c r="B34" s="26">
        <f t="shared" si="8"/>
        <v>0.24709021541847531</v>
      </c>
      <c r="C34" s="23">
        <v>34</v>
      </c>
      <c r="D34" s="25">
        <f>SUM(C34:$C34)*($B34)</f>
        <v>8.4010673242281602</v>
      </c>
      <c r="E34" s="25">
        <f>SUM($C34:D34)*($B34)</f>
        <v>10.47688885911681</v>
      </c>
      <c r="F34" s="25">
        <f>SUM($C34:E34)*($B34)</f>
        <v>13.065625584231407</v>
      </c>
      <c r="G34" s="25">
        <f>SUM($C34:F34)*($B34)</f>
        <v>16.294013824416286</v>
      </c>
      <c r="H34" s="25">
        <f>SUM($C34:G34)*($B34)</f>
        <v>20.320105210322922</v>
      </c>
      <c r="I34" s="25">
        <f>SUM($C34:H34)*($B34)</f>
        <v>25.341004384067695</v>
      </c>
      <c r="J34" s="25">
        <f>SUM($C34:I34)*($B34)</f>
        <v>31.602518616247508</v>
      </c>
      <c r="K34" s="25">
        <f>SUM($C34:J34)*($B34)</f>
        <v>39.411191748902475</v>
      </c>
      <c r="L34" s="25">
        <f>SUM($C34:K34)*($B34)</f>
        <v>49.149311608037621</v>
      </c>
      <c r="M34" s="25">
        <f>SUM($C34:L34)*($B34)</f>
        <v>61.293625600937411</v>
      </c>
      <c r="N34" s="25">
        <f>SUM($C34:M34)*($B34)</f>
        <v>76.438680754452406</v>
      </c>
      <c r="O34" s="25">
        <f>SUM($C34:N34)*($B34)</f>
        <v>95.325930848374114</v>
      </c>
      <c r="P34" s="25">
        <f>SUM($C34:O34)*($B34)</f>
        <v>118.88003563666557</v>
      </c>
      <c r="Q34" s="25">
        <f t="shared" si="9"/>
        <v>600.00000000000034</v>
      </c>
      <c r="R34" s="25">
        <f t="shared" si="10"/>
        <v>951.51750672678588</v>
      </c>
      <c r="S34" s="25">
        <f t="shared" si="11"/>
        <v>796.18056600789123</v>
      </c>
    </row>
    <row r="38" spans="1:19" x14ac:dyDescent="0.2">
      <c r="B38" s="24">
        <f>1-(P38/D38)^(1/(P41-D41))</f>
        <v>8.8870798843718513E-2</v>
      </c>
      <c r="C38" s="25">
        <f>D38*(1+B38)</f>
        <v>404.07314800841118</v>
      </c>
      <c r="D38" s="25">
        <v>371.09375</v>
      </c>
      <c r="E38" s="25">
        <v>330.77411597584</v>
      </c>
      <c r="F38" s="25">
        <v>290.45448195168001</v>
      </c>
      <c r="G38" s="25">
        <v>268.27432151173349</v>
      </c>
      <c r="H38" s="25">
        <v>246.09416107178703</v>
      </c>
      <c r="I38" s="25">
        <v>223.91400063184051</v>
      </c>
      <c r="J38" s="25">
        <v>201.73384019189405</v>
      </c>
      <c r="K38" s="25">
        <v>179.55367975194764</v>
      </c>
      <c r="L38" s="25">
        <v>167.93550047388044</v>
      </c>
      <c r="M38" s="25">
        <v>156.31732119581324</v>
      </c>
      <c r="N38" s="25">
        <v>144.69914191774603</v>
      </c>
      <c r="O38" s="25">
        <v>133.08096263967886</v>
      </c>
      <c r="P38" s="25">
        <v>121.46278336161164</v>
      </c>
      <c r="Q38" s="27" t="s">
        <v>517</v>
      </c>
    </row>
    <row r="39" spans="1:19" x14ac:dyDescent="0.2">
      <c r="A39" s="27" t="s">
        <v>513</v>
      </c>
      <c r="B39" s="24">
        <f>1-(P39/D39)^(1/(P41-D41))</f>
        <v>1.0095160907214518E-2</v>
      </c>
      <c r="C39" s="25">
        <f>D39*(1+B39)</f>
        <v>374.84000111791158</v>
      </c>
      <c r="D39" s="25">
        <v>371.09375</v>
      </c>
      <c r="E39" s="25">
        <v>371.09375</v>
      </c>
      <c r="F39" s="25">
        <v>359.64880257009349</v>
      </c>
      <c r="G39" s="25">
        <v>356.53918980430194</v>
      </c>
      <c r="H39" s="25">
        <v>353.42957703851039</v>
      </c>
      <c r="I39" s="25">
        <v>350.31996427271883</v>
      </c>
      <c r="J39" s="25">
        <v>347.21035150692728</v>
      </c>
      <c r="K39" s="25">
        <v>344.10073874113573</v>
      </c>
      <c r="L39" s="25">
        <v>340.99112597534418</v>
      </c>
      <c r="M39" s="25">
        <v>337.88151320955262</v>
      </c>
      <c r="N39" s="25">
        <v>334.77190044376107</v>
      </c>
      <c r="O39" s="25">
        <v>331.66228767796952</v>
      </c>
      <c r="P39" s="25">
        <v>328.55267491217796</v>
      </c>
      <c r="Q39" s="27" t="s">
        <v>517</v>
      </c>
    </row>
    <row r="40" spans="1:19" x14ac:dyDescent="0.2">
      <c r="A40" s="23" t="s">
        <v>326</v>
      </c>
      <c r="B40" s="24">
        <v>0</v>
      </c>
      <c r="C40" s="23">
        <v>371</v>
      </c>
      <c r="D40" s="25">
        <f t="shared" ref="D40" si="12">C40*(1-$B40)</f>
        <v>371</v>
      </c>
      <c r="E40" s="25">
        <f t="shared" ref="E40" si="13">D40*(1-$B40)</f>
        <v>371</v>
      </c>
      <c r="F40" s="25">
        <f t="shared" ref="F40" si="14">E40*(1-$B40)</f>
        <v>371</v>
      </c>
      <c r="G40" s="25">
        <f t="shared" ref="G40" si="15">F40*(1-$B40)</f>
        <v>371</v>
      </c>
      <c r="H40" s="25">
        <f t="shared" ref="H40" si="16">G40*(1-$B40)</f>
        <v>371</v>
      </c>
      <c r="I40" s="25">
        <f t="shared" ref="I40" si="17">H40*(1-$B40)</f>
        <v>371</v>
      </c>
      <c r="J40" s="25">
        <f t="shared" ref="J40" si="18">I40*(1-$B40)</f>
        <v>371</v>
      </c>
      <c r="K40" s="25">
        <f t="shared" ref="K40" si="19">J40*(1-$B40)</f>
        <v>371</v>
      </c>
      <c r="L40" s="25">
        <f t="shared" ref="L40" si="20">K40*(1-$B40)</f>
        <v>371</v>
      </c>
      <c r="M40" s="25">
        <f t="shared" ref="M40" si="21">L40*(1-$B40)</f>
        <v>371</v>
      </c>
      <c r="N40" s="25">
        <f t="shared" ref="N40" si="22">M40*(1-$B40)</f>
        <v>371</v>
      </c>
      <c r="O40" s="25">
        <f t="shared" ref="O40" si="23">N40*(1-$B40)</f>
        <v>371</v>
      </c>
      <c r="P40" s="25">
        <f t="shared" ref="P40" si="24">O40*(1-$B40)</f>
        <v>371</v>
      </c>
    </row>
    <row r="41" spans="1:19" x14ac:dyDescent="0.2">
      <c r="A41" s="27" t="s">
        <v>515</v>
      </c>
      <c r="B41" s="27" t="s">
        <v>514</v>
      </c>
      <c r="C41" s="23">
        <v>2017</v>
      </c>
      <c r="D41" s="23">
        <v>2018</v>
      </c>
      <c r="E41" s="23">
        <v>2019</v>
      </c>
      <c r="F41" s="23">
        <v>2020</v>
      </c>
      <c r="G41" s="23">
        <v>2021</v>
      </c>
      <c r="H41" s="23">
        <v>2022</v>
      </c>
      <c r="I41" s="23">
        <v>2023</v>
      </c>
      <c r="J41" s="23">
        <v>2024</v>
      </c>
      <c r="K41" s="23">
        <v>2025</v>
      </c>
      <c r="L41" s="23">
        <v>2026</v>
      </c>
      <c r="M41" s="23">
        <v>2027</v>
      </c>
      <c r="N41" s="23">
        <v>2028</v>
      </c>
      <c r="O41" s="23">
        <v>2029</v>
      </c>
      <c r="P41" s="23">
        <v>2030</v>
      </c>
      <c r="Q41" s="27" t="s">
        <v>516</v>
      </c>
      <c r="R41" s="23" t="str">
        <f>CONCATENATE("Weighted_cost_battery_USDpkW_",ROUND(B38*100,0), "pc")</f>
        <v>Weighted_cost_battery_USDpkW_9pc</v>
      </c>
      <c r="S41" s="23" t="str">
        <f>CONCATENATE("Weighted_cost_battery_USDpkW_",ROUND(B39*100,0), "pc")</f>
        <v>Weighted_cost_battery_USDpkW_1pc</v>
      </c>
    </row>
    <row r="42" spans="1:19" x14ac:dyDescent="0.2">
      <c r="A42" s="23">
        <v>0</v>
      </c>
      <c r="B42" s="26">
        <v>0</v>
      </c>
      <c r="C42" s="23">
        <v>0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5">
        <f>SUM(C42:P42)</f>
        <v>0</v>
      </c>
      <c r="R42" s="25">
        <f>C38</f>
        <v>404.07314800841118</v>
      </c>
      <c r="S42" s="25">
        <f>C39</f>
        <v>374.84000111791158</v>
      </c>
    </row>
    <row r="43" spans="1:19" x14ac:dyDescent="0.2">
      <c r="A43" s="23">
        <v>120</v>
      </c>
      <c r="B43" s="26">
        <f>((A43/C43)^(1/($P$5-$C$5))-1)</f>
        <v>0.44523016930896353</v>
      </c>
      <c r="C43" s="23">
        <v>1</v>
      </c>
      <c r="D43" s="25">
        <f>SUM(C43:$C43)*($B43)</f>
        <v>0.44523016930896353</v>
      </c>
      <c r="E43" s="25">
        <f>SUM($C43:D43)*($B43)</f>
        <v>0.64346007297185182</v>
      </c>
      <c r="F43" s="25">
        <f>SUM($C43:E43)*($B43)</f>
        <v>0.9299479102046676</v>
      </c>
      <c r="G43" s="25">
        <f>SUM($C43:F43)*($B43)</f>
        <v>1.3439887757136084</v>
      </c>
      <c r="H43" s="25">
        <f>SUM($C43:G43)*($B43)</f>
        <v>1.942373125873925</v>
      </c>
      <c r="I43" s="25">
        <f>SUM($C43:H43)*($B43)</f>
        <v>2.8071762415679533</v>
      </c>
      <c r="J43" s="25">
        <f>SUM($C43:I43)*($B43)</f>
        <v>4.0570157948813526</v>
      </c>
      <c r="K43" s="25">
        <f>SUM($C43:J43)*($B43)</f>
        <v>5.8633216241255175</v>
      </c>
      <c r="L43" s="25">
        <f>SUM($C43:K43)*($B43)</f>
        <v>8.4738493035478282</v>
      </c>
      <c r="M43" s="25">
        <f>SUM($C43:L43)*($B43)</f>
        <v>12.246662663665072</v>
      </c>
      <c r="N43" s="25">
        <f>SUM($C43:M43)*($B43)</f>
        <v>17.699246354878433</v>
      </c>
      <c r="O43" s="25">
        <f>SUM($C43:N43)*($B43)</f>
        <v>25.579484806102013</v>
      </c>
      <c r="P43" s="25">
        <f>SUM($C43:O43)*($B43)</f>
        <v>36.968243157158874</v>
      </c>
      <c r="Q43" s="25">
        <f>SUM(C43:P43)</f>
        <v>120.00000000000006</v>
      </c>
      <c r="R43" s="25">
        <f>SUMPRODUCT($C$38:$P$38,C43:P43)/SUM(C43:P43)</f>
        <v>151.52909239112071</v>
      </c>
      <c r="S43" s="25">
        <f>SUMPRODUCT($C$39:$P$39,C43:P43)/SUM(C43:P43)</f>
        <v>335.59169111565399</v>
      </c>
    </row>
    <row r="44" spans="1:19" x14ac:dyDescent="0.2">
      <c r="A44" s="23">
        <v>240</v>
      </c>
      <c r="B44" s="26">
        <f t="shared" ref="B44" si="25">((A44/C44)^(1/($P$5-$C$5))-1)</f>
        <v>0.52437975529492142</v>
      </c>
      <c r="C44" s="23">
        <v>1</v>
      </c>
      <c r="D44" s="25">
        <f>SUM(C44:$C44)*($B44)</f>
        <v>0.52437975529492142</v>
      </c>
      <c r="E44" s="25">
        <f>SUM($C44:D44)*($B44)</f>
        <v>0.79935388305808308</v>
      </c>
      <c r="F44" s="25">
        <f>SUM($C44:E44)*($B44)</f>
        <v>1.218518876650126</v>
      </c>
      <c r="G44" s="25">
        <f>SUM($C44:F44)*($B44)</f>
        <v>1.8574855070101615</v>
      </c>
      <c r="H44" s="25">
        <f>SUM($C44:G44)*($B44)</f>
        <v>2.8315133026400128</v>
      </c>
      <c r="I44" s="25">
        <f>SUM($C44:H44)*($B44)</f>
        <v>4.3163015553926973</v>
      </c>
      <c r="J44" s="25">
        <f>SUM($C44:I44)*($B44)</f>
        <v>6.5796827087886092</v>
      </c>
      <c r="K44" s="25">
        <f>SUM($C44:J44)*($B44)</f>
        <v>10.029935117541406</v>
      </c>
      <c r="L44" s="25">
        <f>SUM($C44:K44)*($B44)</f>
        <v>15.289430040101708</v>
      </c>
      <c r="M44" s="25">
        <f>SUM($C44:L44)*($B44)</f>
        <v>23.306897623129064</v>
      </c>
      <c r="N44" s="25">
        <f>SUM($C44:M44)*($B44)</f>
        <v>35.528562895429268</v>
      </c>
      <c r="O44" s="25">
        <f>SUM($C44:N44)*($B44)</f>
        <v>54.159022012514683</v>
      </c>
      <c r="P44" s="25">
        <f>SUM($C44:O44)*($B44)</f>
        <v>82.558916722449396</v>
      </c>
      <c r="Q44" s="25">
        <f t="shared" ref="Q44" si="26">SUM(C44:P44)</f>
        <v>240.00000000000011</v>
      </c>
      <c r="R44" s="25">
        <f>SUMPRODUCT($C$38:$P$38,C44:P44)/SUM(C44:P44)</f>
        <v>146.22542256962581</v>
      </c>
      <c r="S44" s="25">
        <f>SUMPRODUCT($C$39:$P$39,C44:P44)/SUM(C44:P44)</f>
        <v>334.52165036440272</v>
      </c>
    </row>
    <row r="45" spans="1:19" x14ac:dyDescent="0.2">
      <c r="B45" s="26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</row>
    <row r="46" spans="1:19" x14ac:dyDescent="0.2">
      <c r="B46" s="26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</row>
    <row r="47" spans="1:19" x14ac:dyDescent="0.2">
      <c r="B47" s="26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</row>
    <row r="48" spans="1:19" x14ac:dyDescent="0.2">
      <c r="B48" s="26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</row>
    <row r="49" spans="2:19" x14ac:dyDescent="0.2">
      <c r="B49" s="26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</row>
    <row r="50" spans="2:19" x14ac:dyDescent="0.2">
      <c r="B50" s="26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</row>
    <row r="51" spans="2:19" x14ac:dyDescent="0.2">
      <c r="B51" s="26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</row>
    <row r="52" spans="2:19" x14ac:dyDescent="0.2">
      <c r="B52" s="26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B5" sqref="B5"/>
    </sheetView>
  </sheetViews>
  <sheetFormatPr baseColWidth="10" defaultRowHeight="15" x14ac:dyDescent="0.2"/>
  <cols>
    <col min="1" max="1" width="17.5" bestFit="1" customWidth="1"/>
    <col min="2" max="3" width="30" bestFit="1" customWidth="1"/>
  </cols>
  <sheetData>
    <row r="1" spans="1:4" x14ac:dyDescent="0.2">
      <c r="A1" t="s">
        <v>499</v>
      </c>
      <c r="B1" s="5" t="str">
        <f>RE_trajectories!R5</f>
        <v>Weighted_cost_solarPV_USDpkW_3pc</v>
      </c>
      <c r="C1" t="str">
        <f>RE_trajectories!S5</f>
        <v>Weighted_cost_solarPV_USDpkW_5pc</v>
      </c>
    </row>
    <row r="2" spans="1:4" x14ac:dyDescent="0.2">
      <c r="A2">
        <f>RE_trajectories!A7</f>
        <v>50</v>
      </c>
      <c r="B2" s="5">
        <f>RE_trajectories!R7</f>
        <v>705.83738845999585</v>
      </c>
      <c r="C2" s="5">
        <f>RE_trajectories!S7</f>
        <v>629.22203798974965</v>
      </c>
      <c r="D2" s="5"/>
    </row>
    <row r="3" spans="1:4" x14ac:dyDescent="0.2">
      <c r="A3">
        <f>RE_trajectories!A8</f>
        <v>75</v>
      </c>
      <c r="B3" s="5">
        <f>RE_trajectories!R8</f>
        <v>684.03403758613194</v>
      </c>
      <c r="C3" s="5">
        <f>RE_trajectories!S8</f>
        <v>596.40607399736996</v>
      </c>
      <c r="D3" s="5"/>
    </row>
    <row r="4" spans="1:4" x14ac:dyDescent="0.2">
      <c r="A4">
        <f>RE_trajectories!A9</f>
        <v>100</v>
      </c>
      <c r="B4" s="5">
        <f>RE_trajectories!R9</f>
        <v>671.49866379893615</v>
      </c>
      <c r="C4" s="5">
        <f>RE_trajectories!S9</f>
        <v>577.65903868909618</v>
      </c>
      <c r="D4" s="5"/>
    </row>
    <row r="5" spans="1:4" x14ac:dyDescent="0.2">
      <c r="A5">
        <f>RE_trajectories!A10</f>
        <v>150</v>
      </c>
      <c r="B5" s="5">
        <f>RE_trajectories!R10</f>
        <v>657.02379911728303</v>
      </c>
      <c r="C5" s="5">
        <f>RE_trajectories!S10</f>
        <v>556.14794822919907</v>
      </c>
      <c r="D5" s="5"/>
    </row>
    <row r="6" spans="1:4" x14ac:dyDescent="0.2">
      <c r="A6">
        <f>RE_trajectories!A11</f>
        <v>200</v>
      </c>
      <c r="B6" s="5">
        <f>RE_trajectories!R11</f>
        <v>648.56250459370142</v>
      </c>
      <c r="C6" s="5">
        <f>RE_trajectories!S11</f>
        <v>543.65525930763886</v>
      </c>
      <c r="D6" s="5"/>
    </row>
    <row r="7" spans="1:4" x14ac:dyDescent="0.2">
      <c r="A7">
        <f>RE_trajectories!A12</f>
        <v>225</v>
      </c>
      <c r="B7" s="5">
        <f>RE_trajectories!R12</f>
        <v>645.45829101340325</v>
      </c>
      <c r="C7" s="5">
        <f>RE_trajectories!S12</f>
        <v>539.08953788513566</v>
      </c>
      <c r="D7" s="5"/>
    </row>
    <row r="8" spans="1:4" x14ac:dyDescent="0.2">
      <c r="A8">
        <f>RE_trajectories!A13</f>
        <v>300</v>
      </c>
      <c r="B8" s="5">
        <f>RE_trajectories!R13</f>
        <v>638.63155039798903</v>
      </c>
      <c r="C8" s="5">
        <f>RE_trajectories!S13</f>
        <v>529.08569011364864</v>
      </c>
      <c r="D8" s="5"/>
    </row>
    <row r="9" spans="1:4" x14ac:dyDescent="0.2">
      <c r="A9">
        <f>RE_trajectories!A14</f>
        <v>400</v>
      </c>
      <c r="B9" s="5">
        <f>RE_trajectories!R14</f>
        <v>632.72942534951483</v>
      </c>
      <c r="C9" s="5">
        <f>RE_trajectories!S14</f>
        <v>520.48229075565689</v>
      </c>
      <c r="D9" s="5"/>
    </row>
    <row r="10" spans="1:4" x14ac:dyDescent="0.2">
      <c r="A10">
        <f>RE_trajectories!A15</f>
        <v>450</v>
      </c>
      <c r="B10" s="5">
        <f>RE_trajectories!R15</f>
        <v>630.54313384224497</v>
      </c>
      <c r="C10" s="5">
        <f>RE_trajectories!S15</f>
        <v>517.30723416014405</v>
      </c>
      <c r="D10" s="5"/>
    </row>
    <row r="11" spans="1:4" x14ac:dyDescent="0.2">
      <c r="A11">
        <f>RE_trajectories!A16</f>
        <v>600</v>
      </c>
      <c r="B11" s="5">
        <f>RE_trajectories!R16</f>
        <v>625.69039509459515</v>
      </c>
      <c r="C11" s="5">
        <f>RE_trajectories!S16</f>
        <v>510.2849094612983</v>
      </c>
      <c r="D11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B1" sqref="B1"/>
    </sheetView>
  </sheetViews>
  <sheetFormatPr baseColWidth="10" defaultRowHeight="15" x14ac:dyDescent="0.2"/>
  <cols>
    <col min="2" max="2" width="28" bestFit="1" customWidth="1"/>
  </cols>
  <sheetData>
    <row r="1" spans="1:3" x14ac:dyDescent="0.2">
      <c r="A1" t="s">
        <v>500</v>
      </c>
      <c r="B1" s="5" t="str">
        <f>RE_trajectories!R23</f>
        <v>Weighted_cost_wind_USDpkW_3pc</v>
      </c>
      <c r="C1" t="str">
        <f>RE_trajectories!S23</f>
        <v>Weighted_cost_wind_USDpkW_5pc</v>
      </c>
    </row>
    <row r="2" spans="1:3" x14ac:dyDescent="0.2">
      <c r="A2">
        <f>RE_trajectories!A7</f>
        <v>50</v>
      </c>
      <c r="B2" s="5">
        <f>RE_trajectories!R25</f>
        <v>1171.2120555049391</v>
      </c>
      <c r="C2" s="5">
        <f>RE_trajectories!S25</f>
        <v>1128.5312923270249</v>
      </c>
    </row>
    <row r="3" spans="1:3" x14ac:dyDescent="0.2">
      <c r="A3">
        <f>RE_trajectories!A8</f>
        <v>75</v>
      </c>
      <c r="B3" s="5">
        <f>RE_trajectories!R26</f>
        <v>1108.2181634204294</v>
      </c>
      <c r="C3" s="5">
        <f>RE_trajectories!S26</f>
        <v>1032.012235110707</v>
      </c>
    </row>
    <row r="4" spans="1:3" x14ac:dyDescent="0.2">
      <c r="A4">
        <f>RE_trajectories!A9</f>
        <v>100</v>
      </c>
      <c r="B4" s="5">
        <f>RE_trajectories!R27</f>
        <v>1072.852328640769</v>
      </c>
      <c r="C4" s="5">
        <f>RE_trajectories!S27</f>
        <v>978.13763712149307</v>
      </c>
    </row>
    <row r="5" spans="1:3" x14ac:dyDescent="0.2">
      <c r="A5">
        <f>RE_trajectories!A10</f>
        <v>150</v>
      </c>
      <c r="B5" s="5">
        <f>RE_trajectories!R28</f>
        <v>1032.9759496904005</v>
      </c>
      <c r="C5" s="5">
        <f>RE_trajectories!S28</f>
        <v>917.74819477408266</v>
      </c>
    </row>
    <row r="6" spans="1:3" x14ac:dyDescent="0.2">
      <c r="A6">
        <f>RE_trajectories!A11</f>
        <v>200</v>
      </c>
      <c r="B6" s="5">
        <f>RE_trajectories!R29</f>
        <v>1010.2364794858461</v>
      </c>
      <c r="C6" s="5">
        <f>RE_trajectories!S29</f>
        <v>883.52468153451491</v>
      </c>
    </row>
    <row r="7" spans="1:3" x14ac:dyDescent="0.2">
      <c r="A7">
        <f>RE_trajectories!A12</f>
        <v>225</v>
      </c>
      <c r="B7" s="5">
        <f>RE_trajectories!R30</f>
        <v>1002.0154165794322</v>
      </c>
      <c r="C7" s="5">
        <f>RE_trajectories!S30</f>
        <v>871.19782340947734</v>
      </c>
    </row>
    <row r="8" spans="1:3" x14ac:dyDescent="0.2">
      <c r="A8">
        <f>RE_trajectories!A13</f>
        <v>300</v>
      </c>
      <c r="B8" s="5">
        <f>RE_trajectories!R31</f>
        <v>984.19116266284482</v>
      </c>
      <c r="C8" s="5">
        <f>RE_trajectories!S31</f>
        <v>844.56907271257194</v>
      </c>
    </row>
    <row r="9" spans="1:3" x14ac:dyDescent="0.2">
      <c r="A9">
        <f>RE_trajectories!A14</f>
        <v>400</v>
      </c>
      <c r="B9" s="5">
        <f>RE_trajectories!R32</f>
        <v>969.09328836441841</v>
      </c>
      <c r="C9" s="5">
        <f>RE_trajectories!S32</f>
        <v>822.13300736928477</v>
      </c>
    </row>
    <row r="10" spans="1:3" x14ac:dyDescent="0.2">
      <c r="A10">
        <f>RE_trajectories!A15</f>
        <v>450</v>
      </c>
      <c r="B10" s="5">
        <f>RE_trajectories!R33</f>
        <v>963.58148816072071</v>
      </c>
      <c r="C10" s="5">
        <f>RE_trajectories!S33</f>
        <v>813.97352413868964</v>
      </c>
    </row>
    <row r="11" spans="1:3" x14ac:dyDescent="0.2">
      <c r="A11">
        <f>RE_trajectories!A16</f>
        <v>600</v>
      </c>
      <c r="B11" s="5">
        <f>RE_trajectories!R34</f>
        <v>951.51750672678588</v>
      </c>
      <c r="C11" s="5">
        <f>RE_trajectories!S34</f>
        <v>796.18056600789123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REvalue_input_csv</vt:lpstr>
      <vt:lpstr>Status Runs</vt:lpstr>
      <vt:lpstr>Screening curves</vt:lpstr>
      <vt:lpstr>CF_crossover_points</vt:lpstr>
      <vt:lpstr>screening_curve_plot</vt:lpstr>
      <vt:lpstr>generator_cost_all</vt:lpstr>
      <vt:lpstr>RE_trajectories</vt:lpstr>
      <vt:lpstr>LC_solar_wt_cost</vt:lpstr>
      <vt:lpstr>LC_wind_wt_cost</vt:lpstr>
      <vt:lpstr>Data and sources</vt:lpstr>
      <vt:lpstr>inflation rate</vt:lpstr>
      <vt:lpstr>FGD costs</vt:lpstr>
      <vt:lpstr>scenarios</vt:lpstr>
      <vt:lpstr>run_times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Ranjit</dc:creator>
  <cp:lastModifiedBy>Ranjit Deshmukh</cp:lastModifiedBy>
  <dcterms:created xsi:type="dcterms:W3CDTF">2016-11-08T05:09:06Z</dcterms:created>
  <dcterms:modified xsi:type="dcterms:W3CDTF">2019-11-01T06:06:17Z</dcterms:modified>
</cp:coreProperties>
</file>