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ranjitster/Dropbox/renewable_energy_value/renewable_energy_value/india_data/"/>
    </mc:Choice>
  </mc:AlternateContent>
  <bookViews>
    <workbookView xWindow="-24440" yWindow="-12060" windowWidth="21600" windowHeight="17520" tabRatio="500" activeTab="1"/>
  </bookViews>
  <sheets>
    <sheet name="Main" sheetId="3" r:id="rId1"/>
    <sheet name="Sheet1" sheetId="1" r:id="rId2"/>
    <sheet name="State FiTs" sheetId="4" r:id="rId3"/>
    <sheet name="MH Tariffs" sheetId="5" r:id="rId4"/>
    <sheet name="Notes" sheetId="2" r:id="rId5"/>
    <sheet name="inflation rate" sheetId="6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" i="3" l="1"/>
  <c r="E20" i="3"/>
  <c r="F20" i="3"/>
  <c r="G20" i="3"/>
  <c r="H20" i="3"/>
  <c r="I20" i="3"/>
  <c r="J20" i="3"/>
  <c r="K20" i="3"/>
  <c r="L20" i="3"/>
  <c r="M20" i="3"/>
  <c r="N20" i="3"/>
  <c r="O20" i="3"/>
  <c r="P20" i="3"/>
  <c r="B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R24" i="3"/>
  <c r="B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R25" i="3"/>
  <c r="B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R26" i="3"/>
  <c r="B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R27" i="3"/>
  <c r="B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R28" i="3"/>
  <c r="B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R29" i="3"/>
  <c r="B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R30" i="3"/>
  <c r="B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R31" i="3"/>
  <c r="B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R32" i="3"/>
  <c r="B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R2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2" i="3"/>
  <c r="Q31" i="3"/>
  <c r="Q30" i="3"/>
  <c r="Q29" i="3"/>
  <c r="Q28" i="3"/>
  <c r="Q27" i="3"/>
  <c r="Q26" i="3"/>
  <c r="Q25" i="3"/>
  <c r="Q24" i="3"/>
  <c r="Q23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U17" i="4"/>
  <c r="V17" i="4"/>
  <c r="R6" i="3"/>
  <c r="R7" i="3"/>
  <c r="R8" i="3"/>
  <c r="R9" i="3"/>
  <c r="R10" i="3"/>
  <c r="R11" i="3"/>
  <c r="R12" i="3"/>
  <c r="R13" i="3"/>
  <c r="R14" i="3"/>
  <c r="R15" i="3"/>
  <c r="D7" i="3"/>
  <c r="E7" i="3"/>
  <c r="F7" i="3"/>
  <c r="G7" i="3"/>
  <c r="H7" i="3"/>
  <c r="I7" i="3"/>
  <c r="J7" i="3"/>
  <c r="K7" i="3"/>
  <c r="L7" i="3"/>
  <c r="M7" i="3"/>
  <c r="N7" i="3"/>
  <c r="O7" i="3"/>
  <c r="P7" i="3"/>
  <c r="D8" i="3"/>
  <c r="E8" i="3"/>
  <c r="F8" i="3"/>
  <c r="G8" i="3"/>
  <c r="H8" i="3"/>
  <c r="I8" i="3"/>
  <c r="J8" i="3"/>
  <c r="K8" i="3"/>
  <c r="L8" i="3"/>
  <c r="M8" i="3"/>
  <c r="N8" i="3"/>
  <c r="O8" i="3"/>
  <c r="P8" i="3"/>
  <c r="D9" i="3"/>
  <c r="E9" i="3"/>
  <c r="F9" i="3"/>
  <c r="G9" i="3"/>
  <c r="H9" i="3"/>
  <c r="I9" i="3"/>
  <c r="J9" i="3"/>
  <c r="K9" i="3"/>
  <c r="L9" i="3"/>
  <c r="M9" i="3"/>
  <c r="N9" i="3"/>
  <c r="O9" i="3"/>
  <c r="P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7" i="3"/>
  <c r="Q8" i="3"/>
  <c r="Q9" i="3"/>
  <c r="Q10" i="3"/>
  <c r="Q11" i="3"/>
  <c r="Q12" i="3"/>
  <c r="Q13" i="3"/>
  <c r="Q14" i="3"/>
  <c r="Q15" i="3"/>
  <c r="Q6" i="3"/>
  <c r="E6" i="3"/>
  <c r="F6" i="3"/>
  <c r="G6" i="3"/>
  <c r="H6" i="3"/>
  <c r="I6" i="3"/>
  <c r="J6" i="3"/>
  <c r="K6" i="3"/>
  <c r="L6" i="3"/>
  <c r="M6" i="3"/>
  <c r="N6" i="3"/>
  <c r="O6" i="3"/>
  <c r="P6" i="3"/>
  <c r="B7" i="3"/>
  <c r="B8" i="3"/>
  <c r="B9" i="3"/>
  <c r="B10" i="3"/>
  <c r="B11" i="3"/>
  <c r="B12" i="3"/>
  <c r="B13" i="3"/>
  <c r="B14" i="3"/>
  <c r="B15" i="3"/>
  <c r="B6" i="3"/>
  <c r="D4" i="3"/>
  <c r="V16" i="4"/>
  <c r="V15" i="4"/>
  <c r="V14" i="4"/>
  <c r="V13" i="4"/>
  <c r="V12" i="4"/>
  <c r="V10" i="4"/>
  <c r="V11" i="4"/>
  <c r="V9" i="4"/>
  <c r="V8" i="4"/>
  <c r="V7" i="4"/>
  <c r="V6" i="4"/>
  <c r="V5" i="4"/>
  <c r="D28" i="6"/>
  <c r="C27" i="6"/>
  <c r="C28" i="6"/>
  <c r="C29" i="6"/>
  <c r="D29" i="6"/>
  <c r="C30" i="6"/>
  <c r="D30" i="6"/>
  <c r="C31" i="6"/>
  <c r="D31" i="6"/>
  <c r="C32" i="6"/>
  <c r="D32" i="6"/>
  <c r="C33" i="6"/>
  <c r="D33" i="6"/>
  <c r="C34" i="6"/>
  <c r="D34" i="6"/>
  <c r="C35" i="6"/>
  <c r="D35" i="6"/>
  <c r="C36" i="6"/>
  <c r="D36" i="6"/>
  <c r="C37" i="6"/>
  <c r="D37" i="6"/>
  <c r="C38" i="6"/>
  <c r="D38" i="6"/>
  <c r="C39" i="6"/>
  <c r="D39" i="6"/>
  <c r="E30" i="6"/>
  <c r="E31" i="6"/>
  <c r="E32" i="6"/>
  <c r="E33" i="6"/>
  <c r="E34" i="6"/>
  <c r="E35" i="6"/>
  <c r="E36" i="6"/>
  <c r="E37" i="6"/>
  <c r="E38" i="6"/>
  <c r="E39" i="6"/>
  <c r="D10" i="6"/>
  <c r="C9" i="6"/>
  <c r="C10" i="6"/>
  <c r="C11" i="6"/>
  <c r="C12" i="6"/>
  <c r="D11" i="6"/>
  <c r="D12" i="6"/>
  <c r="C13" i="6"/>
  <c r="D13" i="6"/>
  <c r="C14" i="6"/>
  <c r="D14" i="6"/>
  <c r="C15" i="6"/>
  <c r="D15" i="6"/>
  <c r="C16" i="6"/>
  <c r="D16" i="6"/>
  <c r="C17" i="6"/>
  <c r="D17" i="6"/>
  <c r="C18" i="6"/>
  <c r="D18" i="6"/>
  <c r="C19" i="6"/>
  <c r="D19" i="6"/>
  <c r="C20" i="6"/>
  <c r="D20" i="6"/>
  <c r="C21" i="6"/>
  <c r="D21" i="6"/>
  <c r="E13" i="6"/>
  <c r="E14" i="6"/>
  <c r="E15" i="6"/>
  <c r="E16" i="6"/>
  <c r="E17" i="6"/>
  <c r="E18" i="6"/>
  <c r="E19" i="6"/>
  <c r="E20" i="6"/>
  <c r="E21" i="6"/>
  <c r="E12" i="6"/>
  <c r="U16" i="4"/>
  <c r="U5" i="4"/>
  <c r="U6" i="4"/>
  <c r="U7" i="4"/>
  <c r="U8" i="4"/>
  <c r="U9" i="4"/>
  <c r="U10" i="4"/>
  <c r="U11" i="4"/>
  <c r="U12" i="4"/>
  <c r="U13" i="4"/>
  <c r="U14" i="4"/>
  <c r="U15" i="4"/>
  <c r="U4" i="4"/>
  <c r="N38" i="6"/>
  <c r="N39" i="6"/>
  <c r="O39" i="6"/>
  <c r="E29" i="6"/>
  <c r="F30" i="6"/>
  <c r="F31" i="6"/>
  <c r="F32" i="6"/>
  <c r="F33" i="6"/>
  <c r="F34" i="6"/>
  <c r="F35" i="6"/>
  <c r="F36" i="6"/>
  <c r="F37" i="6"/>
  <c r="F38" i="6"/>
  <c r="G31" i="6"/>
  <c r="G32" i="6"/>
  <c r="G33" i="6"/>
  <c r="G34" i="6"/>
  <c r="G35" i="6"/>
  <c r="G36" i="6"/>
  <c r="G37" i="6"/>
  <c r="G38" i="6"/>
  <c r="H32" i="6"/>
  <c r="H33" i="6"/>
  <c r="H34" i="6"/>
  <c r="H35" i="6"/>
  <c r="H36" i="6"/>
  <c r="H37" i="6"/>
  <c r="H38" i="6"/>
  <c r="I33" i="6"/>
  <c r="I34" i="6"/>
  <c r="I35" i="6"/>
  <c r="I36" i="6"/>
  <c r="I37" i="6"/>
  <c r="I38" i="6"/>
  <c r="J34" i="6"/>
  <c r="J35" i="6"/>
  <c r="J36" i="6"/>
  <c r="J37" i="6"/>
  <c r="J38" i="6"/>
  <c r="K35" i="6"/>
  <c r="K36" i="6"/>
  <c r="K37" i="6"/>
  <c r="K38" i="6"/>
  <c r="L36" i="6"/>
  <c r="L37" i="6"/>
  <c r="L38" i="6"/>
  <c r="M37" i="6"/>
  <c r="M38" i="6"/>
  <c r="F39" i="6"/>
  <c r="G39" i="6"/>
  <c r="H39" i="6"/>
  <c r="I39" i="6"/>
  <c r="J39" i="6"/>
  <c r="K39" i="6"/>
  <c r="L39" i="6"/>
  <c r="M39" i="6"/>
  <c r="O21" i="6"/>
  <c r="N20" i="6"/>
  <c r="N21" i="6"/>
  <c r="E11" i="6"/>
  <c r="F12" i="6"/>
  <c r="F13" i="6"/>
  <c r="F14" i="6"/>
  <c r="F15" i="6"/>
  <c r="F16" i="6"/>
  <c r="F17" i="6"/>
  <c r="F18" i="6"/>
  <c r="F19" i="6"/>
  <c r="F20" i="6"/>
  <c r="G13" i="6"/>
  <c r="G14" i="6"/>
  <c r="G15" i="6"/>
  <c r="G16" i="6"/>
  <c r="G17" i="6"/>
  <c r="G18" i="6"/>
  <c r="G19" i="6"/>
  <c r="G20" i="6"/>
  <c r="H14" i="6"/>
  <c r="H15" i="6"/>
  <c r="H16" i="6"/>
  <c r="H17" i="6"/>
  <c r="H18" i="6"/>
  <c r="H19" i="6"/>
  <c r="H20" i="6"/>
  <c r="I15" i="6"/>
  <c r="I16" i="6"/>
  <c r="I17" i="6"/>
  <c r="I18" i="6"/>
  <c r="I19" i="6"/>
  <c r="I20" i="6"/>
  <c r="J16" i="6"/>
  <c r="J17" i="6"/>
  <c r="J18" i="6"/>
  <c r="J19" i="6"/>
  <c r="J20" i="6"/>
  <c r="K17" i="6"/>
  <c r="K18" i="6"/>
  <c r="K19" i="6"/>
  <c r="K20" i="6"/>
  <c r="L18" i="6"/>
  <c r="L19" i="6"/>
  <c r="L20" i="6"/>
  <c r="M19" i="6"/>
  <c r="M20" i="6"/>
  <c r="F21" i="6"/>
  <c r="G21" i="6"/>
  <c r="H21" i="6"/>
  <c r="I21" i="6"/>
  <c r="J21" i="6"/>
  <c r="K21" i="6"/>
  <c r="L21" i="6"/>
  <c r="M21" i="6"/>
  <c r="D4" i="5"/>
  <c r="E2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4" i="5"/>
  <c r="B18" i="5"/>
  <c r="B19" i="5"/>
  <c r="B20" i="5"/>
  <c r="B21" i="5"/>
  <c r="B22" i="5"/>
  <c r="B23" i="5"/>
  <c r="B24" i="5"/>
  <c r="B25" i="5"/>
  <c r="B26" i="5"/>
  <c r="B27" i="5"/>
  <c r="B28" i="5"/>
  <c r="B17" i="5"/>
  <c r="B6" i="5"/>
  <c r="B7" i="5"/>
  <c r="B8" i="5"/>
  <c r="B9" i="5"/>
  <c r="B10" i="5"/>
  <c r="B11" i="5"/>
  <c r="B12" i="5"/>
  <c r="B13" i="5"/>
  <c r="B14" i="5"/>
  <c r="B15" i="5"/>
  <c r="B16" i="5"/>
  <c r="B5" i="5"/>
  <c r="B35" i="4"/>
  <c r="B34" i="4"/>
  <c r="B33" i="4"/>
  <c r="B32" i="4"/>
  <c r="B31" i="4"/>
  <c r="B30" i="4"/>
  <c r="K4" i="4"/>
  <c r="K5" i="4"/>
  <c r="K6" i="4"/>
  <c r="K7" i="4"/>
  <c r="K8" i="4"/>
  <c r="K9" i="4"/>
  <c r="K10" i="4"/>
  <c r="K11" i="4"/>
  <c r="K12" i="4"/>
  <c r="K13" i="4"/>
  <c r="K14" i="4"/>
  <c r="K15" i="4"/>
  <c r="B16" i="4"/>
  <c r="B15" i="4"/>
  <c r="B14" i="4"/>
  <c r="B13" i="4"/>
  <c r="B12" i="4"/>
  <c r="B11" i="4"/>
  <c r="B10" i="4"/>
  <c r="B9" i="4"/>
  <c r="B8" i="4"/>
  <c r="B7" i="4"/>
  <c r="B6" i="4"/>
  <c r="B5" i="4"/>
  <c r="E4" i="3"/>
  <c r="F4" i="3"/>
  <c r="G4" i="3"/>
  <c r="H4" i="3"/>
  <c r="I4" i="3"/>
  <c r="J4" i="3"/>
  <c r="K4" i="3"/>
  <c r="L4" i="3"/>
  <c r="M4" i="3"/>
  <c r="N4" i="3"/>
  <c r="O4" i="3"/>
  <c r="P4" i="3"/>
  <c r="I14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F45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I45" i="1"/>
  <c r="J45" i="1"/>
  <c r="E45" i="1"/>
  <c r="K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31" i="1"/>
  <c r="F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H47" i="1"/>
  <c r="C69" i="1"/>
  <c r="C68" i="1"/>
  <c r="C60" i="1"/>
  <c r="C61" i="1"/>
  <c r="C62" i="1"/>
  <c r="C63" i="1"/>
  <c r="C64" i="1"/>
  <c r="C65" i="1"/>
  <c r="C66" i="1"/>
  <c r="C59" i="1"/>
  <c r="C44" i="1"/>
  <c r="C47" i="1"/>
  <c r="G21" i="1"/>
  <c r="G22" i="1"/>
  <c r="G23" i="1"/>
  <c r="G24" i="1"/>
  <c r="G25" i="1"/>
  <c r="G26" i="1"/>
  <c r="G27" i="1"/>
  <c r="G28" i="1"/>
  <c r="G29" i="1"/>
  <c r="G30" i="1"/>
  <c r="G31" i="1"/>
  <c r="G20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6" i="3"/>
</calcChain>
</file>

<file path=xl/comments1.xml><?xml version="1.0" encoding="utf-8"?>
<comments xmlns="http://schemas.openxmlformats.org/spreadsheetml/2006/main">
  <authors>
    <author>Ranjit Deshmukh</author>
  </authors>
  <commentList>
    <comment ref="D6" authorId="0">
      <text>
        <r>
          <rPr>
            <b/>
            <sz val="10"/>
            <color indexed="81"/>
            <rFont val="Calibri"/>
            <family val="2"/>
          </rPr>
          <t>Ranjit Deshmukh:</t>
        </r>
        <r>
          <rPr>
            <sz val="10"/>
            <color indexed="81"/>
            <rFont val="Calibri"/>
            <family val="2"/>
          </rPr>
          <t xml:space="preserve">
MNRE reports 25 GW installed capacity by 12/12/2018
</t>
        </r>
      </text>
    </comment>
    <comment ref="C23" authorId="0">
      <text>
        <r>
          <rPr>
            <b/>
            <sz val="10"/>
            <color indexed="81"/>
            <rFont val="Calibri"/>
            <family val="2"/>
          </rPr>
          <t>Ranjit Deshmukh:</t>
        </r>
        <r>
          <rPr>
            <sz val="10"/>
            <color indexed="81"/>
            <rFont val="Calibri"/>
            <family val="2"/>
          </rPr>
          <t xml:space="preserve">
MNRE reports 25 GW installed capacity by 12/12/2018 and 12 GW by 2017</t>
        </r>
      </text>
    </comment>
  </commentList>
</comments>
</file>

<file path=xl/comments2.xml><?xml version="1.0" encoding="utf-8"?>
<comments xmlns="http://schemas.openxmlformats.org/spreadsheetml/2006/main">
  <authors>
    <author>Ranjit Deshmukh</author>
  </authors>
  <commentList>
    <comment ref="M3" authorId="0">
      <text>
        <r>
          <rPr>
            <b/>
            <sz val="10"/>
            <color indexed="81"/>
            <rFont val="Calibri"/>
            <family val="2"/>
          </rPr>
          <t>Ranjit Deshmukh:</t>
        </r>
        <r>
          <rPr>
            <sz val="10"/>
            <color indexed="81"/>
            <rFont val="Calibri"/>
            <family val="2"/>
          </rPr>
          <t xml:space="preserve">
2006-2012 tariffs from RE connect: http://reconnectenergy.com/blog/tag/banking-charges/</t>
        </r>
      </text>
    </comment>
    <comment ref="R3" authorId="0">
      <text>
        <r>
          <rPr>
            <b/>
            <sz val="10"/>
            <color indexed="81"/>
            <rFont val="Calibri"/>
            <family val="2"/>
          </rPr>
          <t>Ranjit Deshmukh:</t>
        </r>
        <r>
          <rPr>
            <sz val="10"/>
            <color indexed="81"/>
            <rFont val="Calibri"/>
            <family val="2"/>
          </rPr>
          <t xml:space="preserve">
Tariff from 2005 to 2011 is from http://www.ireeed.gov.in/policyfiles/155-276_TN01O05310712%20Wind_T%20and%20W%20charges%20for%20wind.pdf</t>
        </r>
      </text>
    </comment>
    <comment ref="S8" authorId="0">
      <text>
        <r>
          <rPr>
            <b/>
            <sz val="10"/>
            <color indexed="81"/>
            <rFont val="Calibri"/>
            <family val="2"/>
          </rPr>
          <t>Ranjit Deshmukh:</t>
        </r>
        <r>
          <rPr>
            <sz val="10"/>
            <color indexed="81"/>
            <rFont val="Calibri"/>
            <family val="2"/>
          </rPr>
          <t xml:space="preserve">
All FiTs are for Zone 1  upto 200 W/m2
</t>
        </r>
      </text>
    </comment>
    <comment ref="P9" authorId="0">
      <text>
        <r>
          <rPr>
            <b/>
            <sz val="10"/>
            <color indexed="81"/>
            <rFont val="Calibri"/>
            <family val="2"/>
          </rPr>
          <t>Ranjit Deshmukh:</t>
        </r>
        <r>
          <rPr>
            <sz val="10"/>
            <color indexed="81"/>
            <rFont val="Calibri"/>
            <family val="2"/>
          </rPr>
          <t xml:space="preserve">
no AD. https://www.mahadiscom.in/consumer/wp-content/uploads/2018/03/Comm_Cir_122-12Oct.pdf</t>
        </r>
      </text>
    </comment>
    <comment ref="P10" authorId="0">
      <text>
        <r>
          <rPr>
            <b/>
            <sz val="10"/>
            <color indexed="81"/>
            <rFont val="Calibri"/>
            <family val="2"/>
          </rPr>
          <t>Ranjit Deshmukh:</t>
        </r>
        <r>
          <rPr>
            <sz val="10"/>
            <color indexed="81"/>
            <rFont val="Calibri"/>
            <family val="2"/>
          </rPr>
          <t xml:space="preserve">
http://www.mercindia.org.in/pdf/Order%2058%2042/Order_39_of_2011.pdf</t>
        </r>
      </text>
    </comment>
    <comment ref="U16" authorId="0">
      <text>
        <r>
          <rPr>
            <b/>
            <sz val="10"/>
            <color indexed="81"/>
            <rFont val="Calibri"/>
            <family val="2"/>
          </rPr>
          <t>Ranjit Deshmukh:</t>
        </r>
        <r>
          <rPr>
            <sz val="10"/>
            <color indexed="81"/>
            <rFont val="Calibri"/>
            <family val="2"/>
          </rPr>
          <t xml:space="preserve">
2017 wind first auction</t>
        </r>
      </text>
    </comment>
    <comment ref="M29" authorId="0">
      <text>
        <r>
          <rPr>
            <b/>
            <sz val="10"/>
            <color indexed="81"/>
            <rFont val="Calibri"/>
            <family val="2"/>
          </rPr>
          <t>Ranjit Deshmukh:</t>
        </r>
        <r>
          <rPr>
            <sz val="10"/>
            <color indexed="81"/>
            <rFont val="Calibri"/>
            <family val="2"/>
          </rPr>
          <t xml:space="preserve">
2006-2012 tariffs from RE connect: http://reconnectenergy.com/blog/tag/banking-charges/</t>
        </r>
      </text>
    </comment>
    <comment ref="R29" authorId="0">
      <text>
        <r>
          <rPr>
            <b/>
            <sz val="10"/>
            <color indexed="81"/>
            <rFont val="Calibri"/>
            <family val="2"/>
          </rPr>
          <t>Ranjit Deshmukh:</t>
        </r>
        <r>
          <rPr>
            <sz val="10"/>
            <color indexed="81"/>
            <rFont val="Calibri"/>
            <family val="2"/>
          </rPr>
          <t xml:space="preserve">
Tariff from 2005 to 2011 is from http://www.ireeed.gov.in/policyfiles/155-276_TN01O05310712%20Wind_T%20and%20W%20charges%20for%20wind.pdf</t>
        </r>
      </text>
    </comment>
  </commentList>
</comments>
</file>

<file path=xl/sharedStrings.xml><?xml version="1.0" encoding="utf-8"?>
<sst xmlns="http://schemas.openxmlformats.org/spreadsheetml/2006/main" count="90" uniqueCount="72">
  <si>
    <t>Solar PV annual capacity (GW)</t>
  </si>
  <si>
    <t>Wind annual capacity (GW)</t>
  </si>
  <si>
    <t>Battery annual capacity (GW)</t>
  </si>
  <si>
    <t>Annual rate of change</t>
  </si>
  <si>
    <t>Battery cumulative capacity (GW)</t>
  </si>
  <si>
    <t>Wind cumulative capacity (GW)</t>
  </si>
  <si>
    <t>Solar PV cumulative capacity (GW)</t>
  </si>
  <si>
    <t>Solar PV cost ($/kW)</t>
  </si>
  <si>
    <t>Wind cost ($/kW)</t>
  </si>
  <si>
    <t>Battery cost ($/kWh)</t>
  </si>
  <si>
    <t>Average cost ($/kW or $/kWh)</t>
  </si>
  <si>
    <t>NREL cost estimates</t>
  </si>
  <si>
    <t>Utility-scale</t>
  </si>
  <si>
    <t>$/Wdc</t>
  </si>
  <si>
    <t>Includes soft costs, hardware BoS, inverter, and module</t>
  </si>
  <si>
    <t>U.S. Solar Photovoltaic System Cost Benchmark: Q1 2018</t>
  </si>
  <si>
    <t>Solar PV cost ($/kW) 0%</t>
  </si>
  <si>
    <t xml:space="preserve">Solar PV cost ($/kW) </t>
  </si>
  <si>
    <t>Annual growth rate Solar PV</t>
  </si>
  <si>
    <t>Annual growth rate Wind</t>
  </si>
  <si>
    <t>Solar PV target GW</t>
  </si>
  <si>
    <t>Wind target GW</t>
  </si>
  <si>
    <t>Need to account for inflation in past costs of wind and solar</t>
  </si>
  <si>
    <t>Capacity_target_2030_solar</t>
  </si>
  <si>
    <t>Annual_Growth_Rate_solar</t>
  </si>
  <si>
    <t>Cost</t>
  </si>
  <si>
    <t>Total_capacity_solar</t>
  </si>
  <si>
    <t>Weighted_cost_solar_USDpkW</t>
  </si>
  <si>
    <t>From CERC</t>
  </si>
  <si>
    <t>Wind annual Cap AP (MW)</t>
  </si>
  <si>
    <t>Wind annual Cap GJ (MW)</t>
  </si>
  <si>
    <t>Wind annual Cap KN (MW)</t>
  </si>
  <si>
    <t>Wind annual Cap MP (MW)</t>
  </si>
  <si>
    <t>Wind annual Cap MH (MW)</t>
  </si>
  <si>
    <t>Wind annual Cap RJ (MW)</t>
  </si>
  <si>
    <t>Wind annual Cap TN (MW)</t>
  </si>
  <si>
    <t>Total Annual (GW)</t>
  </si>
  <si>
    <t>FiT nom AP (INR/kWh)</t>
  </si>
  <si>
    <t>FIT nominal</t>
  </si>
  <si>
    <t>FiT nom GJ (INR/kWh)</t>
  </si>
  <si>
    <t>FiT nom KN (INR/kWh)</t>
  </si>
  <si>
    <t>FiT nom MP (INR/kWh)</t>
  </si>
  <si>
    <t>FiT nom MH (INR/kWh)</t>
  </si>
  <si>
    <t>FiT nom RJ (INR/kWh)</t>
  </si>
  <si>
    <t>FiT nom TN (INR/kWh)</t>
  </si>
  <si>
    <t>FiT nom CERC (INR/kWh)</t>
  </si>
  <si>
    <t>NPV</t>
  </si>
  <si>
    <t>disc rate</t>
  </si>
  <si>
    <t>MH 2003-04 to 2010 tariff levelization</t>
  </si>
  <si>
    <t>LCOE</t>
  </si>
  <si>
    <t>CRF</t>
  </si>
  <si>
    <t>http://www.mercindia.org.in/pdf/Order%2058%2042/Draft_Order_Suo_Motu.pdf</t>
  </si>
  <si>
    <t>Red numbers are assumptions</t>
  </si>
  <si>
    <t>Wind</t>
  </si>
  <si>
    <t>Auctions introduced in 2017</t>
  </si>
  <si>
    <t>Auction price (INR/kWh)</t>
  </si>
  <si>
    <t>India Inflation rates</t>
  </si>
  <si>
    <t>source: Consumer Price Index India</t>
  </si>
  <si>
    <t>http://www.inflation.eu/inflation-rates/india/historic-inflation/cpi-inflation-india.aspx</t>
  </si>
  <si>
    <t>INDIA</t>
  </si>
  <si>
    <t>Cumulative inflation factors</t>
  </si>
  <si>
    <t>Average annual inflation rate</t>
  </si>
  <si>
    <t>US</t>
  </si>
  <si>
    <t>Capacity weighted FiT nom (INR/kWh)</t>
  </si>
  <si>
    <t>Capacity weighted FiT real (INR 2017/kWh)</t>
  </si>
  <si>
    <t>&lt;&lt;-- Annual reduction rate</t>
  </si>
  <si>
    <t>GBI not considered.</t>
  </si>
  <si>
    <t>Solar annual capacity (GW)</t>
  </si>
  <si>
    <t>Solar</t>
  </si>
  <si>
    <t>Weighted_cost_wind_USDpkW</t>
  </si>
  <si>
    <t>Annual reduction rate 2010-2018</t>
  </si>
  <si>
    <t>Annual reductino rate 2014-2018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</si>
</sst>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73" formatCode="0.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7" fillId="0" borderId="0"/>
  </cellStyleXfs>
  <cellXfs count="18">
    <xf numFmtId="0" fontId="0" fillId="0" borderId="0" xfId="0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9" fontId="0" fillId="0" borderId="0" xfId="1" applyFont="1"/>
    <xf numFmtId="0" fontId="2" fillId="0" borderId="0" xfId="2"/>
    <xf numFmtId="165" fontId="0" fillId="0" borderId="0" xfId="1" applyNumberFormat="1" applyFont="1"/>
    <xf numFmtId="10" fontId="0" fillId="0" borderId="0" xfId="1" applyNumberFormat="1" applyFont="1"/>
    <xf numFmtId="9" fontId="0" fillId="0" borderId="0" xfId="1" applyNumberFormat="1" applyFont="1"/>
    <xf numFmtId="2" fontId="0" fillId="0" borderId="0" xfId="0" applyNumberFormat="1"/>
    <xf numFmtId="0" fontId="0" fillId="0" borderId="0" xfId="0" applyAlignment="1">
      <alignment wrapText="1"/>
    </xf>
    <xf numFmtId="2" fontId="3" fillId="0" borderId="0" xfId="0" applyNumberFormat="1" applyFont="1"/>
    <xf numFmtId="0" fontId="3" fillId="0" borderId="0" xfId="0" applyFont="1"/>
    <xf numFmtId="0" fontId="7" fillId="0" borderId="0" xfId="3"/>
    <xf numFmtId="0" fontId="7" fillId="0" borderId="0" xfId="3" applyAlignment="1">
      <alignment wrapText="1"/>
    </xf>
    <xf numFmtId="10" fontId="7" fillId="0" borderId="0" xfId="3" applyNumberFormat="1"/>
    <xf numFmtId="173" fontId="7" fillId="0" borderId="0" xfId="3" applyNumberFormat="1"/>
    <xf numFmtId="10" fontId="7" fillId="0" borderId="0" xfId="1" applyNumberFormat="1" applyFont="1"/>
  </cellXfs>
  <cellStyles count="4">
    <cellStyle name="Hyperlink" xfId="2" builtinId="8"/>
    <cellStyle name="Normal" xfId="0" builtinId="0"/>
    <cellStyle name="Normal 2" xfId="3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rel.gov/docs/fy19osti/72399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ercindia.org.in/pdf/Order%2058%2042/Draft_Order_Suo_Motu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nflation.eu/inflation-rates/india/historic-inflation/cpi-inflation-india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S32"/>
  <sheetViews>
    <sheetView workbookViewId="0">
      <selection activeCell="F15" sqref="F15"/>
    </sheetView>
  </sheetViews>
  <sheetFormatPr baseColWidth="10" defaultRowHeight="16" x14ac:dyDescent="0.2"/>
  <cols>
    <col min="1" max="1" width="24" bestFit="1" customWidth="1"/>
    <col min="2" max="2" width="18.6640625" bestFit="1" customWidth="1"/>
    <col min="17" max="17" width="18.33203125" bestFit="1" customWidth="1"/>
    <col min="18" max="18" width="26.5" bestFit="1" customWidth="1"/>
  </cols>
  <sheetData>
    <row r="3" spans="1:19" x14ac:dyDescent="0.2">
      <c r="A3" t="s">
        <v>68</v>
      </c>
      <c r="B3" s="1">
        <v>0.05</v>
      </c>
      <c r="C3">
        <v>850</v>
      </c>
      <c r="D3" s="3">
        <f>C3*(1-$B3)</f>
        <v>807.5</v>
      </c>
      <c r="E3" s="3">
        <f>D3*(1-$B3)</f>
        <v>767.125</v>
      </c>
      <c r="F3" s="3">
        <f t="shared" ref="F3:P4" si="0">E3*(1-$B3)</f>
        <v>728.76874999999995</v>
      </c>
      <c r="G3" s="3">
        <f t="shared" si="0"/>
        <v>692.33031249999988</v>
      </c>
      <c r="H3" s="3">
        <f t="shared" si="0"/>
        <v>657.71379687499984</v>
      </c>
      <c r="I3" s="3">
        <f t="shared" si="0"/>
        <v>624.82810703124983</v>
      </c>
      <c r="J3" s="3">
        <f t="shared" si="0"/>
        <v>593.58670167968728</v>
      </c>
      <c r="K3" s="3">
        <f t="shared" si="0"/>
        <v>563.90736659570291</v>
      </c>
      <c r="L3" s="3">
        <f t="shared" si="0"/>
        <v>535.71199826591771</v>
      </c>
      <c r="M3" s="3">
        <f t="shared" si="0"/>
        <v>508.92639835262179</v>
      </c>
      <c r="N3" s="3">
        <f t="shared" si="0"/>
        <v>483.48007843499067</v>
      </c>
      <c r="O3" s="3">
        <f t="shared" si="0"/>
        <v>459.30607451324113</v>
      </c>
      <c r="P3" s="3">
        <f t="shared" si="0"/>
        <v>436.34077078757906</v>
      </c>
    </row>
    <row r="4" spans="1:19" x14ac:dyDescent="0.2">
      <c r="A4" t="s">
        <v>25</v>
      </c>
      <c r="B4" s="1">
        <v>0</v>
      </c>
      <c r="C4">
        <v>850</v>
      </c>
      <c r="D4" s="3">
        <f>C4*(1-$B4)</f>
        <v>850</v>
      </c>
      <c r="E4" s="3">
        <f>D4*(1-$B4)</f>
        <v>850</v>
      </c>
      <c r="F4" s="3">
        <f t="shared" si="0"/>
        <v>850</v>
      </c>
      <c r="G4" s="3">
        <f t="shared" si="0"/>
        <v>850</v>
      </c>
      <c r="H4" s="3">
        <f t="shared" si="0"/>
        <v>850</v>
      </c>
      <c r="I4" s="3">
        <f t="shared" si="0"/>
        <v>850</v>
      </c>
      <c r="J4" s="3">
        <f t="shared" si="0"/>
        <v>850</v>
      </c>
      <c r="K4" s="3">
        <f t="shared" si="0"/>
        <v>850</v>
      </c>
      <c r="L4" s="3">
        <f t="shared" si="0"/>
        <v>850</v>
      </c>
      <c r="M4" s="3">
        <f t="shared" si="0"/>
        <v>850</v>
      </c>
      <c r="N4" s="3">
        <f t="shared" si="0"/>
        <v>850</v>
      </c>
      <c r="O4" s="3">
        <f t="shared" si="0"/>
        <v>850</v>
      </c>
      <c r="P4" s="3">
        <f t="shared" si="0"/>
        <v>850</v>
      </c>
    </row>
    <row r="5" spans="1:19" x14ac:dyDescent="0.2">
      <c r="A5" t="s">
        <v>23</v>
      </c>
      <c r="B5" t="s">
        <v>24</v>
      </c>
      <c r="C5">
        <v>2017</v>
      </c>
      <c r="D5">
        <v>2018</v>
      </c>
      <c r="E5">
        <v>2019</v>
      </c>
      <c r="F5">
        <v>2020</v>
      </c>
      <c r="G5">
        <v>2021</v>
      </c>
      <c r="H5">
        <v>2022</v>
      </c>
      <c r="I5">
        <v>2023</v>
      </c>
      <c r="J5">
        <v>2024</v>
      </c>
      <c r="K5">
        <v>2025</v>
      </c>
      <c r="L5">
        <v>2026</v>
      </c>
      <c r="M5">
        <v>2027</v>
      </c>
      <c r="N5">
        <v>2028</v>
      </c>
      <c r="O5">
        <v>2029</v>
      </c>
      <c r="P5">
        <v>2030</v>
      </c>
      <c r="Q5" t="s">
        <v>26</v>
      </c>
      <c r="R5" t="s">
        <v>27</v>
      </c>
    </row>
    <row r="6" spans="1:19" x14ac:dyDescent="0.2">
      <c r="A6">
        <v>50</v>
      </c>
      <c r="B6" s="8">
        <f>((A6/C6)^(1/($P$5-$C$5))-1)</f>
        <v>0.11603048646067049</v>
      </c>
      <c r="C6">
        <v>12</v>
      </c>
      <c r="D6" s="3">
        <f>SUM(C6:$C6)*($B6)</f>
        <v>1.3923658375280459</v>
      </c>
      <c r="E6" s="3">
        <f>SUM($C6:D6)*($B6)</f>
        <v>1.553922722987644</v>
      </c>
      <c r="F6" s="3">
        <f>SUM($C6:E6)*($B6)</f>
        <v>1.7342251324581899</v>
      </c>
      <c r="G6" s="3">
        <f>SUM($C6:F6)*($B6)</f>
        <v>1.9354481182096344</v>
      </c>
      <c r="H6" s="3">
        <f>SUM($C6:G6)*($B6)</f>
        <v>2.1600191048848876</v>
      </c>
      <c r="I6" s="3">
        <f>SUM($C6:H6)*($B6)</f>
        <v>2.410647172389023</v>
      </c>
      <c r="J6" s="3">
        <f>SUM($C6:I6)*($B6)</f>
        <v>2.6903557364863615</v>
      </c>
      <c r="K6" s="3">
        <f>SUM($C6:J6)*($B6)</f>
        <v>3.002519021343129</v>
      </c>
      <c r="L6" s="3">
        <f>SUM($C6:K6)*($B6)</f>
        <v>3.3509027639969888</v>
      </c>
      <c r="M6" s="3">
        <f>SUM($C6:L6)*($B6)</f>
        <v>3.7397096417859648</v>
      </c>
      <c r="N6" s="3">
        <f>SUM($C6:M6)*($B6)</f>
        <v>4.1736299707440496</v>
      </c>
      <c r="O6" s="3">
        <f>SUM($C6:N6)*($B6)</f>
        <v>4.6578982865563159</v>
      </c>
      <c r="P6" s="3">
        <f>SUM($C6:O6)*($B6)</f>
        <v>5.1983564906297692</v>
      </c>
      <c r="Q6" s="3">
        <f>SUM(C6:P6)</f>
        <v>50.000000000000007</v>
      </c>
      <c r="R6" s="3">
        <f t="shared" ref="R6:R14" si="1">SUMPRODUCT($C$3:$P$3,C6:P6)/SUM(C6:P6)</f>
        <v>629.22203798974965</v>
      </c>
      <c r="S6" s="3"/>
    </row>
    <row r="7" spans="1:19" x14ac:dyDescent="0.2">
      <c r="A7">
        <v>75</v>
      </c>
      <c r="B7" s="8">
        <f t="shared" ref="B7:B15" si="2">((A7/C7)^(1/($P$5-$C$5))-1)</f>
        <v>0.15138757835407213</v>
      </c>
      <c r="C7">
        <v>12</v>
      </c>
      <c r="D7" s="3">
        <f>SUM(C7:$C7)*($B7)</f>
        <v>1.8166509402488655</v>
      </c>
      <c r="E7" s="3">
        <f>SUM($C7:D7)*($B7)</f>
        <v>2.0916693268077897</v>
      </c>
      <c r="F7" s="3">
        <f>SUM($C7:E7)*($B7)</f>
        <v>2.4083220809107133</v>
      </c>
      <c r="G7" s="3">
        <f>SUM($C7:F7)*($B7)</f>
        <v>2.7729121286364258</v>
      </c>
      <c r="H7" s="3">
        <f>SUM($C7:G7)*($B7)</f>
        <v>3.1926965807793297</v>
      </c>
      <c r="I7" s="3">
        <f>SUM($C7:H7)*($B7)</f>
        <v>3.6760311845628384</v>
      </c>
      <c r="J7" s="3">
        <f>SUM($C7:I7)*($B7)</f>
        <v>4.2325366435478573</v>
      </c>
      <c r="K7" s="3">
        <f>SUM($C7:J7)*($B7)</f>
        <v>4.8732901163094402</v>
      </c>
      <c r="L7" s="3">
        <f>SUM($C7:K7)*($B7)</f>
        <v>5.6110457056343614</v>
      </c>
      <c r="M7" s="3">
        <f>SUM($C7:L7)*($B7)</f>
        <v>6.4604883270443629</v>
      </c>
      <c r="N7" s="3">
        <f>SUM($C7:M7)*($B7)</f>
        <v>7.4385260098603601</v>
      </c>
      <c r="O7" s="3">
        <f>SUM($C7:N7)*($B7)</f>
        <v>8.5646264490168988</v>
      </c>
      <c r="P7" s="3">
        <f>SUM($C7:O7)*($B7)</f>
        <v>9.8612045066408047</v>
      </c>
      <c r="Q7" s="3">
        <f t="shared" ref="Q7:Q15" si="3">SUM(C7:P7)</f>
        <v>75.000000000000057</v>
      </c>
      <c r="R7" s="3">
        <f t="shared" si="1"/>
        <v>596.40607399736996</v>
      </c>
    </row>
    <row r="8" spans="1:19" x14ac:dyDescent="0.2">
      <c r="A8">
        <v>100</v>
      </c>
      <c r="B8" s="8">
        <f t="shared" si="2"/>
        <v>0.17715109743802482</v>
      </c>
      <c r="C8">
        <v>12</v>
      </c>
      <c r="D8" s="3">
        <f>SUM(C8:$C8)*($B8)</f>
        <v>2.1258131692562978</v>
      </c>
      <c r="E8" s="3">
        <f>SUM($C8:D8)*($B8)</f>
        <v>2.5024033051382566</v>
      </c>
      <c r="F8" s="3">
        <f>SUM($C8:E8)*($B8)</f>
        <v>2.9457067968760389</v>
      </c>
      <c r="G8" s="3">
        <f>SUM($C8:F8)*($B8)</f>
        <v>3.4675419886732777</v>
      </c>
      <c r="H8" s="3">
        <f>SUM($C8:G8)*($B8)</f>
        <v>4.0818208573791805</v>
      </c>
      <c r="I8" s="3">
        <f>SUM($C8:H8)*($B8)</f>
        <v>4.8049199018093214</v>
      </c>
      <c r="J8" s="3">
        <f>SUM($C8:I8)*($B8)</f>
        <v>5.6561167355166493</v>
      </c>
      <c r="K8" s="3">
        <f>SUM($C8:J8)*($B8)</f>
        <v>6.6581040224510026</v>
      </c>
      <c r="L8" s="3">
        <f>SUM($C8:K8)*($B8)</f>
        <v>7.837594456884724</v>
      </c>
      <c r="M8" s="3">
        <f>SUM($C8:L8)*($B8)</f>
        <v>9.2260329161960328</v>
      </c>
      <c r="N8" s="3">
        <f>SUM($C8:M8)*($B8)</f>
        <v>10.8604347722995</v>
      </c>
      <c r="O8" s="3">
        <f>SUM($C8:N8)*($B8)</f>
        <v>12.784372710866444</v>
      </c>
      <c r="P8" s="3">
        <f>SUM($C8:O8)*($B8)</f>
        <v>15.049138366653171</v>
      </c>
      <c r="Q8" s="3">
        <f t="shared" si="3"/>
        <v>99.999999999999901</v>
      </c>
      <c r="R8" s="3">
        <f t="shared" si="1"/>
        <v>577.65903868909618</v>
      </c>
    </row>
    <row r="9" spans="1:19" x14ac:dyDescent="0.2">
      <c r="A9">
        <v>150</v>
      </c>
      <c r="B9" s="8">
        <f t="shared" si="2"/>
        <v>0.21444455853022926</v>
      </c>
      <c r="C9">
        <v>12</v>
      </c>
      <c r="D9" s="3">
        <f>SUM(C9:$C9)*($B9)</f>
        <v>2.5733347023627511</v>
      </c>
      <c r="E9" s="3">
        <f>SUM($C9:D9)*($B9)</f>
        <v>3.1251723265614499</v>
      </c>
      <c r="F9" s="3">
        <f>SUM($C9:E9)*($B9)</f>
        <v>3.7953485264618099</v>
      </c>
      <c r="G9" s="3">
        <f>SUM($C9:F9)*($B9)</f>
        <v>4.6092403656872687</v>
      </c>
      <c r="H9" s="3">
        <f>SUM($C9:G9)*($B9)</f>
        <v>5.5976668810667887</v>
      </c>
      <c r="I9" s="3">
        <f>SUM($C9:H9)*($B9)</f>
        <v>6.7980560841764408</v>
      </c>
      <c r="J9" s="3">
        <f>SUM($C9:I9)*($B9)</f>
        <v>8.2558622200113962</v>
      </c>
      <c r="K9" s="3">
        <f>SUM($C9:J9)*($B9)</f>
        <v>10.026286949068139</v>
      </c>
      <c r="L9" s="3">
        <f>SUM($C9:K9)*($B9)</f>
        <v>12.176369627558454</v>
      </c>
      <c r="M9" s="3">
        <f>SUM($C9:L9)*($B9)</f>
        <v>14.78752583684112</v>
      </c>
      <c r="N9" s="3">
        <f>SUM($C9:M9)*($B9)</f>
        <v>17.958630286676872</v>
      </c>
      <c r="O9" s="3">
        <f>SUM($C9:N9)*($B9)</f>
        <v>21.8097608303109</v>
      </c>
      <c r="P9" s="3">
        <f>SUM($C9:O9)*($B9)</f>
        <v>26.486745363216805</v>
      </c>
      <c r="Q9" s="3">
        <f t="shared" si="3"/>
        <v>150.0000000000002</v>
      </c>
      <c r="R9" s="3">
        <f t="shared" si="1"/>
        <v>556.14794822919907</v>
      </c>
    </row>
    <row r="10" spans="1:19" x14ac:dyDescent="0.2">
      <c r="A10">
        <v>200</v>
      </c>
      <c r="B10" s="8">
        <f t="shared" si="2"/>
        <v>0.24161904447077021</v>
      </c>
      <c r="C10">
        <v>12</v>
      </c>
      <c r="D10" s="3">
        <f>SUM(C10:$C10)*($B10)</f>
        <v>2.8994285336492425</v>
      </c>
      <c r="E10" s="3">
        <f>SUM($C10:D10)*($B10)</f>
        <v>3.599985685460859</v>
      </c>
      <c r="F10" s="3">
        <f>SUM($C10:E10)*($B10)</f>
        <v>4.4698107868903625</v>
      </c>
      <c r="G10" s="3">
        <f>SUM($C10:F10)*($B10)</f>
        <v>5.5498021981839534</v>
      </c>
      <c r="H10" s="3">
        <f>SUM($C10:G10)*($B10)</f>
        <v>6.8907401023109403</v>
      </c>
      <c r="I10" s="3">
        <f>SUM($C10:H10)*($B10)</f>
        <v>8.555674141527728</v>
      </c>
      <c r="J10" s="3">
        <f>SUM($C10:I10)*($B10)</f>
        <v>10.622887952406934</v>
      </c>
      <c r="K10" s="3">
        <f>SUM($C10:J10)*($B10)</f>
        <v>13.189579988987553</v>
      </c>
      <c r="L10" s="3">
        <f>SUM($C10:K10)*($B10)</f>
        <v>16.376433702897518</v>
      </c>
      <c r="M10" s="3">
        <f>SUM($C10:L10)*($B10)</f>
        <v>20.333291966030533</v>
      </c>
      <c r="N10" s="3">
        <f>SUM($C10:M10)*($B10)</f>
        <v>25.246202541808017</v>
      </c>
      <c r="O10" s="3">
        <f>SUM($C10:N10)*($B10)</f>
        <v>31.346165876475201</v>
      </c>
      <c r="P10" s="3">
        <f>SUM($C10:O10)*($B10)</f>
        <v>38.919996523371402</v>
      </c>
      <c r="Q10" s="3">
        <f t="shared" si="3"/>
        <v>200.00000000000023</v>
      </c>
      <c r="R10" s="3">
        <f t="shared" si="1"/>
        <v>543.65525930763886</v>
      </c>
    </row>
    <row r="11" spans="1:19" x14ac:dyDescent="0.2">
      <c r="A11">
        <v>225</v>
      </c>
      <c r="B11" s="8">
        <f t="shared" si="2"/>
        <v>0.25291951810912949</v>
      </c>
      <c r="C11">
        <v>12</v>
      </c>
      <c r="D11" s="3">
        <f>SUM(C11:$C11)*($B11)</f>
        <v>3.0350342173095539</v>
      </c>
      <c r="E11" s="3">
        <f>SUM($C11:D11)*($B11)</f>
        <v>3.8026536089962053</v>
      </c>
      <c r="F11" s="3">
        <f>SUM($C11:E11)*($B11)</f>
        <v>4.7644189273194684</v>
      </c>
      <c r="G11" s="3">
        <f>SUM($C11:F11)*($B11)</f>
        <v>5.969433466487124</v>
      </c>
      <c r="H11" s="3">
        <f>SUM($C11:G11)*($B11)</f>
        <v>7.4792197022155573</v>
      </c>
      <c r="I11" s="3">
        <f>SUM($C11:H11)*($B11)</f>
        <v>9.3708603451322237</v>
      </c>
      <c r="J11" s="3">
        <f>SUM($C11:I11)*($B11)</f>
        <v>11.740933827891016</v>
      </c>
      <c r="K11" s="3">
        <f>SUM($C11:J11)*($B11)</f>
        <v>14.71044515379239</v>
      </c>
      <c r="L11" s="3">
        <f>SUM($C11:K11)*($B11)</f>
        <v>18.431003853260343</v>
      </c>
      <c r="M11" s="3">
        <f>SUM($C11:L11)*($B11)</f>
        <v>23.092564466094458</v>
      </c>
      <c r="N11" s="3">
        <f>SUM($C11:M11)*($B11)</f>
        <v>28.933124742763077</v>
      </c>
      <c r="O11" s="3">
        <f>SUM($C11:N11)*($B11)</f>
        <v>36.25087671009404</v>
      </c>
      <c r="P11" s="3">
        <f>SUM($C11:O11)*($B11)</f>
        <v>45.419430978644492</v>
      </c>
      <c r="Q11" s="3">
        <f t="shared" si="3"/>
        <v>224.99999999999997</v>
      </c>
      <c r="R11" s="3">
        <f t="shared" si="1"/>
        <v>539.08953788513566</v>
      </c>
    </row>
    <row r="12" spans="1:19" x14ac:dyDescent="0.2">
      <c r="A12">
        <v>300</v>
      </c>
      <c r="B12" s="8">
        <f t="shared" si="2"/>
        <v>0.28095492210541528</v>
      </c>
      <c r="C12">
        <v>12</v>
      </c>
      <c r="D12" s="3">
        <f>SUM(C12:$C12)*($B12)</f>
        <v>3.3714590652649834</v>
      </c>
      <c r="E12" s="3">
        <f>SUM($C12:D12)*($B12)</f>
        <v>4.3186870843281024</v>
      </c>
      <c r="F12" s="3">
        <f>SUM($C12:E12)*($B12)</f>
        <v>5.5320434777031675</v>
      </c>
      <c r="G12" s="3">
        <f>SUM($C12:F12)*($B12)</f>
        <v>7.0862983220650317</v>
      </c>
      <c r="H12" s="3">
        <f>SUM($C12:G12)*($B12)</f>
        <v>9.0772287151565489</v>
      </c>
      <c r="I12" s="3">
        <f>SUM($C12:H12)*($B12)</f>
        <v>11.627520801756397</v>
      </c>
      <c r="J12" s="3">
        <f>SUM($C12:I12)*($B12)</f>
        <v>14.894330002892961</v>
      </c>
      <c r="K12" s="3">
        <f>SUM($C12:J12)*($B12)</f>
        <v>19.078965328668101</v>
      </c>
      <c r="L12" s="3">
        <f>SUM($C12:K12)*($B12)</f>
        <v>24.439294546435967</v>
      </c>
      <c r="M12" s="3">
        <f>SUM($C12:L12)*($B12)</f>
        <v>31.305634642041184</v>
      </c>
      <c r="N12" s="3">
        <f>SUM($C12:M12)*($B12)</f>
        <v>40.101106784356453</v>
      </c>
      <c r="O12" s="3">
        <f>SUM($C12:N12)*($B12)</f>
        <v>51.367710117296262</v>
      </c>
      <c r="P12" s="3">
        <f>SUM($C12:O12)*($B12)</f>
        <v>65.799721112034788</v>
      </c>
      <c r="Q12" s="3">
        <f t="shared" si="3"/>
        <v>299.99999999999994</v>
      </c>
      <c r="R12" s="3">
        <f t="shared" si="1"/>
        <v>529.08569011364864</v>
      </c>
    </row>
    <row r="13" spans="1:19" x14ac:dyDescent="0.2">
      <c r="A13">
        <v>400</v>
      </c>
      <c r="B13" s="8">
        <f t="shared" si="2"/>
        <v>0.3096176480213253</v>
      </c>
      <c r="C13">
        <v>12</v>
      </c>
      <c r="D13" s="3">
        <f>SUM(C13:$C13)*($B13)</f>
        <v>3.7154117762559036</v>
      </c>
      <c r="E13" s="3">
        <f>SUM($C13:D13)*($B13)</f>
        <v>4.8657688318509908</v>
      </c>
      <c r="F13" s="3">
        <f>SUM($C13:E13)*($B13)</f>
        <v>6.3722967333841662</v>
      </c>
      <c r="G13" s="3">
        <f>SUM($C13:F13)*($B13)</f>
        <v>8.3452722604685459</v>
      </c>
      <c r="H13" s="3">
        <f>SUM($C13:G13)*($B13)</f>
        <v>10.929115829852426</v>
      </c>
      <c r="I13" s="3">
        <f>SUM($C13:H13)*($B13)</f>
        <v>14.312962968043969</v>
      </c>
      <c r="J13" s="3">
        <f>SUM($C13:I13)*($B13)</f>
        <v>18.744508898426069</v>
      </c>
      <c r="K13" s="3">
        <f>SUM($C13:J13)*($B13)</f>
        <v>24.548139656871552</v>
      </c>
      <c r="L13" s="3">
        <f>SUM($C13:K13)*($B13)</f>
        <v>32.148676920731148</v>
      </c>
      <c r="M13" s="3">
        <f>SUM($C13:L13)*($B13)</f>
        <v>42.102474655925384</v>
      </c>
      <c r="N13" s="3">
        <f>SUM($C13:M13)*($B13)</f>
        <v>55.13814383477046</v>
      </c>
      <c r="O13" s="3">
        <f>SUM($C13:N13)*($B13)</f>
        <v>72.209886245153626</v>
      </c>
      <c r="P13" s="3">
        <f>SUM($C13:O13)*($B13)</f>
        <v>94.567341388265547</v>
      </c>
      <c r="Q13" s="3">
        <f t="shared" si="3"/>
        <v>399.99999999999983</v>
      </c>
      <c r="R13" s="3">
        <f t="shared" si="1"/>
        <v>520.48229075565689</v>
      </c>
    </row>
    <row r="14" spans="1:19" x14ac:dyDescent="0.2">
      <c r="A14">
        <v>450</v>
      </c>
      <c r="B14" s="8">
        <f t="shared" si="2"/>
        <v>0.32153700426324217</v>
      </c>
      <c r="C14">
        <v>12</v>
      </c>
      <c r="D14" s="3">
        <f>SUM(C14:$C14)*($B14)</f>
        <v>3.858444051158906</v>
      </c>
      <c r="E14" s="3">
        <f>SUM($C14:D14)*($B14)</f>
        <v>5.0990765924858685</v>
      </c>
      <c r="F14" s="3">
        <f>SUM($C14:E14)*($B14)</f>
        <v>6.7386184045425956</v>
      </c>
      <c r="G14" s="3">
        <f>SUM($C14:F14)*($B14)</f>
        <v>8.9053335792123693</v>
      </c>
      <c r="H14" s="3">
        <f>SUM($C14:G14)*($B14)</f>
        <v>11.768727860237171</v>
      </c>
      <c r="I14" s="3">
        <f>SUM($C14:H14)*($B14)</f>
        <v>15.552809360407187</v>
      </c>
      <c r="J14" s="3">
        <f>SUM($C14:I14)*($B14)</f>
        <v>20.553613090029824</v>
      </c>
      <c r="K14" s="3">
        <f>SUM($C14:J14)*($B14)</f>
        <v>27.162360269783775</v>
      </c>
      <c r="L14" s="3">
        <f>SUM($C14:K14)*($B14)</f>
        <v>35.896064219648956</v>
      </c>
      <c r="M14" s="3">
        <f>SUM($C14:L14)*($B14)</f>
        <v>47.43797717367584</v>
      </c>
      <c r="N14" s="3">
        <f>SUM($C14:M14)*($B14)</f>
        <v>62.691042242407633</v>
      </c>
      <c r="O14" s="3">
        <f>SUM($C14:N14)*($B14)</f>
        <v>82.848532159171754</v>
      </c>
      <c r="P14" s="3">
        <f>SUM($C14:O14)*($B14)</f>
        <v>109.48740099723874</v>
      </c>
      <c r="Q14" s="3">
        <f t="shared" si="3"/>
        <v>450.00000000000068</v>
      </c>
      <c r="R14" s="3">
        <f t="shared" si="1"/>
        <v>517.30723416014405</v>
      </c>
    </row>
    <row r="15" spans="1:19" x14ac:dyDescent="0.2">
      <c r="A15">
        <v>600</v>
      </c>
      <c r="B15" s="8">
        <f t="shared" si="2"/>
        <v>0.35110779733898223</v>
      </c>
      <c r="C15">
        <v>12</v>
      </c>
      <c r="D15" s="3">
        <f>SUM(C15:$C15)*($B15)</f>
        <v>4.2132935680677868</v>
      </c>
      <c r="E15" s="3">
        <f>SUM($C15:D15)*($B15)</f>
        <v>5.6926137922945683</v>
      </c>
      <c r="F15" s="3">
        <f>SUM($C15:E15)*($B15)</f>
        <v>7.6913348820086256</v>
      </c>
      <c r="G15" s="3">
        <f>SUM($C15:F15)*($B15)</f>
        <v>10.391822531027154</v>
      </c>
      <c r="H15" s="3">
        <f>SUM($C15:G15)*($B15)</f>
        <v>14.040472450233706</v>
      </c>
      <c r="I15" s="3">
        <f>SUM($C15:H15)*($B15)</f>
        <v>18.970191805833924</v>
      </c>
      <c r="J15" s="3">
        <f>SUM($C15:I15)*($B15)</f>
        <v>25.630774065878285</v>
      </c>
      <c r="K15" s="3">
        <f>SUM($C15:J15)*($B15)</f>
        <v>34.629938692241922</v>
      </c>
      <c r="L15" s="3">
        <f>SUM($C15:K15)*($B15)</f>
        <v>46.788780188458979</v>
      </c>
      <c r="M15" s="3">
        <f>SUM($C15:L15)*($B15)</f>
        <v>63.216685740606628</v>
      </c>
      <c r="N15" s="3">
        <f>SUM($C15:M15)*($B15)</f>
        <v>85.412557026061663</v>
      </c>
      <c r="O15" s="3">
        <f>SUM($C15:N15)*($B15)</f>
        <v>115.4015717885724</v>
      </c>
      <c r="P15" s="3">
        <f>SUM($C15:O15)*($B15)</f>
        <v>155.91996346871449</v>
      </c>
      <c r="Q15" s="3">
        <f t="shared" si="3"/>
        <v>600.00000000000023</v>
      </c>
      <c r="R15" s="3">
        <f>SUMPRODUCT($C$3:$P$3,C15:P15)/SUM(C15:P15)</f>
        <v>510.2849094612983</v>
      </c>
    </row>
    <row r="20" spans="1:18" x14ac:dyDescent="0.2">
      <c r="A20" t="s">
        <v>53</v>
      </c>
      <c r="B20" s="1">
        <v>0.03</v>
      </c>
      <c r="C20">
        <v>1250</v>
      </c>
      <c r="D20" s="3">
        <f>C20*(1-$B20)</f>
        <v>1212.5</v>
      </c>
      <c r="E20" s="3">
        <f>D20*(1-$B20)</f>
        <v>1176.125</v>
      </c>
      <c r="F20" s="3">
        <f t="shared" ref="F20:P20" si="4">E20*(1-$B20)</f>
        <v>1140.8412499999999</v>
      </c>
      <c r="G20" s="3">
        <f t="shared" si="4"/>
        <v>1106.6160124999999</v>
      </c>
      <c r="H20" s="3">
        <f t="shared" si="4"/>
        <v>1073.417532125</v>
      </c>
      <c r="I20" s="3">
        <f t="shared" si="4"/>
        <v>1041.2150061612499</v>
      </c>
      <c r="J20" s="3">
        <f t="shared" si="4"/>
        <v>1009.9785559764124</v>
      </c>
      <c r="K20" s="3">
        <f t="shared" si="4"/>
        <v>979.67919929712002</v>
      </c>
      <c r="L20" s="3">
        <f t="shared" si="4"/>
        <v>950.28882331820637</v>
      </c>
      <c r="M20" s="3">
        <f t="shared" si="4"/>
        <v>921.78015861866015</v>
      </c>
      <c r="N20" s="3">
        <f t="shared" si="4"/>
        <v>894.12675386010028</v>
      </c>
      <c r="O20" s="3">
        <f t="shared" si="4"/>
        <v>867.30295124429722</v>
      </c>
      <c r="P20" s="3">
        <f t="shared" si="4"/>
        <v>841.28386270696831</v>
      </c>
    </row>
    <row r="21" spans="1:18" x14ac:dyDescent="0.2">
      <c r="A21" t="s">
        <v>25</v>
      </c>
      <c r="B21" s="1">
        <v>0</v>
      </c>
      <c r="C21">
        <v>1250</v>
      </c>
      <c r="D21" s="3">
        <f>C21*(1-$B21)</f>
        <v>1250</v>
      </c>
      <c r="E21" s="3">
        <f>D21*(1-$B21)</f>
        <v>1250</v>
      </c>
      <c r="F21" s="3">
        <f t="shared" ref="F21:P21" si="5">E21*(1-$B21)</f>
        <v>1250</v>
      </c>
      <c r="G21" s="3">
        <f t="shared" si="5"/>
        <v>1250</v>
      </c>
      <c r="H21" s="3">
        <f t="shared" si="5"/>
        <v>1250</v>
      </c>
      <c r="I21" s="3">
        <f t="shared" si="5"/>
        <v>1250</v>
      </c>
      <c r="J21" s="3">
        <f t="shared" si="5"/>
        <v>1250</v>
      </c>
      <c r="K21" s="3">
        <f t="shared" si="5"/>
        <v>1250</v>
      </c>
      <c r="L21" s="3">
        <f t="shared" si="5"/>
        <v>1250</v>
      </c>
      <c r="M21" s="3">
        <f t="shared" si="5"/>
        <v>1250</v>
      </c>
      <c r="N21" s="3">
        <f t="shared" si="5"/>
        <v>1250</v>
      </c>
      <c r="O21" s="3">
        <f t="shared" si="5"/>
        <v>1250</v>
      </c>
      <c r="P21" s="3">
        <f t="shared" si="5"/>
        <v>1250</v>
      </c>
    </row>
    <row r="22" spans="1:18" x14ac:dyDescent="0.2">
      <c r="A22" t="s">
        <v>23</v>
      </c>
      <c r="B22" t="s">
        <v>24</v>
      </c>
      <c r="C22">
        <v>2017</v>
      </c>
      <c r="D22">
        <v>2018</v>
      </c>
      <c r="E22">
        <v>2019</v>
      </c>
      <c r="F22">
        <v>2020</v>
      </c>
      <c r="G22">
        <v>2021</v>
      </c>
      <c r="H22">
        <v>2022</v>
      </c>
      <c r="I22">
        <v>2023</v>
      </c>
      <c r="J22">
        <v>2024</v>
      </c>
      <c r="K22">
        <v>2025</v>
      </c>
      <c r="L22">
        <v>2026</v>
      </c>
      <c r="M22">
        <v>2027</v>
      </c>
      <c r="N22">
        <v>2028</v>
      </c>
      <c r="O22">
        <v>2029</v>
      </c>
      <c r="P22">
        <v>2030</v>
      </c>
      <c r="Q22" t="s">
        <v>26</v>
      </c>
      <c r="R22" t="s">
        <v>69</v>
      </c>
    </row>
    <row r="23" spans="1:18" x14ac:dyDescent="0.2">
      <c r="A23">
        <v>50</v>
      </c>
      <c r="B23" s="8">
        <f>((A23/C23)^(1/($P$5-$C$5))-1)</f>
        <v>3.0110774665771611E-2</v>
      </c>
      <c r="C23">
        <v>34</v>
      </c>
      <c r="D23" s="3">
        <f>SUM(C23:$C23)*($B23)</f>
        <v>1.0237663386362348</v>
      </c>
      <c r="E23" s="3">
        <f>SUM($C23:D23)*($B23)</f>
        <v>1.0545927361693126</v>
      </c>
      <c r="F23" s="3">
        <f>SUM($C23:E23)*($B23)</f>
        <v>1.0863473404122661</v>
      </c>
      <c r="G23" s="3">
        <f>SUM($C23:F23)*($B23)</f>
        <v>1.1190581003881803</v>
      </c>
      <c r="H23" s="3">
        <f>SUM($C23:G23)*($B23)</f>
        <v>1.1527538066868752</v>
      </c>
      <c r="I23" s="3">
        <f>SUM($C23:H23)*($B23)</f>
        <v>1.1874641168051341</v>
      </c>
      <c r="J23" s="3">
        <f>SUM($C23:I23)*($B23)</f>
        <v>1.2232195812499429</v>
      </c>
      <c r="K23" s="3">
        <f>SUM($C23:J23)*($B23)</f>
        <v>1.2600516704277194</v>
      </c>
      <c r="L23" s="3">
        <f>SUM($C23:K23)*($B23)</f>
        <v>1.2979928023431977</v>
      </c>
      <c r="M23" s="3">
        <f>SUM($C23:L23)*($B23)</f>
        <v>1.337076371132347</v>
      </c>
      <c r="N23" s="3">
        <f>SUM($C23:M23)*($B23)</f>
        <v>1.3773367764544409</v>
      </c>
      <c r="O23" s="3">
        <f>SUM($C23:N23)*($B23)</f>
        <v>1.4188094537691407</v>
      </c>
      <c r="P23" s="3">
        <f>SUM($C23:O23)*($B23)</f>
        <v>1.4615309055252499</v>
      </c>
      <c r="Q23" s="3">
        <f>SUM(C23:P23)</f>
        <v>50.000000000000043</v>
      </c>
      <c r="R23" s="3">
        <f>SUMPRODUCT($C$20:$P$20,C23:P23)/SUM(C23:P23)</f>
        <v>1171.2120555049391</v>
      </c>
    </row>
    <row r="24" spans="1:18" x14ac:dyDescent="0.2">
      <c r="A24">
        <v>75</v>
      </c>
      <c r="B24" s="8">
        <f t="shared" ref="B24:B32" si="6">((A24/C24)^(1/($P$5-$C$5))-1)</f>
        <v>6.274583415751267E-2</v>
      </c>
      <c r="C24">
        <v>34</v>
      </c>
      <c r="D24" s="3">
        <f>SUM(C24:$C24)*($B24)</f>
        <v>2.1333583613554308</v>
      </c>
      <c r="E24" s="3">
        <f>SUM($C24:D24)*($B24)</f>
        <v>2.267217711295582</v>
      </c>
      <c r="F24" s="3">
        <f>SUM($C24:E24)*($B24)</f>
        <v>2.4094761778075098</v>
      </c>
      <c r="G24" s="3">
        <f>SUM($C24:F24)*($B24)</f>
        <v>2.5606607704666975</v>
      </c>
      <c r="H24" s="3">
        <f>SUM($C24:G24)*($B24)</f>
        <v>2.7213315665040492</v>
      </c>
      <c r="I24" s="3">
        <f>SUM($C24:H24)*($B24)</f>
        <v>2.8920837856635164</v>
      </c>
      <c r="J24" s="3">
        <f>SUM($C24:I24)*($B24)</f>
        <v>3.0735499952483911</v>
      </c>
      <c r="K24" s="3">
        <f>SUM($C24:J24)*($B24)</f>
        <v>3.2664024535250702</v>
      </c>
      <c r="L24" s="3">
        <f>SUM($C24:K24)*($B24)</f>
        <v>3.4713556001656469</v>
      </c>
      <c r="M24" s="3">
        <f>SUM($C24:L24)*($B24)</f>
        <v>3.689168702955393</v>
      </c>
      <c r="N24" s="3">
        <f>SUM($C24:M24)*($B24)</f>
        <v>3.9206486705701185</v>
      </c>
      <c r="O24" s="3">
        <f>SUM($C24:N24)*($B24)</f>
        <v>4.166653041843583</v>
      </c>
      <c r="P24" s="3">
        <f>SUM($C24:O24)*($B24)</f>
        <v>4.428093162598997</v>
      </c>
      <c r="Q24" s="3">
        <f t="shared" ref="Q24:Q32" si="7">SUM(C24:P24)</f>
        <v>74.999999999999986</v>
      </c>
      <c r="R24" s="3">
        <f t="shared" ref="R24:R32" si="8">SUMPRODUCT($C$20:$P$20,C24:P24)/SUM(C24:P24)</f>
        <v>1108.2181634204294</v>
      </c>
    </row>
    <row r="25" spans="1:18" x14ac:dyDescent="0.2">
      <c r="A25">
        <v>100</v>
      </c>
      <c r="B25" s="8">
        <f t="shared" si="6"/>
        <v>8.6525900135685507E-2</v>
      </c>
      <c r="C25">
        <v>34</v>
      </c>
      <c r="D25" s="3">
        <f>SUM(C25:$C25)*($B25)</f>
        <v>2.9418806046133072</v>
      </c>
      <c r="E25" s="3">
        <f>SUM($C25:D25)*($B25)</f>
        <v>3.1964294720191888</v>
      </c>
      <c r="F25" s="3">
        <f>SUM($C25:E25)*($B25)</f>
        <v>3.4730034093058828</v>
      </c>
      <c r="G25" s="3">
        <f>SUM($C25:F25)*($B25)</f>
        <v>3.7735081554703789</v>
      </c>
      <c r="H25" s="3">
        <f>SUM($C25:G25)*($B25)</f>
        <v>4.1000143452918039</v>
      </c>
      <c r="I25" s="3">
        <f>SUM($C25:H25)*($B25)</f>
        <v>4.4547717770874007</v>
      </c>
      <c r="J25" s="3">
        <f>SUM($C25:I25)*($B25)</f>
        <v>4.8402249149989354</v>
      </c>
      <c r="K25" s="3">
        <f>SUM($C25:J25)*($B25)</f>
        <v>5.2590297326283899</v>
      </c>
      <c r="L25" s="3">
        <f>SUM($C25:K25)*($B25)</f>
        <v>5.7140720140843948</v>
      </c>
      <c r="M25" s="3">
        <f>SUM($C25:L25)*($B25)</f>
        <v>6.2084872385431771</v>
      </c>
      <c r="N25" s="3">
        <f>SUM($C25:M25)*($B25)</f>
        <v>6.7456821853390414</v>
      </c>
      <c r="O25" s="3">
        <f>SUM($C25:N25)*($B25)</f>
        <v>7.3293584084547589</v>
      </c>
      <c r="P25" s="3">
        <f>SUM($C25:O25)*($B25)</f>
        <v>7.9635377421633633</v>
      </c>
      <c r="Q25" s="3">
        <f t="shared" si="7"/>
        <v>100.00000000000003</v>
      </c>
      <c r="R25" s="3">
        <f t="shared" si="8"/>
        <v>1072.852328640769</v>
      </c>
    </row>
    <row r="26" spans="1:18" x14ac:dyDescent="0.2">
      <c r="A26">
        <v>150</v>
      </c>
      <c r="B26" s="8">
        <f t="shared" si="6"/>
        <v>0.12094825379153451</v>
      </c>
      <c r="C26">
        <v>34</v>
      </c>
      <c r="D26" s="3">
        <f>SUM(C26:$C26)*($B26)</f>
        <v>4.1122406289121738</v>
      </c>
      <c r="E26" s="3">
        <f>SUM($C26:D26)*($B26)</f>
        <v>4.6096089521497028</v>
      </c>
      <c r="F26" s="3">
        <f>SUM($C26:E26)*($B26)</f>
        <v>5.1671331055740337</v>
      </c>
      <c r="G26" s="3">
        <f>SUM($C26:F26)*($B26)</f>
        <v>5.7920888318016415</v>
      </c>
      <c r="H26" s="3">
        <f>SUM($C26:G26)*($B26)</f>
        <v>6.4926318618134991</v>
      </c>
      <c r="I26" s="3">
        <f>SUM($C26:H26)*($B26)</f>
        <v>7.2779043480111216</v>
      </c>
      <c r="J26" s="3">
        <f>SUM($C26:I26)*($B26)</f>
        <v>8.1581541701648845</v>
      </c>
      <c r="K26" s="3">
        <f>SUM($C26:J26)*($B26)</f>
        <v>9.1448686712084513</v>
      </c>
      <c r="L26" s="3">
        <f>SUM($C26:K26)*($B26)</f>
        <v>10.250924568144026</v>
      </c>
      <c r="M26" s="3">
        <f>SUM($C26:L26)*($B26)</f>
        <v>11.490755994409785</v>
      </c>
      <c r="N26" s="3">
        <f>SUM($C26:M26)*($B26)</f>
        <v>12.880542866678256</v>
      </c>
      <c r="O26" s="3">
        <f>SUM($C26:N26)*($B26)</f>
        <v>14.438422034289998</v>
      </c>
      <c r="P26" s="3">
        <f>SUM($C26:O26)*($B26)</f>
        <v>16.184723966842586</v>
      </c>
      <c r="Q26" s="3">
        <f t="shared" si="7"/>
        <v>150.00000000000017</v>
      </c>
      <c r="R26" s="3">
        <f t="shared" si="8"/>
        <v>1032.9759496904005</v>
      </c>
    </row>
    <row r="27" spans="1:18" x14ac:dyDescent="0.2">
      <c r="A27">
        <v>200</v>
      </c>
      <c r="B27" s="8">
        <f t="shared" si="6"/>
        <v>0.14603066068180648</v>
      </c>
      <c r="C27">
        <v>34</v>
      </c>
      <c r="D27" s="3">
        <f>SUM(C27:$C27)*($B27)</f>
        <v>4.9650424631814207</v>
      </c>
      <c r="E27" s="3">
        <f>SUM($C27:D27)*($B27)</f>
        <v>5.6900908943930268</v>
      </c>
      <c r="F27" s="3">
        <f>SUM($C27:E27)*($B27)</f>
        <v>6.5210186270407711</v>
      </c>
      <c r="G27" s="3">
        <f>SUM($C27:F27)*($B27)</f>
        <v>7.4732872854659016</v>
      </c>
      <c r="H27" s="3">
        <f>SUM($C27:G27)*($B27)</f>
        <v>8.5646163652274314</v>
      </c>
      <c r="I27" s="3">
        <f>SUM($C27:H27)*($B27)</f>
        <v>9.8153129515278064</v>
      </c>
      <c r="J27" s="3">
        <f>SUM($C27:I27)*($B27)</f>
        <v>11.248649586638102</v>
      </c>
      <c r="K27" s="3">
        <f>SUM($C27:J27)*($B27)</f>
        <v>12.891297317552995</v>
      </c>
      <c r="L27" s="3">
        <f>SUM($C27:K27)*($B27)</f>
        <v>14.773821981880859</v>
      </c>
      <c r="M27" s="3">
        <f>SUM($C27:L27)*($B27)</f>
        <v>16.931252966690316</v>
      </c>
      <c r="N27" s="3">
        <f>SUM($C27:M27)*($B27)</f>
        <v>19.403735023586901</v>
      </c>
      <c r="O27" s="3">
        <f>SUM($C27:N27)*($B27)</f>
        <v>22.237275268776003</v>
      </c>
      <c r="P27" s="3">
        <f>SUM($C27:O27)*($B27)</f>
        <v>25.484599268038561</v>
      </c>
      <c r="Q27" s="3">
        <f t="shared" si="7"/>
        <v>200.00000000000011</v>
      </c>
      <c r="R27" s="3">
        <f t="shared" si="8"/>
        <v>1010.2364794858461</v>
      </c>
    </row>
    <row r="28" spans="1:18" x14ac:dyDescent="0.2">
      <c r="A28">
        <v>225</v>
      </c>
      <c r="B28" s="8">
        <f t="shared" si="6"/>
        <v>0.1564611460448162</v>
      </c>
      <c r="C28">
        <v>34</v>
      </c>
      <c r="D28" s="3">
        <f>SUM(C28:$C28)*($B28)</f>
        <v>5.3196789655237513</v>
      </c>
      <c r="E28" s="3">
        <f>SUM($C28:D28)*($B28)</f>
        <v>6.1520020330600991</v>
      </c>
      <c r="F28" s="3">
        <f>SUM($C28:E28)*($B28)</f>
        <v>7.1145513216227219</v>
      </c>
      <c r="G28" s="3">
        <f>SUM($C28:F28)*($B28)</f>
        <v>8.2277021749984733</v>
      </c>
      <c r="H28" s="3">
        <f>SUM($C28:G28)*($B28)</f>
        <v>9.5150178866141619</v>
      </c>
      <c r="I28" s="3">
        <f>SUM($C28:H28)*($B28)</f>
        <v>11.003748489790739</v>
      </c>
      <c r="J28" s="3">
        <f>SUM($C28:I28)*($B28)</f>
        <v>12.725407589292313</v>
      </c>
      <c r="K28" s="3">
        <f>SUM($C28:J28)*($B28)</f>
        <v>14.716439444600391</v>
      </c>
      <c r="L28" s="3">
        <f>SUM($C28:K28)*($B28)</f>
        <v>17.018990425801707</v>
      </c>
      <c r="M28" s="3">
        <f>SUM($C28:L28)*($B28)</f>
        <v>19.681801172348397</v>
      </c>
      <c r="N28" s="3">
        <f>SUM($C28:M28)*($B28)</f>
        <v>22.761238340000233</v>
      </c>
      <c r="O28" s="3">
        <f>SUM($C28:N28)*($B28)</f>
        <v>26.322487776075878</v>
      </c>
      <c r="P28" s="3">
        <f>SUM($C28:O28)*($B28)</f>
        <v>30.440934380271379</v>
      </c>
      <c r="Q28" s="3">
        <f t="shared" si="7"/>
        <v>225.00000000000026</v>
      </c>
      <c r="R28" s="3">
        <f t="shared" si="8"/>
        <v>1002.0154165794322</v>
      </c>
    </row>
    <row r="29" spans="1:18" x14ac:dyDescent="0.2">
      <c r="A29">
        <v>300</v>
      </c>
      <c r="B29" s="8">
        <f t="shared" si="6"/>
        <v>0.1823381915906499</v>
      </c>
      <c r="C29">
        <v>34</v>
      </c>
      <c r="D29" s="3">
        <f>SUM(C29:$C29)*($B29)</f>
        <v>6.1994985140820962</v>
      </c>
      <c r="E29" s="3">
        <f>SUM($C29:D29)*($B29)</f>
        <v>7.3299038619087469</v>
      </c>
      <c r="F29" s="3">
        <f>SUM($C29:E29)*($B29)</f>
        <v>8.6664252766225083</v>
      </c>
      <c r="G29" s="3">
        <f>SUM($C29:F29)*($B29)</f>
        <v>10.246645589117353</v>
      </c>
      <c r="H29" s="3">
        <f>SUM($C29:G29)*($B29)</f>
        <v>12.115000415707321</v>
      </c>
      <c r="I29" s="3">
        <f>SUM($C29:H29)*($B29)</f>
        <v>14.324027682627364</v>
      </c>
      <c r="J29" s="3">
        <f>SUM($C29:I29)*($B29)</f>
        <v>16.935844986572047</v>
      </c>
      <c r="K29" s="3">
        <f>SUM($C29:J29)*($B29)</f>
        <v>20.023896334483165</v>
      </c>
      <c r="L29" s="3">
        <f>SUM($C29:K29)*($B29)</f>
        <v>23.67501738071147</v>
      </c>
      <c r="M29" s="3">
        <f>SUM($C29:L29)*($B29)</f>
        <v>27.991877235787605</v>
      </c>
      <c r="N29" s="3">
        <f>SUM($C29:M29)*($B29)</f>
        <v>33.095865510188595</v>
      </c>
      <c r="O29" s="3">
        <f>SUM($C29:N29)*($B29)</f>
        <v>39.130505776443748</v>
      </c>
      <c r="P29" s="3">
        <f>SUM($C29:O29)*($B29)</f>
        <v>46.265491435747975</v>
      </c>
      <c r="Q29" s="3">
        <f t="shared" si="7"/>
        <v>300</v>
      </c>
      <c r="R29" s="3">
        <f t="shared" si="8"/>
        <v>984.19116266284482</v>
      </c>
    </row>
    <row r="30" spans="1:18" x14ac:dyDescent="0.2">
      <c r="A30">
        <v>400</v>
      </c>
      <c r="B30" s="8">
        <f t="shared" si="6"/>
        <v>0.2087942634950184</v>
      </c>
      <c r="C30">
        <v>34</v>
      </c>
      <c r="D30" s="3">
        <f>SUM(C30:$C30)*($B30)</f>
        <v>7.0990049588306254</v>
      </c>
      <c r="E30" s="3">
        <f>SUM($C30:D30)*($B30)</f>
        <v>8.5812364707571493</v>
      </c>
      <c r="F30" s="3">
        <f>SUM($C30:E30)*($B30)</f>
        <v>10.372949419545479</v>
      </c>
      <c r="G30" s="3">
        <f>SUM($C30:F30)*($B30)</f>
        <v>12.538761753870556</v>
      </c>
      <c r="H30" s="3">
        <f>SUM($C30:G30)*($B30)</f>
        <v>15.156783279409463</v>
      </c>
      <c r="I30" s="3">
        <f>SUM($C30:H30)*($B30)</f>
        <v>18.321432681187371</v>
      </c>
      <c r="J30" s="3">
        <f>SUM($C30:I30)*($B30)</f>
        <v>22.146842724029451</v>
      </c>
      <c r="K30" s="3">
        <f>SUM($C30:J30)*($B30)</f>
        <v>26.770976439333186</v>
      </c>
      <c r="L30" s="3">
        <f>SUM($C30:K30)*($B30)</f>
        <v>32.360602748026253</v>
      </c>
      <c r="M30" s="3">
        <f>SUM($C30:L30)*($B30)</f>
        <v>39.11731096505526</v>
      </c>
      <c r="N30" s="3">
        <f>SUM($C30:M30)*($B30)</f>
        <v>47.28478109790958</v>
      </c>
      <c r="O30" s="3">
        <f>SUM($C30:N30)*($B30)</f>
        <v>57.157572141770778</v>
      </c>
      <c r="P30" s="3">
        <f>SUM($C30:O30)*($B30)</f>
        <v>69.091745320275194</v>
      </c>
      <c r="Q30" s="3">
        <f t="shared" si="7"/>
        <v>400.0000000000004</v>
      </c>
      <c r="R30" s="3">
        <f t="shared" si="8"/>
        <v>969.09328836441841</v>
      </c>
    </row>
    <row r="31" spans="1:18" x14ac:dyDescent="0.2">
      <c r="A31">
        <v>450</v>
      </c>
      <c r="B31" s="8">
        <f t="shared" si="6"/>
        <v>0.21979598561715918</v>
      </c>
      <c r="C31">
        <v>34</v>
      </c>
      <c r="D31" s="3">
        <f>SUM(C31:$C31)*($B31)</f>
        <v>7.4730635109834118</v>
      </c>
      <c r="E31" s="3">
        <f>SUM($C31:D31)*($B31)</f>
        <v>9.1156128709596391</v>
      </c>
      <c r="F31" s="3">
        <f>SUM($C31:E31)*($B31)</f>
        <v>11.119187986436675</v>
      </c>
      <c r="G31" s="3">
        <f>SUM($C31:F31)*($B31)</f>
        <v>13.563140869177998</v>
      </c>
      <c r="H31" s="3">
        <f>SUM($C31:G31)*($B31)</f>
        <v>16.544264784583348</v>
      </c>
      <c r="I31" s="3">
        <f>SUM($C31:H31)*($B31)</f>
        <v>20.180627769222106</v>
      </c>
      <c r="J31" s="3">
        <f>SUM($C31:I31)*($B31)</f>
        <v>24.61624874013129</v>
      </c>
      <c r="K31" s="3">
        <f>SUM($C31:J31)*($B31)</f>
        <v>30.026801394165599</v>
      </c>
      <c r="L31" s="3">
        <f>SUM($C31:K31)*($B31)</f>
        <v>36.626571801526914</v>
      </c>
      <c r="M31" s="3">
        <f>SUM($C31:L31)*($B31)</f>
        <v>44.676945250421177</v>
      </c>
      <c r="N31" s="3">
        <f>SUM($C31:M31)*($B31)</f>
        <v>54.496758466101355</v>
      </c>
      <c r="O31" s="3">
        <f>SUM($C31:N31)*($B31)</f>
        <v>66.474927206098371</v>
      </c>
      <c r="P31" s="3">
        <f>SUM($C31:O31)*($B31)</f>
        <v>81.085849350191666</v>
      </c>
      <c r="Q31" s="3">
        <f t="shared" si="7"/>
        <v>449.99999999999955</v>
      </c>
      <c r="R31" s="3">
        <f t="shared" si="8"/>
        <v>963.58148816072071</v>
      </c>
    </row>
    <row r="32" spans="1:18" x14ac:dyDescent="0.2">
      <c r="A32">
        <v>600</v>
      </c>
      <c r="B32" s="8">
        <f t="shared" si="6"/>
        <v>0.24709021541847531</v>
      </c>
      <c r="C32">
        <v>34</v>
      </c>
      <c r="D32" s="3">
        <f>SUM(C32:$C32)*($B32)</f>
        <v>8.4010673242281602</v>
      </c>
      <c r="E32" s="3">
        <f>SUM($C32:D32)*($B32)</f>
        <v>10.47688885911681</v>
      </c>
      <c r="F32" s="3">
        <f>SUM($C32:E32)*($B32)</f>
        <v>13.065625584231407</v>
      </c>
      <c r="G32" s="3">
        <f>SUM($C32:F32)*($B32)</f>
        <v>16.294013824416286</v>
      </c>
      <c r="H32" s="3">
        <f>SUM($C32:G32)*($B32)</f>
        <v>20.320105210322922</v>
      </c>
      <c r="I32" s="3">
        <f>SUM($C32:H32)*($B32)</f>
        <v>25.341004384067695</v>
      </c>
      <c r="J32" s="3">
        <f>SUM($C32:I32)*($B32)</f>
        <v>31.602518616247508</v>
      </c>
      <c r="K32" s="3">
        <f>SUM($C32:J32)*($B32)</f>
        <v>39.411191748902475</v>
      </c>
      <c r="L32" s="3">
        <f>SUM($C32:K32)*($B32)</f>
        <v>49.149311608037621</v>
      </c>
      <c r="M32" s="3">
        <f>SUM($C32:L32)*($B32)</f>
        <v>61.293625600937411</v>
      </c>
      <c r="N32" s="3">
        <f>SUM($C32:M32)*($B32)</f>
        <v>76.438680754452406</v>
      </c>
      <c r="O32" s="3">
        <f>SUM($C32:N32)*($B32)</f>
        <v>95.325930848374114</v>
      </c>
      <c r="P32" s="3">
        <f>SUM($C32:O32)*($B32)</f>
        <v>118.88003563666557</v>
      </c>
      <c r="Q32" s="3">
        <f t="shared" si="7"/>
        <v>600.00000000000034</v>
      </c>
      <c r="R32" s="3">
        <f t="shared" si="8"/>
        <v>951.51750672678588</v>
      </c>
    </row>
  </sheetData>
  <phoneticPr fontId="4" type="noConversion"/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69"/>
  <sheetViews>
    <sheetView tabSelected="1" topLeftCell="A13" workbookViewId="0">
      <selection activeCell="H31" sqref="H31"/>
    </sheetView>
  </sheetViews>
  <sheetFormatPr baseColWidth="10" defaultRowHeight="16" x14ac:dyDescent="0.2"/>
  <cols>
    <col min="1" max="1" width="19" bestFit="1" customWidth="1"/>
    <col min="2" max="2" width="25.6640625" bestFit="1" customWidth="1"/>
    <col min="3" max="3" width="29.1640625" bestFit="1" customWidth="1"/>
    <col min="4" max="4" width="19.5" bestFit="1" customWidth="1"/>
    <col min="5" max="6" width="19.5" customWidth="1"/>
    <col min="7" max="7" width="23.33203125" bestFit="1" customWidth="1"/>
    <col min="8" max="8" width="26.6640625" bestFit="1" customWidth="1"/>
    <col min="9" max="9" width="19.5" bestFit="1" customWidth="1"/>
    <col min="10" max="11" width="19.5" customWidth="1"/>
    <col min="12" max="12" width="24.83203125" bestFit="1" customWidth="1"/>
    <col min="13" max="13" width="28.33203125" bestFit="1" customWidth="1"/>
    <col min="14" max="14" width="18.6640625" bestFit="1" customWidth="1"/>
  </cols>
  <sheetData>
    <row r="4" spans="1:14" x14ac:dyDescent="0.2">
      <c r="B4" t="s">
        <v>18</v>
      </c>
      <c r="C4" t="s">
        <v>20</v>
      </c>
      <c r="G4" t="s">
        <v>19</v>
      </c>
      <c r="H4" t="s">
        <v>21</v>
      </c>
    </row>
    <row r="5" spans="1:14" x14ac:dyDescent="0.2">
      <c r="B5" s="1">
        <v>4.0076863315699492E-2</v>
      </c>
      <c r="C5">
        <v>50</v>
      </c>
      <c r="G5" s="1">
        <v>3.0110792970033773E-2</v>
      </c>
      <c r="H5">
        <v>50</v>
      </c>
    </row>
    <row r="6" spans="1:14" x14ac:dyDescent="0.2">
      <c r="B6" s="1">
        <v>7.3027254124977736E-2</v>
      </c>
      <c r="C6">
        <v>75</v>
      </c>
      <c r="G6" s="1">
        <v>6.2744899771506907E-2</v>
      </c>
      <c r="H6">
        <v>75</v>
      </c>
    </row>
    <row r="7" spans="1:14" x14ac:dyDescent="0.2">
      <c r="B7" s="1">
        <v>9.7037420150291792E-2</v>
      </c>
      <c r="C7">
        <v>100</v>
      </c>
      <c r="G7" s="1">
        <v>8.6525876388996087E-2</v>
      </c>
      <c r="H7">
        <v>100</v>
      </c>
    </row>
    <row r="8" spans="1:14" x14ac:dyDescent="0.2">
      <c r="B8" s="1">
        <v>0.1317927381230253</v>
      </c>
      <c r="C8">
        <v>150</v>
      </c>
      <c r="G8" s="1">
        <v>0.12094799476845448</v>
      </c>
      <c r="H8">
        <v>150</v>
      </c>
    </row>
    <row r="9" spans="1:14" x14ac:dyDescent="0.2">
      <c r="B9" s="1">
        <v>0.15711785634248829</v>
      </c>
      <c r="C9">
        <v>200</v>
      </c>
      <c r="G9" s="1">
        <v>0.14603066111291071</v>
      </c>
      <c r="H9">
        <v>200</v>
      </c>
    </row>
    <row r="10" spans="1:14" x14ac:dyDescent="0.2">
      <c r="B10" s="1">
        <v>0.16764918931030026</v>
      </c>
      <c r="C10">
        <v>225</v>
      </c>
      <c r="G10" s="1">
        <v>0.15646108346470047</v>
      </c>
      <c r="H10">
        <v>225</v>
      </c>
    </row>
    <row r="11" spans="1:14" x14ac:dyDescent="0.2">
      <c r="B11" s="1">
        <v>0.19377644289785395</v>
      </c>
      <c r="C11">
        <v>300</v>
      </c>
      <c r="D11" s="1">
        <v>-4.9240264310094067E-2</v>
      </c>
      <c r="E11" s="1"/>
      <c r="F11" s="1"/>
      <c r="G11" s="1">
        <v>0.18233789686810159</v>
      </c>
      <c r="H11">
        <v>300</v>
      </c>
    </row>
    <row r="12" spans="1:14" x14ac:dyDescent="0.2">
      <c r="B12" s="1">
        <v>0.22048859733261636</v>
      </c>
      <c r="C12">
        <v>400</v>
      </c>
      <c r="D12" s="1">
        <v>-4.1309061961790496E-2</v>
      </c>
      <c r="E12" s="1"/>
      <c r="F12" s="1"/>
      <c r="G12" s="1">
        <v>0.20879415362125484</v>
      </c>
      <c r="H12">
        <v>400</v>
      </c>
      <c r="M12">
        <v>15</v>
      </c>
    </row>
    <row r="13" spans="1:14" x14ac:dyDescent="0.2">
      <c r="B13" s="1">
        <v>0.2315967648529304</v>
      </c>
      <c r="C13">
        <v>450</v>
      </c>
      <c r="G13" s="1">
        <v>0.21979593058740471</v>
      </c>
      <c r="H13">
        <v>450</v>
      </c>
      <c r="M13">
        <v>30</v>
      </c>
    </row>
    <row r="14" spans="1:14" x14ac:dyDescent="0.2">
      <c r="B14" s="1">
        <v>0.25915510128527713</v>
      </c>
      <c r="C14">
        <v>600</v>
      </c>
      <c r="D14" s="1">
        <v>-3.8628283726720621E-2</v>
      </c>
      <c r="E14" s="1"/>
      <c r="F14" s="1"/>
      <c r="G14" s="1">
        <v>0.24709020401821857</v>
      </c>
      <c r="H14">
        <v>600</v>
      </c>
      <c r="I14" s="4">
        <f>((H44/H31)^(1/(A44-A31))-1)</f>
        <v>0.24709020401821857</v>
      </c>
      <c r="M14">
        <v>60</v>
      </c>
    </row>
    <row r="16" spans="1:14" x14ac:dyDescent="0.2">
      <c r="A16" t="s">
        <v>3</v>
      </c>
      <c r="B16" s="1">
        <v>0.25915510128527713</v>
      </c>
      <c r="D16" s="1">
        <v>-4.9240264310094067E-2</v>
      </c>
      <c r="E16" s="1">
        <v>0</v>
      </c>
      <c r="F16" s="1">
        <v>-0.04</v>
      </c>
      <c r="G16" s="1">
        <v>0.24709020401821857</v>
      </c>
      <c r="I16" s="1">
        <v>-0.05</v>
      </c>
      <c r="J16" s="1">
        <v>0</v>
      </c>
      <c r="K16" s="1">
        <v>-0.04</v>
      </c>
      <c r="L16" s="1">
        <v>0.05</v>
      </c>
      <c r="N16" s="1">
        <v>0.05</v>
      </c>
    </row>
    <row r="18" spans="1:14" x14ac:dyDescent="0.2">
      <c r="B18" t="s">
        <v>0</v>
      </c>
      <c r="C18" t="s">
        <v>6</v>
      </c>
      <c r="D18" t="s">
        <v>7</v>
      </c>
      <c r="E18" t="s">
        <v>16</v>
      </c>
      <c r="F18" t="s">
        <v>17</v>
      </c>
      <c r="G18" t="s">
        <v>1</v>
      </c>
      <c r="H18" t="s">
        <v>5</v>
      </c>
      <c r="I18" t="s">
        <v>8</v>
      </c>
      <c r="J18" t="s">
        <v>8</v>
      </c>
      <c r="K18" t="s">
        <v>8</v>
      </c>
      <c r="L18" t="s">
        <v>2</v>
      </c>
      <c r="M18" t="s">
        <v>4</v>
      </c>
      <c r="N18" t="s">
        <v>9</v>
      </c>
    </row>
    <row r="19" spans="1:14" x14ac:dyDescent="0.2">
      <c r="A19">
        <v>2005</v>
      </c>
      <c r="G19">
        <v>6.2</v>
      </c>
      <c r="H19">
        <v>6.2</v>
      </c>
    </row>
    <row r="20" spans="1:14" x14ac:dyDescent="0.2">
      <c r="A20">
        <v>2006</v>
      </c>
      <c r="G20">
        <f>H20-H19</f>
        <v>1.7000000000000002</v>
      </c>
      <c r="H20">
        <v>7.9</v>
      </c>
    </row>
    <row r="21" spans="1:14" x14ac:dyDescent="0.2">
      <c r="A21">
        <v>2007</v>
      </c>
      <c r="G21">
        <f t="shared" ref="G21:G31" si="0">H21-H20</f>
        <v>1.6999999999999993</v>
      </c>
      <c r="H21">
        <v>9.6</v>
      </c>
    </row>
    <row r="22" spans="1:14" x14ac:dyDescent="0.2">
      <c r="A22">
        <v>2008</v>
      </c>
      <c r="G22">
        <f t="shared" si="0"/>
        <v>1.3000000000000007</v>
      </c>
      <c r="H22">
        <v>10.9</v>
      </c>
    </row>
    <row r="23" spans="1:14" x14ac:dyDescent="0.2">
      <c r="A23">
        <v>2009</v>
      </c>
      <c r="G23">
        <f t="shared" si="0"/>
        <v>2.0999999999999996</v>
      </c>
      <c r="H23">
        <v>13</v>
      </c>
    </row>
    <row r="24" spans="1:14" x14ac:dyDescent="0.2">
      <c r="A24">
        <v>2010</v>
      </c>
      <c r="G24">
        <f t="shared" si="0"/>
        <v>3</v>
      </c>
      <c r="H24">
        <v>16</v>
      </c>
    </row>
    <row r="25" spans="1:14" x14ac:dyDescent="0.2">
      <c r="A25">
        <v>2011</v>
      </c>
      <c r="G25">
        <f t="shared" si="0"/>
        <v>2.3999999999999986</v>
      </c>
      <c r="H25">
        <v>18.399999999999999</v>
      </c>
    </row>
    <row r="26" spans="1:14" x14ac:dyDescent="0.2">
      <c r="A26">
        <v>2012</v>
      </c>
      <c r="G26">
        <f t="shared" si="0"/>
        <v>1.7000000000000028</v>
      </c>
      <c r="H26">
        <v>20.100000000000001</v>
      </c>
    </row>
    <row r="27" spans="1:14" x14ac:dyDescent="0.2">
      <c r="A27">
        <v>2013</v>
      </c>
      <c r="G27">
        <f t="shared" si="0"/>
        <v>1.0999999999999979</v>
      </c>
      <c r="H27">
        <v>21.2</v>
      </c>
    </row>
    <row r="28" spans="1:14" x14ac:dyDescent="0.2">
      <c r="A28">
        <v>2014</v>
      </c>
      <c r="G28">
        <f t="shared" si="0"/>
        <v>2.1999999999999993</v>
      </c>
      <c r="H28">
        <v>23.4</v>
      </c>
    </row>
    <row r="29" spans="1:14" x14ac:dyDescent="0.2">
      <c r="A29">
        <v>2015</v>
      </c>
      <c r="G29">
        <f t="shared" si="0"/>
        <v>3.4000000000000021</v>
      </c>
      <c r="H29">
        <v>26.8</v>
      </c>
    </row>
    <row r="30" spans="1:14" x14ac:dyDescent="0.2">
      <c r="A30">
        <v>2016</v>
      </c>
      <c r="G30">
        <f t="shared" si="0"/>
        <v>5.4999999999999964</v>
      </c>
      <c r="H30">
        <v>32.299999999999997</v>
      </c>
    </row>
    <row r="31" spans="1:14" x14ac:dyDescent="0.2">
      <c r="A31">
        <v>2017</v>
      </c>
      <c r="B31">
        <v>25</v>
      </c>
      <c r="C31">
        <v>25</v>
      </c>
      <c r="D31">
        <v>800</v>
      </c>
      <c r="E31">
        <f>$D$31</f>
        <v>800</v>
      </c>
      <c r="F31">
        <f>D31</f>
        <v>800</v>
      </c>
      <c r="G31">
        <f t="shared" si="0"/>
        <v>1.7000000000000028</v>
      </c>
      <c r="H31">
        <v>34</v>
      </c>
      <c r="I31">
        <v>1100</v>
      </c>
      <c r="J31">
        <f>$I$31</f>
        <v>1100</v>
      </c>
      <c r="K31">
        <f>I31</f>
        <v>1100</v>
      </c>
    </row>
    <row r="32" spans="1:14" x14ac:dyDescent="0.2">
      <c r="A32">
        <v>2018</v>
      </c>
      <c r="B32" s="2">
        <f>$B$16*C31</f>
        <v>6.4788775321319285</v>
      </c>
      <c r="C32" s="3">
        <f>B32+C31</f>
        <v>31.478877532131929</v>
      </c>
      <c r="D32" s="3">
        <f>D31*(1+D$16)</f>
        <v>760.60778855192473</v>
      </c>
      <c r="E32">
        <f t="shared" ref="E32:E44" si="1">$D$31</f>
        <v>800</v>
      </c>
      <c r="F32" s="3">
        <f>F31*(1+$F$16)</f>
        <v>768</v>
      </c>
      <c r="G32" s="2">
        <f>$G$16*H31</f>
        <v>8.401066936619431</v>
      </c>
      <c r="H32" s="3">
        <f>G32+H31</f>
        <v>42.401066936619429</v>
      </c>
      <c r="I32" s="3">
        <f>I31*(1+I$16)</f>
        <v>1045</v>
      </c>
      <c r="J32">
        <f t="shared" ref="J32:J44" si="2">$I$31</f>
        <v>1100</v>
      </c>
      <c r="K32" s="3">
        <f>K31*(1+$K$16)</f>
        <v>1056</v>
      </c>
      <c r="L32" s="2">
        <f>$B$16*M31</f>
        <v>0</v>
      </c>
      <c r="M32" s="3">
        <f>L32+M31</f>
        <v>0</v>
      </c>
      <c r="N32" s="3">
        <f>N31*(1+N$16)</f>
        <v>0</v>
      </c>
    </row>
    <row r="33" spans="1:14" x14ac:dyDescent="0.2">
      <c r="A33">
        <v>2019</v>
      </c>
      <c r="B33" s="2">
        <f t="shared" ref="B33:B44" si="3">$B$16*C32</f>
        <v>8.1579116951864847</v>
      </c>
      <c r="C33" s="3">
        <f t="shared" ref="C33:C44" si="4">B33+C32</f>
        <v>39.636789227318417</v>
      </c>
      <c r="D33" s="3">
        <f t="shared" ref="D33:D44" si="5">D32*(1+D$16)</f>
        <v>723.15526000731177</v>
      </c>
      <c r="E33">
        <f t="shared" si="1"/>
        <v>800</v>
      </c>
      <c r="F33" s="3">
        <f t="shared" ref="F33:F44" si="6">F32*(1+$F$16)</f>
        <v>737.28</v>
      </c>
      <c r="G33" s="2">
        <f t="shared" ref="G33:G44" si="7">$G$16*H32</f>
        <v>10.476888279959438</v>
      </c>
      <c r="H33" s="3">
        <f t="shared" ref="H33:H44" si="8">G33+H32</f>
        <v>52.877955216578869</v>
      </c>
      <c r="I33" s="3">
        <f t="shared" ref="I33:I44" si="9">I32*(1+I$16)</f>
        <v>992.75</v>
      </c>
      <c r="J33">
        <f t="shared" si="2"/>
        <v>1100</v>
      </c>
      <c r="K33" s="3">
        <f t="shared" ref="K33:K44" si="10">K32*(1+$K$16)</f>
        <v>1013.76</v>
      </c>
      <c r="L33" s="2">
        <f t="shared" ref="L33:L44" si="11">$B$16*M32</f>
        <v>0</v>
      </c>
      <c r="M33" s="3">
        <f t="shared" ref="M33:M43" si="12">L33+M32</f>
        <v>0</v>
      </c>
      <c r="N33" s="3">
        <f t="shared" ref="N33:N44" si="13">N32*(1+N$16)</f>
        <v>0</v>
      </c>
    </row>
    <row r="34" spans="1:14" x14ac:dyDescent="0.2">
      <c r="A34">
        <v>2020</v>
      </c>
      <c r="B34" s="2">
        <f t="shared" si="3"/>
        <v>10.272076126828885</v>
      </c>
      <c r="C34" s="3">
        <f t="shared" si="4"/>
        <v>49.908865354147302</v>
      </c>
      <c r="D34" s="3">
        <f t="shared" si="5"/>
        <v>687.54690386731693</v>
      </c>
      <c r="E34">
        <f t="shared" si="1"/>
        <v>800</v>
      </c>
      <c r="F34" s="3">
        <f t="shared" si="6"/>
        <v>707.78879999999992</v>
      </c>
      <c r="G34" s="2">
        <f t="shared" si="7"/>
        <v>13.065624742530698</v>
      </c>
      <c r="H34" s="3">
        <f t="shared" si="8"/>
        <v>65.94357995910957</v>
      </c>
      <c r="I34" s="3">
        <f t="shared" si="9"/>
        <v>943.11249999999995</v>
      </c>
      <c r="J34">
        <f t="shared" si="2"/>
        <v>1100</v>
      </c>
      <c r="K34" s="3">
        <f t="shared" si="10"/>
        <v>973.20959999999991</v>
      </c>
      <c r="L34" s="2">
        <f t="shared" si="11"/>
        <v>0</v>
      </c>
      <c r="M34" s="3">
        <f t="shared" si="12"/>
        <v>0</v>
      </c>
      <c r="N34" s="3">
        <f t="shared" si="13"/>
        <v>0</v>
      </c>
    </row>
    <row r="35" spans="1:14" x14ac:dyDescent="0.2">
      <c r="A35">
        <v>2021</v>
      </c>
      <c r="B35" s="2">
        <f t="shared" si="3"/>
        <v>12.934137055887303</v>
      </c>
      <c r="C35" s="3">
        <f t="shared" si="4"/>
        <v>62.843002410034607</v>
      </c>
      <c r="D35" s="3">
        <f t="shared" si="5"/>
        <v>653.69191259530339</v>
      </c>
      <c r="E35">
        <f t="shared" si="1"/>
        <v>800</v>
      </c>
      <c r="F35" s="3">
        <f t="shared" si="6"/>
        <v>679.47724799999992</v>
      </c>
      <c r="G35" s="2">
        <f t="shared" si="7"/>
        <v>16.294012625788092</v>
      </c>
      <c r="H35" s="3">
        <f t="shared" si="8"/>
        <v>82.237592584897669</v>
      </c>
      <c r="I35" s="3">
        <f t="shared" si="9"/>
        <v>895.95687499999997</v>
      </c>
      <c r="J35">
        <f t="shared" si="2"/>
        <v>1100</v>
      </c>
      <c r="K35" s="3">
        <f t="shared" si="10"/>
        <v>934.28121599999986</v>
      </c>
      <c r="L35" s="2">
        <f t="shared" si="11"/>
        <v>0</v>
      </c>
      <c r="M35" s="3">
        <f t="shared" si="12"/>
        <v>0</v>
      </c>
      <c r="N35" s="3">
        <f t="shared" si="13"/>
        <v>0</v>
      </c>
    </row>
    <row r="36" spans="1:14" x14ac:dyDescent="0.2">
      <c r="A36">
        <v>2022</v>
      </c>
      <c r="B36" s="2">
        <f t="shared" si="3"/>
        <v>16.286084654643435</v>
      </c>
      <c r="C36" s="3">
        <f t="shared" si="4"/>
        <v>79.129087064678046</v>
      </c>
      <c r="D36" s="3">
        <f t="shared" si="5"/>
        <v>621.5039500417397</v>
      </c>
      <c r="E36">
        <f t="shared" si="1"/>
        <v>800</v>
      </c>
      <c r="F36" s="3">
        <f t="shared" si="6"/>
        <v>652.29815807999989</v>
      </c>
      <c r="G36" s="2">
        <f t="shared" si="7"/>
        <v>20.320103529769504</v>
      </c>
      <c r="H36" s="3">
        <f t="shared" si="8"/>
        <v>102.55769611466718</v>
      </c>
      <c r="I36" s="3">
        <f t="shared" si="9"/>
        <v>851.15903124999988</v>
      </c>
      <c r="J36">
        <f t="shared" si="2"/>
        <v>1100</v>
      </c>
      <c r="K36" s="3">
        <f t="shared" si="10"/>
        <v>896.90996735999988</v>
      </c>
      <c r="L36" s="2">
        <f t="shared" si="11"/>
        <v>0</v>
      </c>
      <c r="M36" s="3">
        <f t="shared" si="12"/>
        <v>0</v>
      </c>
      <c r="N36" s="3">
        <f t="shared" si="13"/>
        <v>0</v>
      </c>
    </row>
    <row r="37" spans="1:14" x14ac:dyDescent="0.2">
      <c r="A37">
        <v>2023</v>
      </c>
      <c r="B37" s="2">
        <f t="shared" si="3"/>
        <v>20.506706572858153</v>
      </c>
      <c r="C37" s="3">
        <f t="shared" si="4"/>
        <v>99.635793637536196</v>
      </c>
      <c r="D37" s="3">
        <f t="shared" si="5"/>
        <v>590.90093127191687</v>
      </c>
      <c r="E37">
        <f t="shared" si="1"/>
        <v>800</v>
      </c>
      <c r="F37" s="3">
        <f t="shared" si="6"/>
        <v>626.20623175679987</v>
      </c>
      <c r="G37" s="2">
        <f t="shared" si="7"/>
        <v>25.341002056611575</v>
      </c>
      <c r="H37" s="3">
        <f t="shared" si="8"/>
        <v>127.89869817127875</v>
      </c>
      <c r="I37" s="3">
        <f t="shared" si="9"/>
        <v>808.60107968749981</v>
      </c>
      <c r="J37">
        <f t="shared" si="2"/>
        <v>1100</v>
      </c>
      <c r="K37" s="3">
        <f t="shared" si="10"/>
        <v>861.03356866559989</v>
      </c>
      <c r="L37" s="2">
        <f t="shared" si="11"/>
        <v>0</v>
      </c>
      <c r="M37" s="3">
        <f t="shared" si="12"/>
        <v>0</v>
      </c>
      <c r="N37" s="3">
        <f t="shared" si="13"/>
        <v>0</v>
      </c>
    </row>
    <row r="38" spans="1:14" x14ac:dyDescent="0.2">
      <c r="A38">
        <v>2024</v>
      </c>
      <c r="B38" s="2">
        <f t="shared" si="3"/>
        <v>25.821124191774665</v>
      </c>
      <c r="C38" s="3">
        <f t="shared" si="4"/>
        <v>125.45691782931087</v>
      </c>
      <c r="D38" s="3">
        <f t="shared" si="5"/>
        <v>561.80481323500692</v>
      </c>
      <c r="E38">
        <f t="shared" si="1"/>
        <v>800</v>
      </c>
      <c r="F38" s="3">
        <f t="shared" si="6"/>
        <v>601.15798248652789</v>
      </c>
      <c r="G38" s="2">
        <f t="shared" si="7"/>
        <v>31.602515424805826</v>
      </c>
      <c r="H38" s="3">
        <f t="shared" si="8"/>
        <v>159.50121359608457</v>
      </c>
      <c r="I38" s="3">
        <f t="shared" si="9"/>
        <v>768.17102570312477</v>
      </c>
      <c r="J38">
        <f t="shared" si="2"/>
        <v>1100</v>
      </c>
      <c r="K38" s="3">
        <f t="shared" si="10"/>
        <v>826.59222591897583</v>
      </c>
      <c r="L38" s="2">
        <f t="shared" si="11"/>
        <v>0</v>
      </c>
      <c r="M38" s="3">
        <f t="shared" si="12"/>
        <v>0</v>
      </c>
      <c r="N38" s="3">
        <f t="shared" si="13"/>
        <v>0</v>
      </c>
    </row>
    <row r="39" spans="1:14" x14ac:dyDescent="0.2">
      <c r="A39">
        <v>2025</v>
      </c>
      <c r="B39" s="2">
        <f t="shared" si="3"/>
        <v>32.512800246993748</v>
      </c>
      <c r="C39" s="3">
        <f t="shared" si="4"/>
        <v>157.96971807630462</v>
      </c>
      <c r="D39" s="3">
        <f t="shared" si="5"/>
        <v>534.14139574063211</v>
      </c>
      <c r="E39">
        <f t="shared" si="1"/>
        <v>800</v>
      </c>
      <c r="F39" s="3">
        <f t="shared" si="6"/>
        <v>577.11166318706671</v>
      </c>
      <c r="G39" s="2">
        <f t="shared" si="7"/>
        <v>39.411187408609997</v>
      </c>
      <c r="H39" s="3">
        <f t="shared" si="8"/>
        <v>198.91240100469457</v>
      </c>
      <c r="I39" s="3">
        <f t="shared" si="9"/>
        <v>729.76247441796852</v>
      </c>
      <c r="J39">
        <f t="shared" si="2"/>
        <v>1100</v>
      </c>
      <c r="K39" s="3">
        <f t="shared" si="10"/>
        <v>793.52853688221671</v>
      </c>
      <c r="L39" s="2">
        <f t="shared" si="11"/>
        <v>0</v>
      </c>
      <c r="M39" s="3">
        <f t="shared" si="12"/>
        <v>0</v>
      </c>
      <c r="N39" s="3">
        <f t="shared" si="13"/>
        <v>0</v>
      </c>
    </row>
    <row r="40" spans="1:14" x14ac:dyDescent="0.2">
      <c r="A40">
        <v>2026</v>
      </c>
      <c r="B40" s="2">
        <f t="shared" si="3"/>
        <v>40.938658288071395</v>
      </c>
      <c r="C40" s="3">
        <f t="shared" si="4"/>
        <v>198.90837636437601</v>
      </c>
      <c r="D40" s="3">
        <f t="shared" si="5"/>
        <v>507.8401322354008</v>
      </c>
      <c r="E40">
        <f t="shared" si="1"/>
        <v>800</v>
      </c>
      <c r="F40" s="3">
        <f t="shared" si="6"/>
        <v>554.02719665958398</v>
      </c>
      <c r="G40" s="2">
        <f t="shared" si="7"/>
        <v>49.149305746003684</v>
      </c>
      <c r="H40" s="3">
        <f t="shared" si="8"/>
        <v>248.06170675069825</v>
      </c>
      <c r="I40" s="3">
        <f t="shared" si="9"/>
        <v>693.27435069707008</v>
      </c>
      <c r="J40">
        <f t="shared" si="2"/>
        <v>1100</v>
      </c>
      <c r="K40" s="3">
        <f t="shared" si="10"/>
        <v>761.787395406928</v>
      </c>
      <c r="L40" s="2">
        <f t="shared" si="11"/>
        <v>0</v>
      </c>
      <c r="M40" s="3">
        <f t="shared" si="12"/>
        <v>0</v>
      </c>
      <c r="N40" s="3">
        <f t="shared" si="13"/>
        <v>0</v>
      </c>
    </row>
    <row r="41" spans="1:14" x14ac:dyDescent="0.2">
      <c r="A41">
        <v>2027</v>
      </c>
      <c r="B41" s="2">
        <f t="shared" si="3"/>
        <v>51.54812042319989</v>
      </c>
      <c r="C41" s="3">
        <f t="shared" si="4"/>
        <v>250.4564967875759</v>
      </c>
      <c r="D41" s="3">
        <f t="shared" si="5"/>
        <v>482.83394989685655</v>
      </c>
      <c r="E41">
        <f t="shared" si="1"/>
        <v>800</v>
      </c>
      <c r="F41" s="3">
        <f t="shared" si="6"/>
        <v>531.86610879320062</v>
      </c>
      <c r="G41" s="2">
        <f t="shared" si="7"/>
        <v>61.293617730137541</v>
      </c>
      <c r="H41" s="3">
        <f t="shared" si="8"/>
        <v>309.3553244808358</v>
      </c>
      <c r="I41" s="3">
        <f t="shared" si="9"/>
        <v>658.61063316221657</v>
      </c>
      <c r="J41">
        <f t="shared" si="2"/>
        <v>1100</v>
      </c>
      <c r="K41" s="3">
        <f t="shared" si="10"/>
        <v>731.31589959065082</v>
      </c>
      <c r="L41" s="2">
        <f t="shared" si="11"/>
        <v>0</v>
      </c>
      <c r="M41" s="3">
        <f t="shared" si="12"/>
        <v>0</v>
      </c>
      <c r="N41" s="3">
        <f t="shared" si="13"/>
        <v>0</v>
      </c>
    </row>
    <row r="42" spans="1:14" x14ac:dyDescent="0.2">
      <c r="A42">
        <v>2028</v>
      </c>
      <c r="B42" s="2">
        <f t="shared" si="3"/>
        <v>64.90707879253992</v>
      </c>
      <c r="C42" s="3">
        <f t="shared" si="4"/>
        <v>315.36357558011582</v>
      </c>
      <c r="D42" s="3">
        <f t="shared" si="5"/>
        <v>459.0590785860486</v>
      </c>
      <c r="E42">
        <f t="shared" si="1"/>
        <v>800</v>
      </c>
      <c r="F42" s="3">
        <f t="shared" si="6"/>
        <v>510.59146444147257</v>
      </c>
      <c r="G42" s="2">
        <f t="shared" si="7"/>
        <v>76.438670240091923</v>
      </c>
      <c r="H42" s="3">
        <f t="shared" si="8"/>
        <v>385.79399472092774</v>
      </c>
      <c r="I42" s="3">
        <f t="shared" si="9"/>
        <v>625.68010150410566</v>
      </c>
      <c r="J42">
        <f t="shared" si="2"/>
        <v>1100</v>
      </c>
      <c r="K42" s="3">
        <f t="shared" si="10"/>
        <v>702.06326360702474</v>
      </c>
      <c r="L42" s="2">
        <f t="shared" si="11"/>
        <v>0</v>
      </c>
      <c r="M42" s="3">
        <f t="shared" si="12"/>
        <v>0</v>
      </c>
      <c r="N42" s="3">
        <f t="shared" si="13"/>
        <v>0</v>
      </c>
    </row>
    <row r="43" spans="1:14" x14ac:dyDescent="0.2">
      <c r="A43">
        <v>2029</v>
      </c>
      <c r="B43" s="2">
        <f t="shared" si="3"/>
        <v>81.728079371152063</v>
      </c>
      <c r="C43" s="3">
        <f t="shared" si="4"/>
        <v>397.09165495126786</v>
      </c>
      <c r="D43" s="3">
        <f t="shared" si="5"/>
        <v>436.45488822252332</v>
      </c>
      <c r="E43">
        <f t="shared" si="1"/>
        <v>800</v>
      </c>
      <c r="F43" s="3">
        <f t="shared" si="6"/>
        <v>490.16780586381367</v>
      </c>
      <c r="G43" s="2">
        <f t="shared" si="7"/>
        <v>95.325916864597573</v>
      </c>
      <c r="H43" s="3">
        <f t="shared" si="8"/>
        <v>481.1199115855253</v>
      </c>
      <c r="I43" s="3">
        <f t="shared" si="9"/>
        <v>594.39609642890036</v>
      </c>
      <c r="J43">
        <f t="shared" si="2"/>
        <v>1100</v>
      </c>
      <c r="K43" s="3">
        <f t="shared" si="10"/>
        <v>673.98073306274375</v>
      </c>
      <c r="L43" s="2">
        <f t="shared" si="11"/>
        <v>0</v>
      </c>
      <c r="M43" s="3">
        <f t="shared" si="12"/>
        <v>0</v>
      </c>
      <c r="N43" s="3">
        <f t="shared" si="13"/>
        <v>0</v>
      </c>
    </row>
    <row r="44" spans="1:14" x14ac:dyDescent="0.2">
      <c r="A44">
        <v>2030</v>
      </c>
      <c r="B44" s="2">
        <f t="shared" si="3"/>
        <v>102.90832805843414</v>
      </c>
      <c r="C44" s="3">
        <f t="shared" si="4"/>
        <v>499.99998300970196</v>
      </c>
      <c r="D44" s="3">
        <f t="shared" si="5"/>
        <v>414.96373416701368</v>
      </c>
      <c r="E44">
        <f t="shared" si="1"/>
        <v>800</v>
      </c>
      <c r="F44" s="3">
        <f t="shared" si="6"/>
        <v>470.56109362926111</v>
      </c>
      <c r="G44" s="2">
        <f t="shared" si="7"/>
        <v>118.88001711089473</v>
      </c>
      <c r="H44" s="3">
        <f t="shared" si="8"/>
        <v>599.99992869642006</v>
      </c>
      <c r="I44" s="3">
        <f t="shared" si="9"/>
        <v>564.67629160745537</v>
      </c>
      <c r="J44">
        <f t="shared" si="2"/>
        <v>1100</v>
      </c>
      <c r="K44" s="3">
        <f t="shared" si="10"/>
        <v>647.02150374023392</v>
      </c>
      <c r="L44" s="2">
        <f t="shared" si="11"/>
        <v>0</v>
      </c>
      <c r="M44" s="3">
        <v>400</v>
      </c>
      <c r="N44" s="3">
        <f t="shared" si="13"/>
        <v>0</v>
      </c>
    </row>
    <row r="45" spans="1:14" x14ac:dyDescent="0.2">
      <c r="A45" t="s">
        <v>10</v>
      </c>
      <c r="D45" s="3">
        <f>SUMPRODUCT(B24:B44,D24:D44)/SUM(B24:B44)</f>
        <v>508.61294239392714</v>
      </c>
      <c r="E45" s="3">
        <f>SUMPRODUCT(B24:B44,E24:E44)/SUM(B24:B44)</f>
        <v>800</v>
      </c>
      <c r="F45" s="3">
        <f>SUMPRODUCT(B24:B44,F24:F44)/SUM(B24:B44)</f>
        <v>553.04844769345038</v>
      </c>
      <c r="I45" s="3">
        <f>SUMPRODUCT(G19:G44,I19:I44)/SUM(G19:G44)</f>
        <v>641.42223034896892</v>
      </c>
      <c r="J45" s="3">
        <f>SUMPRODUCT(G19:G44,J19:J44)/SUM(G19:G44)</f>
        <v>1040.7833262960651</v>
      </c>
      <c r="K45" s="3">
        <f>SUMPRODUCT(G19:G44,K19:K44)/SUM(G19:G44)</f>
        <v>706.39886802106764</v>
      </c>
      <c r="N45" s="3" t="e">
        <f>SUMPRODUCT(L24:L44,N24:N44)/SUM(L24:L44)</f>
        <v>#DIV/0!</v>
      </c>
    </row>
    <row r="46" spans="1:14" x14ac:dyDescent="0.2">
      <c r="C46">
        <v>600</v>
      </c>
      <c r="H46">
        <v>600</v>
      </c>
    </row>
    <row r="47" spans="1:14" x14ac:dyDescent="0.2">
      <c r="C47" s="3">
        <f>C46-C44</f>
        <v>100.00001699029804</v>
      </c>
      <c r="H47" s="3">
        <f>H46-H44</f>
        <v>7.130357994356018E-5</v>
      </c>
    </row>
    <row r="54" spans="1:3" x14ac:dyDescent="0.2">
      <c r="A54" s="5" t="s">
        <v>15</v>
      </c>
    </row>
    <row r="55" spans="1:3" x14ac:dyDescent="0.2">
      <c r="A55" t="s">
        <v>11</v>
      </c>
      <c r="B55" t="s">
        <v>13</v>
      </c>
      <c r="C55" t="s">
        <v>14</v>
      </c>
    </row>
    <row r="57" spans="1:3" x14ac:dyDescent="0.2">
      <c r="B57" t="s">
        <v>12</v>
      </c>
    </row>
    <row r="58" spans="1:3" x14ac:dyDescent="0.2">
      <c r="A58">
        <v>2010</v>
      </c>
      <c r="B58">
        <v>4.63</v>
      </c>
    </row>
    <row r="59" spans="1:3" x14ac:dyDescent="0.2">
      <c r="A59">
        <v>2011</v>
      </c>
      <c r="B59">
        <v>3.97</v>
      </c>
      <c r="C59" s="4">
        <f>(B58-B59)/B58</f>
        <v>0.14254859611231097</v>
      </c>
    </row>
    <row r="60" spans="1:3" x14ac:dyDescent="0.2">
      <c r="A60">
        <v>2012</v>
      </c>
      <c r="B60">
        <v>2.7</v>
      </c>
      <c r="C60" s="4">
        <f t="shared" ref="C60:C66" si="14">(B59-B60)/B59</f>
        <v>0.31989924433249367</v>
      </c>
    </row>
    <row r="61" spans="1:3" x14ac:dyDescent="0.2">
      <c r="A61">
        <v>2013</v>
      </c>
      <c r="B61">
        <v>2.0699999999999998</v>
      </c>
      <c r="C61" s="4">
        <f t="shared" si="14"/>
        <v>0.23333333333333345</v>
      </c>
    </row>
    <row r="62" spans="1:3" x14ac:dyDescent="0.2">
      <c r="A62">
        <v>2014</v>
      </c>
      <c r="B62">
        <v>1.91</v>
      </c>
      <c r="C62" s="4">
        <f t="shared" si="14"/>
        <v>7.7294685990338133E-2</v>
      </c>
    </row>
    <row r="63" spans="1:3" x14ac:dyDescent="0.2">
      <c r="A63">
        <v>2015</v>
      </c>
      <c r="B63">
        <v>1.85</v>
      </c>
      <c r="C63" s="4">
        <f t="shared" si="14"/>
        <v>3.1413612565444941E-2</v>
      </c>
    </row>
    <row r="64" spans="1:3" x14ac:dyDescent="0.2">
      <c r="A64">
        <v>2016</v>
      </c>
      <c r="B64">
        <v>1.47</v>
      </c>
      <c r="C64" s="4">
        <f t="shared" si="14"/>
        <v>0.20540540540540544</v>
      </c>
    </row>
    <row r="65" spans="1:3" x14ac:dyDescent="0.2">
      <c r="A65">
        <v>2017</v>
      </c>
      <c r="B65">
        <v>1.04</v>
      </c>
      <c r="C65" s="4">
        <f t="shared" si="14"/>
        <v>0.29251700680272102</v>
      </c>
    </row>
    <row r="66" spans="1:3" x14ac:dyDescent="0.2">
      <c r="A66">
        <v>2018</v>
      </c>
      <c r="B66">
        <v>1.06</v>
      </c>
      <c r="C66" s="4">
        <f t="shared" si="14"/>
        <v>-1.9230769230769246E-2</v>
      </c>
    </row>
    <row r="68" spans="1:3" x14ac:dyDescent="0.2">
      <c r="A68" t="s">
        <v>70</v>
      </c>
      <c r="C68" s="4">
        <f>(1-(B66/B58)^(1/(A66-A58)))</f>
        <v>0.16830209163078047</v>
      </c>
    </row>
    <row r="69" spans="1:3" x14ac:dyDescent="0.2">
      <c r="A69" t="s">
        <v>71</v>
      </c>
      <c r="C69" s="4">
        <f>(1-(B66/B62)^(1/(A66-A62)))</f>
        <v>0.13688607267050612</v>
      </c>
    </row>
  </sheetData>
  <scenarios current="1" show="1" sqref="A38">
    <scenario name="Solar 200 GW" locked="1" count="1" user="Ranjit Deshmukh" comment="Created by Ranjit Deshmukh on 2/28/2019">
      <inputCells r="C44" val="200"/>
    </scenario>
    <scenario name="Solar 400 GW" locked="1" count="1" user="Ranjit Deshmukh" comment="Created by Ranjit Deshmukh on 2/28/2019">
      <inputCells r="C44" val="400"/>
    </scenario>
  </scenarios>
  <hyperlinks>
    <hyperlink ref="A54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W35"/>
  <sheetViews>
    <sheetView topLeftCell="B1" workbookViewId="0">
      <selection activeCell="F23" sqref="F23"/>
    </sheetView>
  </sheetViews>
  <sheetFormatPr baseColWidth="10" defaultRowHeight="16" x14ac:dyDescent="0.2"/>
  <cols>
    <col min="2" max="2" width="23.33203125" bestFit="1" customWidth="1"/>
    <col min="3" max="3" width="26.6640625" bestFit="1" customWidth="1"/>
    <col min="4" max="4" width="12.83203125" customWidth="1"/>
    <col min="5" max="5" width="12" customWidth="1"/>
    <col min="6" max="6" width="12.33203125" customWidth="1"/>
    <col min="7" max="7" width="13" customWidth="1"/>
    <col min="8" max="8" width="12.33203125" customWidth="1"/>
    <col min="9" max="9" width="11.33203125" customWidth="1"/>
    <col min="10" max="10" width="12.33203125" customWidth="1"/>
    <col min="11" max="11" width="12.83203125" customWidth="1"/>
    <col min="21" max="21" width="14.83203125" customWidth="1"/>
    <col min="22" max="22" width="11.6640625" bestFit="1" customWidth="1"/>
  </cols>
  <sheetData>
    <row r="2" spans="1:22" x14ac:dyDescent="0.2">
      <c r="A2" t="s">
        <v>53</v>
      </c>
      <c r="B2" t="s">
        <v>54</v>
      </c>
      <c r="D2" t="s">
        <v>28</v>
      </c>
      <c r="L2" t="s">
        <v>38</v>
      </c>
      <c r="M2" s="12" t="s">
        <v>52</v>
      </c>
      <c r="U2" t="s">
        <v>66</v>
      </c>
    </row>
    <row r="3" spans="1:22" s="10" customFormat="1" ht="64" x14ac:dyDescent="0.2">
      <c r="B3" s="10" t="s">
        <v>1</v>
      </c>
      <c r="C3" s="10" t="s">
        <v>5</v>
      </c>
      <c r="D3" s="10" t="s">
        <v>29</v>
      </c>
      <c r="E3" s="10" t="s">
        <v>30</v>
      </c>
      <c r="F3" s="10" t="s">
        <v>31</v>
      </c>
      <c r="G3" s="10" t="s">
        <v>32</v>
      </c>
      <c r="H3" s="10" t="s">
        <v>33</v>
      </c>
      <c r="I3" s="10" t="s">
        <v>34</v>
      </c>
      <c r="J3" s="10" t="s">
        <v>35</v>
      </c>
      <c r="K3" s="10" t="s">
        <v>36</v>
      </c>
      <c r="L3" s="10" t="s">
        <v>37</v>
      </c>
      <c r="M3" s="10" t="s">
        <v>39</v>
      </c>
      <c r="N3" s="10" t="s">
        <v>40</v>
      </c>
      <c r="O3" s="10" t="s">
        <v>41</v>
      </c>
      <c r="P3" s="10" t="s">
        <v>42</v>
      </c>
      <c r="Q3" s="10" t="s">
        <v>43</v>
      </c>
      <c r="R3" s="10" t="s">
        <v>44</v>
      </c>
      <c r="S3" s="10" t="s">
        <v>45</v>
      </c>
      <c r="T3" s="10" t="s">
        <v>55</v>
      </c>
      <c r="U3" s="10" t="s">
        <v>63</v>
      </c>
      <c r="V3" s="10" t="s">
        <v>64</v>
      </c>
    </row>
    <row r="4" spans="1:22" x14ac:dyDescent="0.2">
      <c r="A4">
        <v>2005</v>
      </c>
      <c r="B4">
        <v>6.2</v>
      </c>
      <c r="C4">
        <v>6.2</v>
      </c>
      <c r="D4" s="3">
        <v>0.5</v>
      </c>
      <c r="E4" s="3">
        <v>84.6</v>
      </c>
      <c r="F4" s="3">
        <v>143.80000000000001</v>
      </c>
      <c r="G4" s="3">
        <v>11.4</v>
      </c>
      <c r="H4" s="3">
        <v>545.1</v>
      </c>
      <c r="I4" s="3">
        <v>73.3</v>
      </c>
      <c r="J4" s="3">
        <v>857.6</v>
      </c>
      <c r="K4" s="2">
        <f t="shared" ref="K4:K10" si="0">SUM(D4:J4)/1000</f>
        <v>1.7163000000000002</v>
      </c>
      <c r="L4" s="11">
        <v>3.37</v>
      </c>
      <c r="M4" s="9">
        <v>3.37</v>
      </c>
      <c r="N4" s="12">
        <v>3.4</v>
      </c>
      <c r="O4" s="12">
        <v>4.3499999999999996</v>
      </c>
      <c r="P4">
        <v>4.93</v>
      </c>
      <c r="Q4" s="12">
        <v>3.59</v>
      </c>
      <c r="R4">
        <v>2.75</v>
      </c>
      <c r="U4" s="9">
        <f>(D4*L4+E4*M4+F4*N4+G4*O4+H4*P4+I4*Q4+J4*R4)/SUM(D4:J4)</f>
        <v>3.5740762104527177</v>
      </c>
    </row>
    <row r="5" spans="1:22" x14ac:dyDescent="0.2">
      <c r="A5">
        <v>2006</v>
      </c>
      <c r="B5">
        <f>C5-C4</f>
        <v>1.7000000000000002</v>
      </c>
      <c r="C5">
        <v>7.9</v>
      </c>
      <c r="D5" s="3">
        <v>0.8</v>
      </c>
      <c r="E5" s="3">
        <v>284</v>
      </c>
      <c r="F5" s="3">
        <v>266</v>
      </c>
      <c r="G5" s="3">
        <v>16.399999999999999</v>
      </c>
      <c r="H5" s="3">
        <v>485.3</v>
      </c>
      <c r="I5" s="3">
        <v>111.8</v>
      </c>
      <c r="J5" s="3">
        <v>577.9</v>
      </c>
      <c r="K5" s="2">
        <f t="shared" si="0"/>
        <v>1.7421999999999997</v>
      </c>
      <c r="L5" s="11">
        <v>3.37</v>
      </c>
      <c r="M5" s="9">
        <v>3.37</v>
      </c>
      <c r="N5" s="12">
        <v>3.4</v>
      </c>
      <c r="O5" s="12">
        <v>4.3499999999999996</v>
      </c>
      <c r="P5">
        <v>4.93</v>
      </c>
      <c r="Q5" s="12">
        <v>3.59</v>
      </c>
      <c r="R5">
        <v>2.75</v>
      </c>
      <c r="U5" s="9">
        <f t="shared" ref="U5:U15" si="1">(D5*L5+E5*M5+F5*N5+G5*O5+H5*P5+I5*Q5+J5*R5)/SUM(D5:J5)</f>
        <v>3.6268120766846517</v>
      </c>
      <c r="V5" s="9">
        <f>U5*'inflation rate'!C19</f>
        <v>8.3052790167913511</v>
      </c>
    </row>
    <row r="6" spans="1:22" x14ac:dyDescent="0.2">
      <c r="A6">
        <v>2007</v>
      </c>
      <c r="B6">
        <f t="shared" ref="B6:B16" si="2">C6-C5</f>
        <v>1.6999999999999993</v>
      </c>
      <c r="C6">
        <v>9.6</v>
      </c>
      <c r="D6" s="3">
        <v>0</v>
      </c>
      <c r="E6" s="3">
        <v>616.4</v>
      </c>
      <c r="F6" s="3">
        <v>190.3</v>
      </c>
      <c r="G6" s="3">
        <v>130.4</v>
      </c>
      <c r="H6" s="3">
        <v>268.2</v>
      </c>
      <c r="I6" s="3">
        <v>69</v>
      </c>
      <c r="J6" s="3">
        <v>380.7</v>
      </c>
      <c r="K6" s="2">
        <f t="shared" si="0"/>
        <v>1.655</v>
      </c>
      <c r="L6" s="11">
        <v>3.37</v>
      </c>
      <c r="M6" s="9">
        <v>3.37</v>
      </c>
      <c r="N6" s="12">
        <v>3.4</v>
      </c>
      <c r="O6" s="12">
        <v>4.3499999999999996</v>
      </c>
      <c r="P6">
        <v>4.93</v>
      </c>
      <c r="Q6" s="12">
        <v>3.59</v>
      </c>
      <c r="R6">
        <v>2.9</v>
      </c>
      <c r="U6" s="9">
        <f t="shared" si="1"/>
        <v>3.604528096676737</v>
      </c>
      <c r="V6" s="9">
        <f>U6*'inflation rate'!D19</f>
        <v>7.7584824173383549</v>
      </c>
    </row>
    <row r="7" spans="1:22" x14ac:dyDescent="0.2">
      <c r="A7">
        <v>2008</v>
      </c>
      <c r="B7">
        <f t="shared" si="2"/>
        <v>1.3000000000000007</v>
      </c>
      <c r="C7">
        <v>10.9</v>
      </c>
      <c r="D7" s="3">
        <v>0</v>
      </c>
      <c r="E7" s="3">
        <v>313.60000000000002</v>
      </c>
      <c r="F7" s="3">
        <v>316</v>
      </c>
      <c r="G7" s="3">
        <v>25.1</v>
      </c>
      <c r="H7" s="3">
        <v>183</v>
      </c>
      <c r="I7" s="3">
        <v>199.6</v>
      </c>
      <c r="J7" s="3">
        <v>431.1</v>
      </c>
      <c r="K7" s="2">
        <f t="shared" si="0"/>
        <v>1.4684000000000001</v>
      </c>
      <c r="L7" s="11">
        <v>3.37</v>
      </c>
      <c r="M7" s="9">
        <v>3.37</v>
      </c>
      <c r="N7" s="12">
        <v>3.4</v>
      </c>
      <c r="O7" s="12">
        <v>4.3499999999999996</v>
      </c>
      <c r="P7">
        <v>4.93</v>
      </c>
      <c r="Q7" s="12">
        <v>3.59</v>
      </c>
      <c r="R7">
        <v>2.9</v>
      </c>
      <c r="U7" s="9">
        <f t="shared" si="1"/>
        <v>3.4795430400435845</v>
      </c>
      <c r="V7" s="9">
        <f>U7*'inflation rate'!E19</f>
        <v>6.9141998225329369</v>
      </c>
    </row>
    <row r="8" spans="1:22" x14ac:dyDescent="0.2">
      <c r="A8">
        <v>2009</v>
      </c>
      <c r="B8">
        <f t="shared" si="2"/>
        <v>2.0999999999999996</v>
      </c>
      <c r="C8">
        <v>13</v>
      </c>
      <c r="D8" s="3">
        <v>13.6</v>
      </c>
      <c r="E8" s="3">
        <v>297.10000000000002</v>
      </c>
      <c r="F8" s="3">
        <v>145.4</v>
      </c>
      <c r="G8" s="3">
        <v>16.600000000000001</v>
      </c>
      <c r="H8" s="3">
        <v>138.9</v>
      </c>
      <c r="I8" s="3">
        <v>350</v>
      </c>
      <c r="J8" s="3">
        <v>602.20000000000005</v>
      </c>
      <c r="K8" s="2">
        <f t="shared" si="0"/>
        <v>1.5638000000000001</v>
      </c>
      <c r="L8" s="11">
        <v>3.37</v>
      </c>
      <c r="M8" s="9">
        <v>3.37</v>
      </c>
      <c r="N8" s="12">
        <v>3.4</v>
      </c>
      <c r="O8" s="12">
        <v>4.3499999999999996</v>
      </c>
      <c r="P8">
        <v>4.93</v>
      </c>
      <c r="Q8" s="12">
        <v>3.59</v>
      </c>
      <c r="R8">
        <v>3.39</v>
      </c>
      <c r="S8">
        <v>5.63</v>
      </c>
      <c r="U8" s="9">
        <f t="shared" si="1"/>
        <v>3.5786954853561834</v>
      </c>
      <c r="V8" s="9">
        <f>U8*'inflation rate'!F19</f>
        <v>6.4163364091605288</v>
      </c>
    </row>
    <row r="9" spans="1:22" x14ac:dyDescent="0.2">
      <c r="A9">
        <v>2010</v>
      </c>
      <c r="B9">
        <f t="shared" si="2"/>
        <v>3</v>
      </c>
      <c r="C9">
        <v>16</v>
      </c>
      <c r="D9" s="3">
        <v>55.4</v>
      </c>
      <c r="E9" s="3">
        <v>312.8</v>
      </c>
      <c r="F9" s="3">
        <v>254.1</v>
      </c>
      <c r="G9" s="3">
        <v>46.5</v>
      </c>
      <c r="H9" s="3">
        <v>239.1</v>
      </c>
      <c r="I9" s="3">
        <v>436.7</v>
      </c>
      <c r="J9" s="3">
        <v>997.4</v>
      </c>
      <c r="K9" s="2">
        <f t="shared" si="0"/>
        <v>2.3420000000000001</v>
      </c>
      <c r="L9" s="11">
        <v>3.37</v>
      </c>
      <c r="M9" s="9">
        <v>3.56</v>
      </c>
      <c r="N9">
        <v>3.7</v>
      </c>
      <c r="O9" s="12">
        <v>4.3499999999999996</v>
      </c>
      <c r="P9">
        <v>5.07</v>
      </c>
      <c r="Q9">
        <v>4.28</v>
      </c>
      <c r="R9">
        <v>3.39</v>
      </c>
      <c r="S9">
        <v>5.07</v>
      </c>
      <c r="U9" s="9">
        <f t="shared" si="1"/>
        <v>3.8023953885567896</v>
      </c>
      <c r="V9" s="9">
        <f>U9*'inflation rate'!G19</f>
        <v>6.0810041887608612</v>
      </c>
    </row>
    <row r="10" spans="1:22" x14ac:dyDescent="0.2">
      <c r="A10">
        <v>2011</v>
      </c>
      <c r="B10">
        <f t="shared" si="2"/>
        <v>2.3999999999999986</v>
      </c>
      <c r="C10">
        <v>18.399999999999999</v>
      </c>
      <c r="D10" s="3">
        <v>54.1</v>
      </c>
      <c r="E10" s="3">
        <v>789.9</v>
      </c>
      <c r="F10" s="3">
        <v>206.7</v>
      </c>
      <c r="G10" s="3">
        <v>100.5</v>
      </c>
      <c r="H10" s="3">
        <v>416.5</v>
      </c>
      <c r="I10" s="3">
        <v>545.70000000000005</v>
      </c>
      <c r="J10" s="3">
        <v>1083.5</v>
      </c>
      <c r="K10" s="2">
        <f t="shared" si="0"/>
        <v>3.1969000000000003</v>
      </c>
      <c r="L10" s="11">
        <v>3.37</v>
      </c>
      <c r="M10" s="9">
        <v>3.56</v>
      </c>
      <c r="N10">
        <v>3.7</v>
      </c>
      <c r="O10" s="12">
        <v>4.3499999999999996</v>
      </c>
      <c r="P10">
        <v>5.37</v>
      </c>
      <c r="Q10">
        <v>4.28</v>
      </c>
      <c r="R10">
        <v>3.39</v>
      </c>
      <c r="S10">
        <v>5.33</v>
      </c>
      <c r="U10" s="9">
        <f t="shared" si="1"/>
        <v>3.8917676499108516</v>
      </c>
      <c r="V10" s="9">
        <f>U10*'inflation rate'!H19</f>
        <v>5.7168488351927422</v>
      </c>
    </row>
    <row r="11" spans="1:22" x14ac:dyDescent="0.2">
      <c r="A11">
        <v>2012</v>
      </c>
      <c r="B11">
        <f>C11-C10</f>
        <v>1.7000000000000028</v>
      </c>
      <c r="C11">
        <v>20.100000000000001</v>
      </c>
      <c r="D11" s="3">
        <v>202.2</v>
      </c>
      <c r="E11" s="3">
        <v>208.3</v>
      </c>
      <c r="F11" s="3">
        <v>201.7</v>
      </c>
      <c r="G11" s="3">
        <v>9.6</v>
      </c>
      <c r="H11" s="3">
        <v>288.60000000000002</v>
      </c>
      <c r="I11" s="3">
        <v>615.4</v>
      </c>
      <c r="J11" s="3">
        <v>174.6</v>
      </c>
      <c r="K11" s="2">
        <f>SUM(D11:J11)/1000</f>
        <v>1.7004000000000001</v>
      </c>
      <c r="L11" s="3">
        <v>3.5</v>
      </c>
      <c r="M11" s="9">
        <v>4.1500000000000004</v>
      </c>
      <c r="N11" s="3">
        <v>4.2</v>
      </c>
      <c r="O11">
        <v>4.3499999999999996</v>
      </c>
      <c r="P11">
        <v>5.67</v>
      </c>
      <c r="Q11">
        <v>5.18</v>
      </c>
      <c r="R11">
        <v>3.51</v>
      </c>
      <c r="S11">
        <v>5.96</v>
      </c>
      <c r="U11" s="9">
        <f t="shared" si="1"/>
        <v>4.6448041637261817</v>
      </c>
      <c r="V11" s="9">
        <f>U11*'inflation rate'!I19</f>
        <v>6.2424784375948175</v>
      </c>
    </row>
    <row r="12" spans="1:22" x14ac:dyDescent="0.2">
      <c r="A12">
        <v>2013</v>
      </c>
      <c r="B12">
        <f>C12-C11</f>
        <v>1.0999999999999979</v>
      </c>
      <c r="C12">
        <v>21.2</v>
      </c>
      <c r="D12" s="3">
        <v>298.5</v>
      </c>
      <c r="E12" s="3">
        <v>279.8</v>
      </c>
      <c r="F12" s="3">
        <v>183</v>
      </c>
      <c r="G12" s="3">
        <v>37.4</v>
      </c>
      <c r="H12" s="3">
        <v>1074.5</v>
      </c>
      <c r="I12" s="3">
        <v>98.8</v>
      </c>
      <c r="J12" s="3">
        <v>107.38</v>
      </c>
      <c r="K12" s="2">
        <f>SUM(D12:J12)/1000</f>
        <v>2.0793799999999996</v>
      </c>
      <c r="L12" s="3">
        <v>3.5</v>
      </c>
      <c r="M12" s="9">
        <v>4.1500000000000004</v>
      </c>
      <c r="N12" s="3">
        <v>4.2</v>
      </c>
      <c r="O12">
        <v>5.92</v>
      </c>
      <c r="P12">
        <v>5.81</v>
      </c>
      <c r="Q12">
        <v>5.46</v>
      </c>
      <c r="R12">
        <v>3.51</v>
      </c>
      <c r="S12">
        <v>6.29</v>
      </c>
      <c r="U12" s="9">
        <f t="shared" si="1"/>
        <v>4.979909780800047</v>
      </c>
      <c r="V12" s="9">
        <f>U12*'inflation rate'!J19</f>
        <v>6.0339437476435167</v>
      </c>
    </row>
    <row r="13" spans="1:22" x14ac:dyDescent="0.2">
      <c r="A13">
        <v>2014</v>
      </c>
      <c r="B13">
        <f>C13-C12</f>
        <v>2.1999999999999993</v>
      </c>
      <c r="C13">
        <v>23.4</v>
      </c>
      <c r="D13">
        <v>286</v>
      </c>
      <c r="E13">
        <v>191</v>
      </c>
      <c r="F13">
        <v>319</v>
      </c>
      <c r="G13">
        <v>457</v>
      </c>
      <c r="H13">
        <v>346</v>
      </c>
      <c r="I13">
        <v>524</v>
      </c>
      <c r="J13">
        <v>185</v>
      </c>
      <c r="K13" s="2">
        <f t="shared" ref="K13:K15" si="3">SUM(D13:J13)/1000</f>
        <v>2.3079999999999998</v>
      </c>
      <c r="L13">
        <v>4.83</v>
      </c>
      <c r="M13">
        <v>4.1500000000000004</v>
      </c>
      <c r="N13">
        <v>4.2</v>
      </c>
      <c r="O13">
        <v>5.92</v>
      </c>
      <c r="P13">
        <v>5.7</v>
      </c>
      <c r="Q13">
        <v>5.64</v>
      </c>
      <c r="R13">
        <v>3.51</v>
      </c>
      <c r="S13">
        <v>6.34</v>
      </c>
      <c r="U13" s="9">
        <f t="shared" si="1"/>
        <v>5.1109965337954941</v>
      </c>
      <c r="V13" s="9">
        <f>U13*'inflation rate'!K19</f>
        <v>5.821919677698423</v>
      </c>
    </row>
    <row r="14" spans="1:22" x14ac:dyDescent="0.2">
      <c r="A14">
        <v>2015</v>
      </c>
      <c r="B14">
        <f>C14-C13</f>
        <v>3.4000000000000021</v>
      </c>
      <c r="C14">
        <v>26.8</v>
      </c>
      <c r="D14">
        <v>399</v>
      </c>
      <c r="E14">
        <v>393</v>
      </c>
      <c r="F14">
        <v>231</v>
      </c>
      <c r="G14">
        <v>1261</v>
      </c>
      <c r="H14">
        <v>208</v>
      </c>
      <c r="I14">
        <v>684</v>
      </c>
      <c r="J14">
        <v>159</v>
      </c>
      <c r="K14" s="2">
        <f t="shared" si="3"/>
        <v>3.335</v>
      </c>
      <c r="L14">
        <v>4.83</v>
      </c>
      <c r="M14">
        <v>4.1900000000000004</v>
      </c>
      <c r="N14">
        <v>4.5</v>
      </c>
      <c r="O14">
        <v>5.92</v>
      </c>
      <c r="P14">
        <v>5.7</v>
      </c>
      <c r="Q14">
        <v>5.74</v>
      </c>
      <c r="R14">
        <v>3.51</v>
      </c>
      <c r="S14">
        <v>6.58</v>
      </c>
      <c r="U14" s="9">
        <f t="shared" si="1"/>
        <v>5.3218320839580215</v>
      </c>
      <c r="V14" s="9">
        <f>U14*'inflation rate'!L19</f>
        <v>5.7254266842801504</v>
      </c>
    </row>
    <row r="15" spans="1:22" x14ac:dyDescent="0.2">
      <c r="A15">
        <v>2016</v>
      </c>
      <c r="B15">
        <f>C15-C14</f>
        <v>5.4999999999999964</v>
      </c>
      <c r="C15">
        <v>32.299999999999997</v>
      </c>
      <c r="D15">
        <v>2190</v>
      </c>
      <c r="E15">
        <v>1275</v>
      </c>
      <c r="F15">
        <v>882</v>
      </c>
      <c r="G15">
        <v>357</v>
      </c>
      <c r="H15">
        <v>118</v>
      </c>
      <c r="I15">
        <v>288</v>
      </c>
      <c r="J15">
        <v>262</v>
      </c>
      <c r="K15" s="2">
        <f t="shared" si="3"/>
        <v>5.3719999999999999</v>
      </c>
      <c r="L15">
        <v>4.83</v>
      </c>
      <c r="M15">
        <v>4.72</v>
      </c>
      <c r="N15">
        <v>4.5</v>
      </c>
      <c r="O15">
        <v>4.78</v>
      </c>
      <c r="P15">
        <v>5.56</v>
      </c>
      <c r="Q15">
        <v>5.76</v>
      </c>
      <c r="R15">
        <v>4.16</v>
      </c>
      <c r="S15">
        <v>6.6</v>
      </c>
      <c r="U15" s="9">
        <f t="shared" si="1"/>
        <v>4.7796053611317948</v>
      </c>
      <c r="V15" s="9">
        <f>U15*'inflation rate'!M19</f>
        <v>4.898617534623976</v>
      </c>
    </row>
    <row r="16" spans="1:22" x14ac:dyDescent="0.2">
      <c r="A16">
        <v>2017</v>
      </c>
      <c r="B16">
        <f>C16-C15</f>
        <v>1.7000000000000028</v>
      </c>
      <c r="C16">
        <v>34</v>
      </c>
      <c r="L16">
        <v>4.76</v>
      </c>
      <c r="P16">
        <v>5.4</v>
      </c>
      <c r="Q16">
        <v>5.26</v>
      </c>
      <c r="T16">
        <v>3.46</v>
      </c>
      <c r="U16" s="9">
        <f>T16</f>
        <v>3.46</v>
      </c>
      <c r="V16">
        <f>U16*'inflation rate'!N19</f>
        <v>3.46</v>
      </c>
    </row>
    <row r="17" spans="1:23" x14ac:dyDescent="0.2">
      <c r="B17" s="2"/>
      <c r="C17" s="3"/>
      <c r="U17" s="6">
        <f>1-(U16/U5)^(1/(A16-A5))</f>
        <v>4.271347875934528E-3</v>
      </c>
      <c r="V17" s="7">
        <f>1-(V16/V5)^(1/(A16-A5))</f>
        <v>7.6516243122531469E-2</v>
      </c>
      <c r="W17" t="s">
        <v>65</v>
      </c>
    </row>
    <row r="29" spans="1:23" ht="48" x14ac:dyDescent="0.2">
      <c r="B29" t="s">
        <v>67</v>
      </c>
      <c r="L29" s="10" t="s">
        <v>37</v>
      </c>
      <c r="M29" s="10" t="s">
        <v>39</v>
      </c>
      <c r="N29" s="10" t="s">
        <v>40</v>
      </c>
      <c r="O29" s="10" t="s">
        <v>41</v>
      </c>
      <c r="P29" s="10" t="s">
        <v>42</v>
      </c>
      <c r="Q29" s="10" t="s">
        <v>43</v>
      </c>
      <c r="R29" s="10" t="s">
        <v>44</v>
      </c>
    </row>
    <row r="30" spans="1:23" x14ac:dyDescent="0.2">
      <c r="A30">
        <v>2012</v>
      </c>
      <c r="B30">
        <f>C30-C29</f>
        <v>0</v>
      </c>
      <c r="D30" s="3"/>
      <c r="E30" s="3"/>
      <c r="F30" s="3"/>
      <c r="G30" s="3"/>
      <c r="H30" s="3"/>
      <c r="I30" s="3"/>
      <c r="J30" s="3"/>
      <c r="K30" s="2"/>
      <c r="M30" s="3">
        <v>10.37</v>
      </c>
      <c r="N30" s="3">
        <v>14.5</v>
      </c>
      <c r="O30">
        <v>10.44</v>
      </c>
      <c r="P30">
        <v>11.66</v>
      </c>
      <c r="Q30">
        <v>9.6300000000000008</v>
      </c>
    </row>
    <row r="31" spans="1:23" x14ac:dyDescent="0.2">
      <c r="A31">
        <v>2013</v>
      </c>
      <c r="B31">
        <f>C31-C30</f>
        <v>0</v>
      </c>
      <c r="D31" s="3"/>
      <c r="E31" s="3"/>
      <c r="F31" s="3"/>
      <c r="G31" s="3"/>
      <c r="H31" s="3"/>
      <c r="I31" s="3"/>
      <c r="J31" s="3"/>
      <c r="K31" s="2"/>
      <c r="M31" s="3">
        <v>9.64</v>
      </c>
      <c r="N31" s="3">
        <v>8.4</v>
      </c>
      <c r="O31">
        <v>10.44</v>
      </c>
      <c r="P31">
        <v>8.98</v>
      </c>
      <c r="Q31">
        <v>9.6300000000000008</v>
      </c>
    </row>
    <row r="32" spans="1:23" x14ac:dyDescent="0.2">
      <c r="A32">
        <v>2014</v>
      </c>
      <c r="B32">
        <f>C32-C31</f>
        <v>0</v>
      </c>
      <c r="K32" s="2"/>
      <c r="M32">
        <v>8.9700000000000006</v>
      </c>
      <c r="N32">
        <v>8.4</v>
      </c>
      <c r="O32">
        <v>10.44</v>
      </c>
      <c r="P32">
        <v>7.95</v>
      </c>
      <c r="Q32">
        <v>8.33</v>
      </c>
      <c r="R32">
        <v>7.01</v>
      </c>
    </row>
    <row r="33" spans="1:18" x14ac:dyDescent="0.2">
      <c r="A33">
        <v>2015</v>
      </c>
      <c r="B33">
        <f>C33-C32</f>
        <v>0</v>
      </c>
      <c r="K33" s="2"/>
      <c r="M33">
        <v>6.77</v>
      </c>
      <c r="N33">
        <v>6.51</v>
      </c>
      <c r="O33">
        <v>10.44</v>
      </c>
      <c r="P33">
        <v>6.04</v>
      </c>
      <c r="Q33">
        <v>6.74</v>
      </c>
      <c r="R33">
        <v>7.01</v>
      </c>
    </row>
    <row r="34" spans="1:18" x14ac:dyDescent="0.2">
      <c r="A34">
        <v>2016</v>
      </c>
      <c r="B34">
        <f>C34-C33</f>
        <v>0</v>
      </c>
      <c r="K34" s="2"/>
      <c r="M34">
        <v>6.3</v>
      </c>
      <c r="N34">
        <v>6.51</v>
      </c>
      <c r="O34">
        <v>5.45</v>
      </c>
      <c r="P34">
        <v>5.13</v>
      </c>
      <c r="Q34">
        <v>5.4</v>
      </c>
      <c r="R34">
        <v>5.0999999999999996</v>
      </c>
    </row>
    <row r="35" spans="1:18" x14ac:dyDescent="0.2">
      <c r="A35">
        <v>2017</v>
      </c>
      <c r="B35">
        <f>C35-C34</f>
        <v>0</v>
      </c>
      <c r="N35">
        <v>4.3600000000000003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F37" sqref="F37"/>
    </sheetView>
  </sheetViews>
  <sheetFormatPr baseColWidth="10" defaultRowHeight="16" x14ac:dyDescent="0.2"/>
  <sheetData>
    <row r="1" spans="1:5" x14ac:dyDescent="0.2">
      <c r="A1" t="s">
        <v>48</v>
      </c>
      <c r="D1" s="5" t="s">
        <v>51</v>
      </c>
    </row>
    <row r="2" spans="1:5" x14ac:dyDescent="0.2">
      <c r="B2" t="s">
        <v>47</v>
      </c>
      <c r="C2">
        <v>0.15959999999999999</v>
      </c>
      <c r="D2" t="s">
        <v>50</v>
      </c>
      <c r="E2">
        <f>(C2*(1+C2)^A28)/((1+C2)^A28-1)</f>
        <v>0.16363812089263194</v>
      </c>
    </row>
    <row r="3" spans="1:5" x14ac:dyDescent="0.2">
      <c r="C3" t="s">
        <v>46</v>
      </c>
      <c r="D3" t="s">
        <v>49</v>
      </c>
    </row>
    <row r="4" spans="1:5" x14ac:dyDescent="0.2">
      <c r="A4">
        <v>1</v>
      </c>
      <c r="B4">
        <v>3.5</v>
      </c>
      <c r="C4" s="2">
        <f>B4/(1+$C$2)^(A4-$A$4)</f>
        <v>3.5</v>
      </c>
      <c r="D4">
        <f>SUM(C4:C28)*E2</f>
        <v>4.9341879348687581</v>
      </c>
    </row>
    <row r="5" spans="1:5" x14ac:dyDescent="0.2">
      <c r="A5">
        <v>2</v>
      </c>
      <c r="B5">
        <f>B4+0.15</f>
        <v>3.65</v>
      </c>
      <c r="C5" s="2">
        <f t="shared" ref="C5:C28" si="0">B5/(1+$C$2)^(A5-$A$4)</f>
        <v>3.1476371162469818</v>
      </c>
    </row>
    <row r="6" spans="1:5" x14ac:dyDescent="0.2">
      <c r="A6">
        <v>3</v>
      </c>
      <c r="B6">
        <f t="shared" ref="B6:B16" si="1">B5+0.15</f>
        <v>3.8</v>
      </c>
      <c r="C6" s="2">
        <f t="shared" si="0"/>
        <v>2.8259676321401641</v>
      </c>
    </row>
    <row r="7" spans="1:5" x14ac:dyDescent="0.2">
      <c r="A7">
        <v>4</v>
      </c>
      <c r="B7">
        <f t="shared" si="1"/>
        <v>3.9499999999999997</v>
      </c>
      <c r="C7" s="2">
        <f t="shared" si="0"/>
        <v>2.5332174767509779</v>
      </c>
    </row>
    <row r="8" spans="1:5" x14ac:dyDescent="0.2">
      <c r="A8">
        <v>5</v>
      </c>
      <c r="B8">
        <f t="shared" si="1"/>
        <v>4.0999999999999996</v>
      </c>
      <c r="C8" s="2">
        <f t="shared" si="0"/>
        <v>2.2675194970502726</v>
      </c>
    </row>
    <row r="9" spans="1:5" x14ac:dyDescent="0.2">
      <c r="A9">
        <v>6</v>
      </c>
      <c r="B9">
        <f t="shared" si="1"/>
        <v>4.25</v>
      </c>
      <c r="C9" s="2">
        <f t="shared" si="0"/>
        <v>2.0269726866420839</v>
      </c>
    </row>
    <row r="10" spans="1:5" x14ac:dyDescent="0.2">
      <c r="A10">
        <v>7</v>
      </c>
      <c r="B10">
        <f t="shared" si="1"/>
        <v>4.4000000000000004</v>
      </c>
      <c r="C10" s="2">
        <f t="shared" si="0"/>
        <v>1.8096868740184586</v>
      </c>
    </row>
    <row r="11" spans="1:5" x14ac:dyDescent="0.2">
      <c r="A11">
        <v>8</v>
      </c>
      <c r="B11">
        <f t="shared" si="1"/>
        <v>4.5500000000000007</v>
      </c>
      <c r="C11" s="2">
        <f t="shared" si="0"/>
        <v>1.6138157508827473</v>
      </c>
    </row>
    <row r="12" spans="1:5" x14ac:dyDescent="0.2">
      <c r="A12">
        <v>9</v>
      </c>
      <c r="B12">
        <f t="shared" si="1"/>
        <v>4.7000000000000011</v>
      </c>
      <c r="C12" s="2">
        <f t="shared" si="0"/>
        <v>1.4375806036088445</v>
      </c>
    </row>
    <row r="13" spans="1:5" x14ac:dyDescent="0.2">
      <c r="A13">
        <v>10</v>
      </c>
      <c r="B13">
        <f t="shared" si="1"/>
        <v>4.8500000000000014</v>
      </c>
      <c r="C13" s="2">
        <f t="shared" si="0"/>
        <v>1.2792866813029615</v>
      </c>
    </row>
    <row r="14" spans="1:5" x14ac:dyDescent="0.2">
      <c r="A14">
        <v>11</v>
      </c>
      <c r="B14">
        <f t="shared" si="1"/>
        <v>5.0000000000000018</v>
      </c>
      <c r="C14" s="2">
        <f t="shared" si="0"/>
        <v>1.1373337778250601</v>
      </c>
    </row>
    <row r="15" spans="1:5" x14ac:dyDescent="0.2">
      <c r="A15">
        <v>12</v>
      </c>
      <c r="B15">
        <f t="shared" si="1"/>
        <v>5.1500000000000021</v>
      </c>
      <c r="C15" s="2">
        <f t="shared" si="0"/>
        <v>1.0102223104172232</v>
      </c>
    </row>
    <row r="16" spans="1:5" x14ac:dyDescent="0.2">
      <c r="A16">
        <v>13</v>
      </c>
      <c r="B16">
        <f t="shared" si="1"/>
        <v>5.3000000000000025</v>
      </c>
      <c r="C16" s="2">
        <f t="shared" si="0"/>
        <v>0.89655593412045054</v>
      </c>
    </row>
    <row r="17" spans="1:3" x14ac:dyDescent="0.2">
      <c r="A17">
        <v>14</v>
      </c>
      <c r="B17">
        <f>B16</f>
        <v>5.3000000000000025</v>
      </c>
      <c r="C17" s="2">
        <f t="shared" si="0"/>
        <v>0.77315965343260651</v>
      </c>
    </row>
    <row r="18" spans="1:3" x14ac:dyDescent="0.2">
      <c r="A18">
        <v>15</v>
      </c>
      <c r="B18">
        <f t="shared" ref="B18:B28" si="2">B17</f>
        <v>5.3000000000000025</v>
      </c>
      <c r="C18" s="2">
        <f t="shared" si="0"/>
        <v>0.666746855323048</v>
      </c>
    </row>
    <row r="19" spans="1:3" x14ac:dyDescent="0.2">
      <c r="A19">
        <v>16</v>
      </c>
      <c r="B19">
        <f t="shared" si="2"/>
        <v>5.3000000000000025</v>
      </c>
      <c r="C19" s="2">
        <f t="shared" si="0"/>
        <v>0.57498004080980347</v>
      </c>
    </row>
    <row r="20" spans="1:3" x14ac:dyDescent="0.2">
      <c r="A20">
        <v>17</v>
      </c>
      <c r="B20">
        <f t="shared" si="2"/>
        <v>5.3000000000000025</v>
      </c>
      <c r="C20" s="2">
        <f t="shared" si="0"/>
        <v>0.49584342946688814</v>
      </c>
    </row>
    <row r="21" spans="1:3" x14ac:dyDescent="0.2">
      <c r="A21">
        <v>18</v>
      </c>
      <c r="B21">
        <f t="shared" si="2"/>
        <v>5.3000000000000025</v>
      </c>
      <c r="C21" s="2">
        <f t="shared" si="0"/>
        <v>0.42759868011977248</v>
      </c>
    </row>
    <row r="22" spans="1:3" x14ac:dyDescent="0.2">
      <c r="A22">
        <v>19</v>
      </c>
      <c r="B22">
        <f t="shared" si="2"/>
        <v>5.3000000000000025</v>
      </c>
      <c r="C22" s="2">
        <f t="shared" si="0"/>
        <v>0.36874670586389485</v>
      </c>
    </row>
    <row r="23" spans="1:3" x14ac:dyDescent="0.2">
      <c r="A23">
        <v>20</v>
      </c>
      <c r="B23">
        <f t="shared" si="2"/>
        <v>5.3000000000000025</v>
      </c>
      <c r="C23" s="2">
        <f t="shared" si="0"/>
        <v>0.31799474462219285</v>
      </c>
    </row>
    <row r="24" spans="1:3" x14ac:dyDescent="0.2">
      <c r="A24">
        <v>21</v>
      </c>
      <c r="B24">
        <f t="shared" si="2"/>
        <v>5.3000000000000025</v>
      </c>
      <c r="C24" s="2">
        <f t="shared" si="0"/>
        <v>0.2742279619025465</v>
      </c>
    </row>
    <row r="25" spans="1:3" x14ac:dyDescent="0.2">
      <c r="A25">
        <v>22</v>
      </c>
      <c r="B25">
        <f t="shared" si="2"/>
        <v>5.3000000000000025</v>
      </c>
      <c r="C25" s="2">
        <f t="shared" si="0"/>
        <v>0.23648496197184068</v>
      </c>
    </row>
    <row r="26" spans="1:3" x14ac:dyDescent="0.2">
      <c r="A26">
        <v>23</v>
      </c>
      <c r="B26">
        <f t="shared" si="2"/>
        <v>5.3000000000000025</v>
      </c>
      <c r="C26" s="2">
        <f t="shared" si="0"/>
        <v>0.20393666951693745</v>
      </c>
    </row>
    <row r="27" spans="1:3" x14ac:dyDescent="0.2">
      <c r="A27">
        <v>24</v>
      </c>
      <c r="B27">
        <f t="shared" si="2"/>
        <v>5.3000000000000025</v>
      </c>
      <c r="C27" s="2">
        <f t="shared" si="0"/>
        <v>0.17586811790008408</v>
      </c>
    </row>
    <row r="28" spans="1:3" x14ac:dyDescent="0.2">
      <c r="A28">
        <v>25</v>
      </c>
      <c r="B28">
        <f t="shared" si="2"/>
        <v>5.3000000000000025</v>
      </c>
      <c r="C28" s="2">
        <f t="shared" si="0"/>
        <v>0.15166274396350818</v>
      </c>
    </row>
  </sheetData>
  <hyperlinks>
    <hyperlink ref="D1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"/>
  <sheetViews>
    <sheetView workbookViewId="0">
      <selection activeCell="A4" sqref="A4"/>
    </sheetView>
  </sheetViews>
  <sheetFormatPr baseColWidth="10" defaultRowHeight="16" x14ac:dyDescent="0.2"/>
  <sheetData>
    <row r="3" spans="1:1" x14ac:dyDescent="0.2">
      <c r="A3" t="s">
        <v>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opLeftCell="A4" workbookViewId="0">
      <selection activeCell="C19" sqref="C19"/>
    </sheetView>
  </sheetViews>
  <sheetFormatPr baseColWidth="10" defaultColWidth="8.83203125" defaultRowHeight="15" x14ac:dyDescent="0.2"/>
  <cols>
    <col min="1" max="1" width="8.83203125" style="13"/>
    <col min="2" max="2" width="15.83203125" style="13" customWidth="1"/>
    <col min="3" max="3" width="12.5" style="13" customWidth="1"/>
    <col min="4" max="4" width="9" style="13" customWidth="1"/>
    <col min="5" max="5" width="8.6640625" style="13" customWidth="1"/>
    <col min="6" max="16384" width="8.83203125" style="13"/>
  </cols>
  <sheetData>
    <row r="1" spans="1:16" x14ac:dyDescent="0.2">
      <c r="A1" s="13" t="s">
        <v>56</v>
      </c>
    </row>
    <row r="2" spans="1:16" x14ac:dyDescent="0.2">
      <c r="A2" s="13" t="s">
        <v>57</v>
      </c>
    </row>
    <row r="3" spans="1:16" ht="16" x14ac:dyDescent="0.2">
      <c r="A3" s="5" t="s">
        <v>58</v>
      </c>
    </row>
    <row r="5" spans="1:16" x14ac:dyDescent="0.2">
      <c r="A5" s="13" t="s">
        <v>59</v>
      </c>
    </row>
    <row r="6" spans="1:16" x14ac:dyDescent="0.2">
      <c r="A6" s="13" t="s">
        <v>60</v>
      </c>
    </row>
    <row r="7" spans="1:16" ht="30" customHeight="1" x14ac:dyDescent="0.2">
      <c r="B7" s="14" t="s">
        <v>61</v>
      </c>
      <c r="C7" s="13">
        <v>2006</v>
      </c>
      <c r="D7" s="13">
        <v>2007</v>
      </c>
      <c r="E7" s="13">
        <v>2008</v>
      </c>
      <c r="F7" s="13">
        <v>2009</v>
      </c>
      <c r="G7" s="13">
        <v>2010</v>
      </c>
      <c r="H7" s="13">
        <v>2011</v>
      </c>
      <c r="I7" s="13">
        <v>2012</v>
      </c>
      <c r="J7" s="13">
        <v>2013</v>
      </c>
      <c r="K7" s="13">
        <v>2014</v>
      </c>
      <c r="L7" s="13">
        <v>2015</v>
      </c>
      <c r="M7" s="13">
        <v>2016</v>
      </c>
      <c r="N7" s="13">
        <v>2017</v>
      </c>
      <c r="O7" s="13">
        <v>2018</v>
      </c>
      <c r="P7" s="13">
        <v>2019</v>
      </c>
    </row>
    <row r="8" spans="1:16" x14ac:dyDescent="0.2">
      <c r="A8" s="13">
        <v>2006</v>
      </c>
      <c r="B8" s="15">
        <v>5.79E-2</v>
      </c>
      <c r="C8" s="13">
        <v>1</v>
      </c>
    </row>
    <row r="9" spans="1:16" x14ac:dyDescent="0.2">
      <c r="A9" s="13">
        <v>2007</v>
      </c>
      <c r="B9" s="15">
        <v>6.3899999999999998E-2</v>
      </c>
      <c r="C9" s="16">
        <f t="shared" ref="C9:D21" si="0">C8*(1+$B9)</f>
        <v>1.0639000000000001</v>
      </c>
      <c r="D9" s="13">
        <v>1</v>
      </c>
    </row>
    <row r="10" spans="1:16" x14ac:dyDescent="0.2">
      <c r="A10" s="13">
        <v>2008</v>
      </c>
      <c r="B10" s="15">
        <v>8.3199999999999996E-2</v>
      </c>
      <c r="C10" s="16">
        <f t="shared" si="0"/>
        <v>1.1524164800000001</v>
      </c>
      <c r="D10" s="16">
        <f t="shared" si="0"/>
        <v>1.0831999999999999</v>
      </c>
      <c r="E10" s="13">
        <v>1</v>
      </c>
      <c r="F10" s="16"/>
    </row>
    <row r="11" spans="1:16" x14ac:dyDescent="0.2">
      <c r="A11" s="13">
        <v>2009</v>
      </c>
      <c r="B11" s="15">
        <v>0.10829999999999999</v>
      </c>
      <c r="C11" s="16">
        <f t="shared" si="0"/>
        <v>1.2772231847840001</v>
      </c>
      <c r="D11" s="16">
        <f t="shared" si="0"/>
        <v>1.2005105599999999</v>
      </c>
      <c r="E11" s="16">
        <f>E10*(1+$B11)</f>
        <v>1.1083000000000001</v>
      </c>
      <c r="F11" s="13">
        <v>1</v>
      </c>
    </row>
    <row r="12" spans="1:16" x14ac:dyDescent="0.2">
      <c r="A12" s="13">
        <v>2010</v>
      </c>
      <c r="B12" s="15">
        <v>0.1211</v>
      </c>
      <c r="C12" s="16">
        <f t="shared" si="0"/>
        <v>1.4318949124613425</v>
      </c>
      <c r="D12" s="16">
        <f t="shared" si="0"/>
        <v>1.3458923888159999</v>
      </c>
      <c r="E12" s="16">
        <f>E11*(1+$B12)</f>
        <v>1.2425151300000001</v>
      </c>
      <c r="F12" s="16">
        <f>F11*(1+$B12)</f>
        <v>1.1211</v>
      </c>
      <c r="G12" s="13">
        <v>1</v>
      </c>
    </row>
    <row r="13" spans="1:16" x14ac:dyDescent="0.2">
      <c r="A13" s="13">
        <v>2011</v>
      </c>
      <c r="B13" s="15">
        <v>8.8700000000000001E-2</v>
      </c>
      <c r="C13" s="16">
        <f t="shared" si="0"/>
        <v>1.5589039911966636</v>
      </c>
      <c r="D13" s="16">
        <f t="shared" si="0"/>
        <v>1.4652730437039792</v>
      </c>
      <c r="E13" s="16">
        <f t="shared" ref="E13:E21" si="1">E12*(1+$B13)</f>
        <v>1.3527262220310001</v>
      </c>
      <c r="F13" s="16">
        <f>F12*(1+$B13)</f>
        <v>1.22054157</v>
      </c>
      <c r="G13" s="16">
        <f>G12*(1+$B13)</f>
        <v>1.0887</v>
      </c>
      <c r="H13" s="13">
        <v>1</v>
      </c>
    </row>
    <row r="14" spans="1:16" x14ac:dyDescent="0.2">
      <c r="A14" s="13">
        <v>2012</v>
      </c>
      <c r="B14" s="15">
        <v>9.2999999999999999E-2</v>
      </c>
      <c r="C14" s="16">
        <f t="shared" si="0"/>
        <v>1.7038820623779531</v>
      </c>
      <c r="D14" s="16">
        <f t="shared" si="0"/>
        <v>1.6015434367684491</v>
      </c>
      <c r="E14" s="16">
        <f t="shared" si="1"/>
        <v>1.4785297606798831</v>
      </c>
      <c r="F14" s="16">
        <f>F13*(1+$B14)</f>
        <v>1.3340519360099998</v>
      </c>
      <c r="G14" s="16">
        <f>G13*(1+$B14)</f>
        <v>1.1899491</v>
      </c>
      <c r="H14" s="16">
        <f>H13*(1+$B14)</f>
        <v>1.093</v>
      </c>
      <c r="I14" s="13">
        <v>1</v>
      </c>
    </row>
    <row r="15" spans="1:16" x14ac:dyDescent="0.2">
      <c r="A15" s="13">
        <v>2013</v>
      </c>
      <c r="B15" s="15">
        <v>0.10920000000000001</v>
      </c>
      <c r="C15" s="16">
        <f t="shared" si="0"/>
        <v>1.8899459835896255</v>
      </c>
      <c r="D15" s="16">
        <f t="shared" si="0"/>
        <v>1.7764319800635637</v>
      </c>
      <c r="E15" s="16">
        <f t="shared" si="1"/>
        <v>1.6399852105461263</v>
      </c>
      <c r="F15" s="16">
        <f>F14*(1+$B15)</f>
        <v>1.4797304074222917</v>
      </c>
      <c r="G15" s="16">
        <f>G14*(1+$B15)</f>
        <v>1.3198915417199999</v>
      </c>
      <c r="H15" s="16">
        <f>H14*(1+$B15)</f>
        <v>1.2123556</v>
      </c>
      <c r="I15" s="16">
        <f>I14*(1+$B15)</f>
        <v>1.1092</v>
      </c>
      <c r="J15" s="13">
        <v>1</v>
      </c>
    </row>
    <row r="16" spans="1:16" x14ac:dyDescent="0.2">
      <c r="A16" s="13">
        <v>2014</v>
      </c>
      <c r="B16" s="15">
        <v>6.3700000000000007E-2</v>
      </c>
      <c r="C16" s="16">
        <f t="shared" si="0"/>
        <v>2.0103355427442846</v>
      </c>
      <c r="D16" s="16">
        <f t="shared" si="0"/>
        <v>1.8895906971936129</v>
      </c>
      <c r="E16" s="16">
        <f t="shared" si="1"/>
        <v>1.7444522684579147</v>
      </c>
      <c r="F16" s="16">
        <f>F15*(1+$B16)</f>
        <v>1.5739892343750919</v>
      </c>
      <c r="G16" s="16">
        <f>G15*(1+$B16)</f>
        <v>1.403968632927564</v>
      </c>
      <c r="H16" s="16">
        <f>H15*(1+$B16)</f>
        <v>1.2895826517200002</v>
      </c>
      <c r="I16" s="16">
        <f>I15*(1+$B16)</f>
        <v>1.17985604</v>
      </c>
      <c r="J16" s="16">
        <f>J15*(1+$B16)</f>
        <v>1.0637000000000001</v>
      </c>
      <c r="K16" s="13">
        <v>1</v>
      </c>
    </row>
    <row r="17" spans="1:16" x14ac:dyDescent="0.2">
      <c r="A17" s="13">
        <v>2015</v>
      </c>
      <c r="B17" s="15">
        <v>5.8799999999999998E-2</v>
      </c>
      <c r="C17" s="16">
        <f t="shared" si="0"/>
        <v>2.1285432726576485</v>
      </c>
      <c r="D17" s="16">
        <f t="shared" si="0"/>
        <v>2.0006986301885972</v>
      </c>
      <c r="E17" s="16">
        <f t="shared" si="1"/>
        <v>1.8470260618432399</v>
      </c>
      <c r="F17" s="16">
        <f>F16*(1+$B17)</f>
        <v>1.6665398013563473</v>
      </c>
      <c r="G17" s="16">
        <f>G16*(1+$B17)</f>
        <v>1.4865219885437047</v>
      </c>
      <c r="H17" s="16">
        <f>H16*(1+$B17)</f>
        <v>1.3654101116411361</v>
      </c>
      <c r="I17" s="16">
        <f>I16*(1+$B17)</f>
        <v>1.249231575152</v>
      </c>
      <c r="J17" s="16">
        <f>J16*(1+$B17)</f>
        <v>1.1262455600000001</v>
      </c>
      <c r="K17" s="16">
        <f>K16*(1+$B17)</f>
        <v>1.0588</v>
      </c>
      <c r="L17" s="13">
        <v>1</v>
      </c>
    </row>
    <row r="18" spans="1:16" x14ac:dyDescent="0.2">
      <c r="A18" s="13">
        <v>2016</v>
      </c>
      <c r="B18" s="15">
        <v>4.9700000000000001E-2</v>
      </c>
      <c r="C18" s="16">
        <f t="shared" si="0"/>
        <v>2.2343318733087338</v>
      </c>
      <c r="D18" s="16">
        <f t="shared" si="0"/>
        <v>2.1001333521089705</v>
      </c>
      <c r="E18" s="16">
        <f t="shared" si="1"/>
        <v>1.9388232571168491</v>
      </c>
      <c r="F18" s="16">
        <f>F17*(1+$B18)</f>
        <v>1.7493668294837579</v>
      </c>
      <c r="G18" s="16">
        <f>G17*(1+$B18)</f>
        <v>1.5604021313743268</v>
      </c>
      <c r="H18" s="16">
        <f>H17*(1+$B18)</f>
        <v>1.4332709941897006</v>
      </c>
      <c r="I18" s="16">
        <f>I17*(1+$B18)</f>
        <v>1.3113183844370544</v>
      </c>
      <c r="J18" s="16">
        <f>J17*(1+$B18)</f>
        <v>1.1822199643320002</v>
      </c>
      <c r="K18" s="16">
        <f>K17*(1+$B18)</f>
        <v>1.1114223599999999</v>
      </c>
      <c r="L18" s="16">
        <f>L17*(1+$B18)</f>
        <v>1.0497000000000001</v>
      </c>
      <c r="M18" s="13">
        <v>1</v>
      </c>
    </row>
    <row r="19" spans="1:16" x14ac:dyDescent="0.2">
      <c r="A19" s="13">
        <v>2017</v>
      </c>
      <c r="B19" s="15">
        <v>2.4899999999999999E-2</v>
      </c>
      <c r="C19" s="16">
        <f t="shared" si="0"/>
        <v>2.289966736954121</v>
      </c>
      <c r="D19" s="16">
        <f t="shared" si="0"/>
        <v>2.1524266725764836</v>
      </c>
      <c r="E19" s="16">
        <f t="shared" si="1"/>
        <v>1.9870999562190585</v>
      </c>
      <c r="F19" s="16">
        <f>F18*(1+$B19)</f>
        <v>1.7929260635379034</v>
      </c>
      <c r="G19" s="16">
        <f>G18*(1+$B19)</f>
        <v>1.5992561444455475</v>
      </c>
      <c r="H19" s="16">
        <f>H18*(1+$B19)</f>
        <v>1.468959441945024</v>
      </c>
      <c r="I19" s="16">
        <f>I18*(1+$B19)</f>
        <v>1.3439702122095369</v>
      </c>
      <c r="J19" s="16">
        <f>J18*(1+$B19)</f>
        <v>1.2116572414438669</v>
      </c>
      <c r="K19" s="16">
        <f>K18*(1+$B19)</f>
        <v>1.1390967767639999</v>
      </c>
      <c r="L19" s="16">
        <f>L18*(1+$B19)</f>
        <v>1.07583753</v>
      </c>
      <c r="M19" s="16">
        <f>M18*(1+$B19)</f>
        <v>1.0248999999999999</v>
      </c>
      <c r="N19" s="13">
        <v>1</v>
      </c>
    </row>
    <row r="20" spans="1:16" x14ac:dyDescent="0.2">
      <c r="A20" s="13">
        <v>2018</v>
      </c>
      <c r="B20" s="15">
        <v>4.8500000000000001E-2</v>
      </c>
      <c r="C20" s="16">
        <f t="shared" si="0"/>
        <v>2.4010301236963958</v>
      </c>
      <c r="D20" s="16">
        <f t="shared" si="0"/>
        <v>2.2568193661964431</v>
      </c>
      <c r="E20" s="16">
        <f t="shared" si="1"/>
        <v>2.0834743040956827</v>
      </c>
      <c r="F20" s="16">
        <f>F19*(1+$B20)</f>
        <v>1.8798829776194916</v>
      </c>
      <c r="G20" s="16">
        <f>G19*(1+$B20)</f>
        <v>1.6768200674511566</v>
      </c>
      <c r="H20" s="16">
        <f>H19*(1+$B20)</f>
        <v>1.5402039748793577</v>
      </c>
      <c r="I20" s="16">
        <f>I19*(1+$B20)</f>
        <v>1.4091527675016995</v>
      </c>
      <c r="J20" s="16">
        <f>J19*(1+$B20)</f>
        <v>1.2704226176538944</v>
      </c>
      <c r="K20" s="16">
        <f>K19*(1+$B20)</f>
        <v>1.1943429704370538</v>
      </c>
      <c r="L20" s="16">
        <f>L19*(1+$B20)</f>
        <v>1.1280156502050001</v>
      </c>
      <c r="M20" s="16">
        <f>M19*(1+$B20)</f>
        <v>1.0746076499999999</v>
      </c>
      <c r="N20" s="16">
        <f>N19*(1+$B20)</f>
        <v>1.0485</v>
      </c>
      <c r="O20" s="13">
        <v>1</v>
      </c>
    </row>
    <row r="21" spans="1:16" x14ac:dyDescent="0.2">
      <c r="A21" s="13">
        <v>2019</v>
      </c>
      <c r="B21" s="17">
        <v>6.7799999999999999E-2</v>
      </c>
      <c r="C21" s="16">
        <f t="shared" si="0"/>
        <v>2.5638199660830114</v>
      </c>
      <c r="D21" s="16">
        <f t="shared" si="0"/>
        <v>2.4098317192245622</v>
      </c>
      <c r="E21" s="16">
        <f t="shared" si="1"/>
        <v>2.2247338619133701</v>
      </c>
      <c r="F21" s="16">
        <f>F20*(1+$B21)</f>
        <v>2.0073390435020935</v>
      </c>
      <c r="G21" s="16">
        <f>G20*(1+$B21)</f>
        <v>1.7905084680243453</v>
      </c>
      <c r="H21" s="16">
        <f>H20*(1+$B21)</f>
        <v>1.6446298043761782</v>
      </c>
      <c r="I21" s="16">
        <f>I20*(1+$B21)</f>
        <v>1.5046933251383148</v>
      </c>
      <c r="J21" s="16">
        <f>J20*(1+$B21)</f>
        <v>1.3565572711308285</v>
      </c>
      <c r="K21" s="16">
        <f>K20*(1+$B21)</f>
        <v>1.2753194238326861</v>
      </c>
      <c r="L21" s="16">
        <f>L20*(1+$B21)</f>
        <v>1.2044951112888991</v>
      </c>
      <c r="M21" s="16">
        <f>M20*(1+$B21)</f>
        <v>1.1474660486699999</v>
      </c>
      <c r="N21" s="16">
        <f>N20*(1+$B21)</f>
        <v>1.1195883</v>
      </c>
      <c r="O21" s="16">
        <f>O20*(1+$B21)</f>
        <v>1.0678000000000001</v>
      </c>
      <c r="P21" s="13">
        <v>1</v>
      </c>
    </row>
    <row r="23" spans="1:16" x14ac:dyDescent="0.2">
      <c r="A23" s="13" t="s">
        <v>62</v>
      </c>
    </row>
    <row r="24" spans="1:16" x14ac:dyDescent="0.2">
      <c r="A24" s="13" t="s">
        <v>60</v>
      </c>
    </row>
    <row r="25" spans="1:16" ht="30" x14ac:dyDescent="0.2">
      <c r="B25" s="14" t="s">
        <v>61</v>
      </c>
      <c r="C25" s="13">
        <v>2006</v>
      </c>
      <c r="D25" s="13">
        <v>2007</v>
      </c>
      <c r="E25" s="13">
        <v>2008</v>
      </c>
      <c r="F25" s="13">
        <v>2009</v>
      </c>
      <c r="G25" s="13">
        <v>2010</v>
      </c>
      <c r="H25" s="13">
        <v>2011</v>
      </c>
      <c r="I25" s="13">
        <v>2012</v>
      </c>
      <c r="J25" s="13">
        <v>2013</v>
      </c>
      <c r="K25" s="13">
        <v>2014</v>
      </c>
      <c r="L25" s="13">
        <v>2015</v>
      </c>
      <c r="M25" s="13">
        <v>2016</v>
      </c>
      <c r="N25" s="13">
        <v>2017</v>
      </c>
      <c r="O25" s="13">
        <v>2018</v>
      </c>
      <c r="P25" s="13">
        <v>2019</v>
      </c>
    </row>
    <row r="26" spans="1:16" x14ac:dyDescent="0.2">
      <c r="A26" s="13">
        <v>2006</v>
      </c>
      <c r="B26" s="15">
        <v>3.2399999999999998E-2</v>
      </c>
      <c r="C26" s="13">
        <v>1</v>
      </c>
    </row>
    <row r="27" spans="1:16" x14ac:dyDescent="0.2">
      <c r="A27" s="13">
        <v>2007</v>
      </c>
      <c r="B27" s="15">
        <v>2.8500000000000001E-2</v>
      </c>
      <c r="C27" s="16">
        <f t="shared" ref="C27:D39" si="2">C26*(1+$B27)</f>
        <v>1.0285</v>
      </c>
      <c r="D27" s="13">
        <v>1</v>
      </c>
    </row>
    <row r="28" spans="1:16" x14ac:dyDescent="0.2">
      <c r="A28" s="13">
        <v>2008</v>
      </c>
      <c r="B28" s="15">
        <v>3.85E-2</v>
      </c>
      <c r="C28" s="16">
        <f t="shared" si="2"/>
        <v>1.0680972499999999</v>
      </c>
      <c r="D28" s="16">
        <f t="shared" si="2"/>
        <v>1.0385</v>
      </c>
      <c r="E28" s="13">
        <v>1</v>
      </c>
      <c r="F28" s="16"/>
    </row>
    <row r="29" spans="1:16" x14ac:dyDescent="0.2">
      <c r="A29" s="13">
        <v>2009</v>
      </c>
      <c r="B29" s="15">
        <v>-3.3999999999999998E-3</v>
      </c>
      <c r="C29" s="16">
        <f t="shared" si="2"/>
        <v>1.06446571935</v>
      </c>
      <c r="D29" s="16">
        <f t="shared" si="2"/>
        <v>1.0349691000000001</v>
      </c>
      <c r="E29" s="16">
        <f>E28*(1+$B29)</f>
        <v>0.99660000000000004</v>
      </c>
      <c r="F29" s="13">
        <v>1</v>
      </c>
    </row>
    <row r="30" spans="1:16" x14ac:dyDescent="0.2">
      <c r="A30" s="13">
        <v>2010</v>
      </c>
      <c r="B30" s="15">
        <v>1.6400000000000001E-2</v>
      </c>
      <c r="C30" s="16">
        <f t="shared" si="2"/>
        <v>1.0819229571473399</v>
      </c>
      <c r="D30" s="16">
        <f t="shared" si="2"/>
        <v>1.0519425932400002</v>
      </c>
      <c r="E30" s="16">
        <f t="shared" ref="E30:E39" si="3">E29*(1+$B30)</f>
        <v>1.0129442399999999</v>
      </c>
      <c r="F30" s="16">
        <f>F29*(1+$B30)</f>
        <v>1.0164</v>
      </c>
      <c r="G30" s="13">
        <v>1</v>
      </c>
    </row>
    <row r="31" spans="1:16" x14ac:dyDescent="0.2">
      <c r="A31" s="13">
        <v>2011</v>
      </c>
      <c r="B31" s="15">
        <v>3.1600000000000003E-2</v>
      </c>
      <c r="C31" s="16">
        <f t="shared" si="2"/>
        <v>1.1161117225931958</v>
      </c>
      <c r="D31" s="16">
        <f t="shared" si="2"/>
        <v>1.0851839791863842</v>
      </c>
      <c r="E31" s="16">
        <f t="shared" si="3"/>
        <v>1.0449532779840001</v>
      </c>
      <c r="F31" s="16">
        <f>F30*(1+$B31)</f>
        <v>1.0485182399999999</v>
      </c>
      <c r="G31" s="16">
        <f>G30*(1+$B31)</f>
        <v>1.0316000000000001</v>
      </c>
      <c r="H31" s="13">
        <v>1</v>
      </c>
    </row>
    <row r="32" spans="1:16" x14ac:dyDescent="0.2">
      <c r="A32" s="13">
        <v>2012</v>
      </c>
      <c r="B32" s="15">
        <v>2.07E-2</v>
      </c>
      <c r="C32" s="16">
        <f t="shared" si="2"/>
        <v>1.1392152352508749</v>
      </c>
      <c r="D32" s="16">
        <f t="shared" si="2"/>
        <v>1.1076472875555423</v>
      </c>
      <c r="E32" s="16">
        <f t="shared" si="3"/>
        <v>1.0665838108382688</v>
      </c>
      <c r="F32" s="16">
        <f>F31*(1+$B32)</f>
        <v>1.0702225675679999</v>
      </c>
      <c r="G32" s="16">
        <f>G31*(1+$B32)</f>
        <v>1.0529541200000001</v>
      </c>
      <c r="H32" s="16">
        <f>H31*(1+$B32)</f>
        <v>1.0206999999999999</v>
      </c>
      <c r="I32" s="13">
        <v>1</v>
      </c>
    </row>
    <row r="33" spans="1:16" x14ac:dyDescent="0.2">
      <c r="A33" s="13">
        <v>2013</v>
      </c>
      <c r="B33" s="15">
        <v>1.47E-2</v>
      </c>
      <c r="C33" s="16">
        <f t="shared" si="2"/>
        <v>1.1559616992090627</v>
      </c>
      <c r="D33" s="16">
        <f t="shared" si="2"/>
        <v>1.1239297026826087</v>
      </c>
      <c r="E33" s="16">
        <f t="shared" si="3"/>
        <v>1.0822625928575913</v>
      </c>
      <c r="F33" s="16">
        <f>F32*(1+$B33)</f>
        <v>1.0859548393112495</v>
      </c>
      <c r="G33" s="16">
        <f>G32*(1+$B33)</f>
        <v>1.068432545564</v>
      </c>
      <c r="H33" s="16">
        <f>H32*(1+$B33)</f>
        <v>1.03570429</v>
      </c>
      <c r="I33" s="16">
        <f>I32*(1+$B33)</f>
        <v>1.0146999999999999</v>
      </c>
      <c r="J33" s="13">
        <v>1</v>
      </c>
    </row>
    <row r="34" spans="1:16" x14ac:dyDescent="0.2">
      <c r="A34" s="13">
        <v>2014</v>
      </c>
      <c r="B34" s="15">
        <v>1.6199999999999999E-2</v>
      </c>
      <c r="C34" s="16">
        <f t="shared" si="2"/>
        <v>1.1746882787362494</v>
      </c>
      <c r="D34" s="16">
        <f t="shared" si="2"/>
        <v>1.142137363866067</v>
      </c>
      <c r="E34" s="16">
        <f t="shared" si="3"/>
        <v>1.0997952468618843</v>
      </c>
      <c r="F34" s="16">
        <f>F33*(1+$B34)</f>
        <v>1.1035473077080917</v>
      </c>
      <c r="G34" s="16">
        <f>G33*(1+$B34)</f>
        <v>1.0857411528021368</v>
      </c>
      <c r="H34" s="16">
        <f>H33*(1+$B34)</f>
        <v>1.0524826994979999</v>
      </c>
      <c r="I34" s="16">
        <f>I33*(1+$B34)</f>
        <v>1.0311381399999999</v>
      </c>
      <c r="J34" s="16">
        <f>J33*(1+$B34)</f>
        <v>1.0162</v>
      </c>
      <c r="K34" s="13">
        <v>1</v>
      </c>
    </row>
    <row r="35" spans="1:16" x14ac:dyDescent="0.2">
      <c r="A35" s="13">
        <v>2015</v>
      </c>
      <c r="B35" s="15">
        <v>1.1999999999999999E-3</v>
      </c>
      <c r="C35" s="16">
        <f t="shared" si="2"/>
        <v>1.1760979046707329</v>
      </c>
      <c r="D35" s="16">
        <f t="shared" si="2"/>
        <v>1.1435079287027063</v>
      </c>
      <c r="E35" s="16">
        <f t="shared" si="3"/>
        <v>1.1011150011581188</v>
      </c>
      <c r="F35" s="16">
        <f>F34*(1+$B35)</f>
        <v>1.1048715644773415</v>
      </c>
      <c r="G35" s="16">
        <f>G34*(1+$B35)</f>
        <v>1.0870440421854994</v>
      </c>
      <c r="H35" s="16">
        <f>H34*(1+$B35)</f>
        <v>1.0537456787373976</v>
      </c>
      <c r="I35" s="16">
        <f>I34*(1+$B35)</f>
        <v>1.032375505768</v>
      </c>
      <c r="J35" s="16">
        <f>J34*(1+$B35)</f>
        <v>1.0174194400000001</v>
      </c>
      <c r="K35" s="16">
        <f>K34*(1+$B35)</f>
        <v>1.0012000000000001</v>
      </c>
      <c r="L35" s="13">
        <v>1</v>
      </c>
    </row>
    <row r="36" spans="1:16" x14ac:dyDescent="0.2">
      <c r="A36" s="13">
        <v>2016</v>
      </c>
      <c r="B36" s="15">
        <v>1.26E-2</v>
      </c>
      <c r="C36" s="16">
        <f t="shared" si="2"/>
        <v>1.1909167382695842</v>
      </c>
      <c r="D36" s="16">
        <f t="shared" si="2"/>
        <v>1.1579161286043604</v>
      </c>
      <c r="E36" s="16">
        <f t="shared" si="3"/>
        <v>1.1149890501727111</v>
      </c>
      <c r="F36" s="16">
        <f>F35*(1+$B36)</f>
        <v>1.1187929461897559</v>
      </c>
      <c r="G36" s="16">
        <f>G35*(1+$B36)</f>
        <v>1.1007407971170367</v>
      </c>
      <c r="H36" s="16">
        <f>H35*(1+$B36)</f>
        <v>1.0670228742894887</v>
      </c>
      <c r="I36" s="16">
        <f>I35*(1+$B36)</f>
        <v>1.0453834371406767</v>
      </c>
      <c r="J36" s="16">
        <f>J35*(1+$B36)</f>
        <v>1.030238924944</v>
      </c>
      <c r="K36" s="16">
        <f>K35*(1+$B36)</f>
        <v>1.0138151200000001</v>
      </c>
      <c r="L36" s="16">
        <f>L35*(1+$B36)</f>
        <v>1.0125999999999999</v>
      </c>
      <c r="M36" s="13">
        <v>1</v>
      </c>
    </row>
    <row r="37" spans="1:16" x14ac:dyDescent="0.2">
      <c r="A37" s="13">
        <v>2017</v>
      </c>
      <c r="B37" s="15">
        <v>2.1299999999999999E-2</v>
      </c>
      <c r="C37" s="16">
        <f t="shared" si="2"/>
        <v>1.2162832647947264</v>
      </c>
      <c r="D37" s="16">
        <f t="shared" si="2"/>
        <v>1.1825797421436335</v>
      </c>
      <c r="E37" s="16">
        <f t="shared" si="3"/>
        <v>1.13873831694139</v>
      </c>
      <c r="F37" s="16">
        <f>F36*(1+$B37)</f>
        <v>1.1426232359435977</v>
      </c>
      <c r="G37" s="16">
        <f>G36*(1+$B37)</f>
        <v>1.1241865760956296</v>
      </c>
      <c r="H37" s="16">
        <f>H36*(1+$B37)</f>
        <v>1.089750461511855</v>
      </c>
      <c r="I37" s="16">
        <f>I36*(1+$B37)</f>
        <v>1.0676501043517732</v>
      </c>
      <c r="J37" s="16">
        <f>J36*(1+$B37)</f>
        <v>1.0521830140453075</v>
      </c>
      <c r="K37" s="16">
        <f>K36*(1+$B37)</f>
        <v>1.0354093820560002</v>
      </c>
      <c r="L37" s="16">
        <f>L36*(1+$B37)</f>
        <v>1.0341683800000001</v>
      </c>
      <c r="M37" s="16">
        <f>M36*(1+$B37)</f>
        <v>1.0213000000000001</v>
      </c>
      <c r="N37" s="13">
        <v>1</v>
      </c>
    </row>
    <row r="38" spans="1:16" x14ac:dyDescent="0.2">
      <c r="A38" s="13">
        <v>2018</v>
      </c>
      <c r="B38" s="15">
        <v>2.4400000000000002E-2</v>
      </c>
      <c r="C38" s="16">
        <f t="shared" si="2"/>
        <v>1.2459605764557176</v>
      </c>
      <c r="D38" s="16">
        <f t="shared" si="2"/>
        <v>1.2114346878519382</v>
      </c>
      <c r="E38" s="16">
        <f t="shared" si="3"/>
        <v>1.16652353187476</v>
      </c>
      <c r="F38" s="16">
        <f>F37*(1+$B38)</f>
        <v>1.1705032429006215</v>
      </c>
      <c r="G38" s="16">
        <f>G37*(1+$B38)</f>
        <v>1.1516167285523629</v>
      </c>
      <c r="H38" s="16">
        <f>H37*(1+$B38)</f>
        <v>1.1163403727727441</v>
      </c>
      <c r="I38" s="16">
        <f>I37*(1+$B38)</f>
        <v>1.0937007668979564</v>
      </c>
      <c r="J38" s="16">
        <f>J37*(1+$B38)</f>
        <v>1.0778562795880129</v>
      </c>
      <c r="K38" s="16">
        <f>K37*(1+$B38)</f>
        <v>1.0606733709781666</v>
      </c>
      <c r="L38" s="16">
        <f>L37*(1+$B38)</f>
        <v>1.0594020884720001</v>
      </c>
      <c r="M38" s="16">
        <f>M37*(1+$B38)</f>
        <v>1.0462197200000001</v>
      </c>
      <c r="N38" s="16">
        <f>N37*(1+$B38)</f>
        <v>1.0244</v>
      </c>
      <c r="O38" s="13">
        <v>1</v>
      </c>
    </row>
    <row r="39" spans="1:16" x14ac:dyDescent="0.2">
      <c r="A39" s="13">
        <v>2019</v>
      </c>
      <c r="B39" s="15">
        <v>1.6400000000000001E-2</v>
      </c>
      <c r="C39" s="16">
        <f t="shared" si="2"/>
        <v>1.2663943299095912</v>
      </c>
      <c r="D39" s="16">
        <f t="shared" si="2"/>
        <v>1.2313022167327099</v>
      </c>
      <c r="E39" s="16">
        <f t="shared" si="3"/>
        <v>1.185654517797506</v>
      </c>
      <c r="F39" s="16">
        <f>F38*(1+$B39)</f>
        <v>1.1896994960841916</v>
      </c>
      <c r="G39" s="16">
        <f>G38*(1+$B39)</f>
        <v>1.1705032429006215</v>
      </c>
      <c r="H39" s="16">
        <f>H38*(1+$B39)</f>
        <v>1.1346483548862172</v>
      </c>
      <c r="I39" s="16">
        <f>I38*(1+$B39)</f>
        <v>1.1116374594750829</v>
      </c>
      <c r="J39" s="16">
        <f>J38*(1+$B39)</f>
        <v>1.0955331225732563</v>
      </c>
      <c r="K39" s="16">
        <f>K38*(1+$B39)</f>
        <v>1.0780684142622086</v>
      </c>
      <c r="L39" s="16">
        <f>L38*(1+$B39)</f>
        <v>1.0767762827229408</v>
      </c>
      <c r="M39" s="16">
        <f>M38*(1+$B39)</f>
        <v>1.063377723408</v>
      </c>
      <c r="N39" s="16">
        <f>N38*(1+$B39)</f>
        <v>1.04120016</v>
      </c>
      <c r="O39" s="16">
        <f>O38*(1+$B39)</f>
        <v>1.0164</v>
      </c>
      <c r="P39" s="13">
        <v>1</v>
      </c>
    </row>
  </sheetData>
  <hyperlinks>
    <hyperlink ref="A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Sheet1</vt:lpstr>
      <vt:lpstr>State FiTs</vt:lpstr>
      <vt:lpstr>MH Tariffs</vt:lpstr>
      <vt:lpstr>Notes</vt:lpstr>
      <vt:lpstr>inflation rate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Ranjit Deshmukh</dc:creator>
  <cp:lastModifiedBy>Ranjit Deshmukh</cp:lastModifiedBy>
  <dcterms:created xsi:type="dcterms:W3CDTF">2019-03-01T06:08:31Z</dcterms:created>
  <dcterms:modified xsi:type="dcterms:W3CDTF">2019-05-02T07:26:17Z</dcterms:modified>
</cp:coreProperties>
</file>