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input\"/>
    </mc:Choice>
  </mc:AlternateContent>
  <bookViews>
    <workbookView xWindow="0" yWindow="0" windowWidth="18960" windowHeight="763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1" i="11" l="1"/>
  <c r="U38" i="11"/>
  <c r="U36" i="11"/>
  <c r="U34" i="11"/>
  <c r="U33" i="11"/>
  <c r="U31" i="11"/>
  <c r="U30" i="11"/>
  <c r="U28" i="11"/>
  <c r="U27" i="11"/>
  <c r="U24" i="11"/>
  <c r="U23" i="11"/>
  <c r="U20" i="11"/>
  <c r="U19" i="11"/>
  <c r="U17" i="11"/>
  <c r="U15" i="11"/>
  <c r="U13" i="11"/>
  <c r="U11" i="11"/>
  <c r="U10" i="11"/>
  <c r="U8" i="11"/>
  <c r="U7" i="11"/>
  <c r="U6" i="11"/>
  <c r="U5" i="11"/>
  <c r="U4" i="11"/>
  <c r="U3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10" i="11"/>
  <c r="E13" i="11"/>
  <c r="E15" i="11"/>
  <c r="E17" i="11"/>
  <c r="E19" i="11"/>
  <c r="E23" i="11"/>
  <c r="E27" i="11"/>
  <c r="E30" i="11"/>
  <c r="E33" i="11"/>
  <c r="E36" i="11"/>
  <c r="E38" i="11"/>
  <c r="E41" i="11"/>
  <c r="E3" i="11"/>
  <c r="E2" i="11"/>
  <c r="D2" i="14"/>
  <c r="C1" i="14"/>
  <c r="D10" i="11"/>
  <c r="D13" i="11"/>
  <c r="D15" i="11"/>
  <c r="D17" i="11"/>
  <c r="D19" i="11"/>
  <c r="D23" i="11"/>
  <c r="D27" i="11"/>
  <c r="D30" i="11"/>
  <c r="D33" i="11"/>
  <c r="D36" i="11"/>
  <c r="D38" i="11"/>
  <c r="D41" i="11"/>
  <c r="D3" i="11"/>
  <c r="D2" i="11"/>
  <c r="C2" i="14"/>
  <c r="C10" i="11"/>
  <c r="C13" i="11"/>
  <c r="C15" i="11"/>
  <c r="C17" i="11"/>
  <c r="C19" i="11"/>
  <c r="C23" i="11"/>
  <c r="C27" i="11"/>
  <c r="C30" i="11"/>
  <c r="C33" i="11"/>
  <c r="C36" i="11"/>
  <c r="C38" i="11"/>
  <c r="C41" i="11"/>
  <c r="C3" i="11"/>
  <c r="C2" i="11"/>
  <c r="B2" i="14"/>
  <c r="B1" i="14"/>
  <c r="A1" i="6"/>
  <c r="D16" i="4"/>
  <c r="D17" i="4"/>
  <c r="U4" i="1"/>
  <c r="W28" i="1"/>
  <c r="V28" i="1"/>
  <c r="U28" i="1"/>
  <c r="S28" i="1"/>
  <c r="C13" i="4"/>
  <c r="C14" i="4"/>
  <c r="AA4" i="1"/>
  <c r="W23" i="1"/>
  <c r="V23" i="1"/>
  <c r="U23" i="1"/>
  <c r="T23" i="1"/>
  <c r="S23" i="1"/>
  <c r="B13" i="4"/>
  <c r="B14" i="4"/>
  <c r="Y4" i="1"/>
  <c r="W17" i="1"/>
  <c r="V17" i="1"/>
  <c r="U17" i="1"/>
  <c r="T17" i="1"/>
  <c r="S17" i="1"/>
  <c r="W30" i="1"/>
  <c r="W24" i="1"/>
  <c r="W35" i="1"/>
  <c r="V30" i="1"/>
  <c r="V24" i="1"/>
  <c r="V35" i="1"/>
  <c r="U30" i="1"/>
  <c r="U24" i="1"/>
  <c r="U35" i="1"/>
  <c r="T24" i="1"/>
  <c r="T35" i="1"/>
  <c r="S30" i="1"/>
  <c r="S24" i="1"/>
  <c r="S35" i="1"/>
  <c r="W19" i="1"/>
  <c r="W34" i="1"/>
  <c r="V19" i="1"/>
  <c r="V34" i="1"/>
  <c r="U19" i="1"/>
  <c r="U34" i="1"/>
  <c r="T19" i="1"/>
  <c r="T34" i="1"/>
  <c r="S19" i="1"/>
  <c r="S34" i="1"/>
  <c r="W9" i="1"/>
  <c r="V9" i="1"/>
  <c r="U9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D7" i="7"/>
  <c r="E3" i="12"/>
  <c r="F3" i="12"/>
  <c r="E4" i="12"/>
  <c r="F4" i="12"/>
  <c r="E5" i="12"/>
  <c r="F5" i="12"/>
  <c r="E6" i="12"/>
  <c r="F6" i="12"/>
  <c r="V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V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V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V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V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V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V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V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V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V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V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V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V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V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T9" i="1"/>
  <c r="D1" i="8"/>
  <c r="E1" i="8"/>
  <c r="F1" i="8"/>
  <c r="G1" i="8"/>
  <c r="S9" i="1"/>
  <c r="C1" i="8"/>
  <c r="B1" i="8"/>
  <c r="B2" i="8"/>
  <c r="S49" i="1"/>
  <c r="C2" i="8"/>
  <c r="T49" i="1"/>
  <c r="D2" i="8"/>
  <c r="U49" i="1"/>
  <c r="E2" i="8"/>
  <c r="V49" i="1"/>
  <c r="F2" i="8"/>
  <c r="W49" i="1"/>
  <c r="G2" i="8"/>
  <c r="B3" i="8"/>
  <c r="B32" i="1"/>
  <c r="S50" i="1"/>
  <c r="C3" i="8"/>
  <c r="T50" i="1"/>
  <c r="D3" i="8"/>
  <c r="U50" i="1"/>
  <c r="E3" i="8"/>
  <c r="V50" i="1"/>
  <c r="F3" i="8"/>
  <c r="W50" i="1"/>
  <c r="G3" i="8"/>
  <c r="B4" i="8"/>
  <c r="S51" i="1"/>
  <c r="C4" i="8"/>
  <c r="T51" i="1"/>
  <c r="D4" i="8"/>
  <c r="U51" i="1"/>
  <c r="E4" i="8"/>
  <c r="V51" i="1"/>
  <c r="F4" i="8"/>
  <c r="W51" i="1"/>
  <c r="G4" i="8"/>
  <c r="B5" i="8"/>
  <c r="C32" i="1"/>
  <c r="S52" i="1"/>
  <c r="C5" i="8"/>
  <c r="T52" i="1"/>
  <c r="D5" i="8"/>
  <c r="U52" i="1"/>
  <c r="E5" i="8"/>
  <c r="V52" i="1"/>
  <c r="F5" i="8"/>
  <c r="W52" i="1"/>
  <c r="G5" i="8"/>
  <c r="B6" i="8"/>
  <c r="S53" i="1"/>
  <c r="C6" i="8"/>
  <c r="U5" i="1"/>
  <c r="T28" i="1"/>
  <c r="T53" i="1"/>
  <c r="D6" i="8"/>
  <c r="U53" i="1"/>
  <c r="E6" i="8"/>
  <c r="V53" i="1"/>
  <c r="F6" i="8"/>
  <c r="W53" i="1"/>
  <c r="G6" i="8"/>
  <c r="B7" i="8"/>
  <c r="D32" i="1"/>
  <c r="S54" i="1"/>
  <c r="C7" i="8"/>
  <c r="T54" i="1"/>
  <c r="D7" i="8"/>
  <c r="U54" i="1"/>
  <c r="E7" i="8"/>
  <c r="V54" i="1"/>
  <c r="F7" i="8"/>
  <c r="W54" i="1"/>
  <c r="G7" i="8"/>
  <c r="B8" i="8"/>
  <c r="S55" i="1"/>
  <c r="C8" i="8"/>
  <c r="T55" i="1"/>
  <c r="D8" i="8"/>
  <c r="AE6" i="1"/>
  <c r="U55" i="1"/>
  <c r="E8" i="8"/>
  <c r="V55" i="1"/>
  <c r="F8" i="8"/>
  <c r="W55" i="1"/>
  <c r="G8" i="8"/>
  <c r="B9" i="8"/>
  <c r="S56" i="1"/>
  <c r="C9" i="8"/>
  <c r="T56" i="1"/>
  <c r="D9" i="8"/>
  <c r="U56" i="1"/>
  <c r="E9" i="8"/>
  <c r="V56" i="1"/>
  <c r="F9" i="8"/>
  <c r="W56" i="1"/>
  <c r="G9" i="8"/>
  <c r="B10" i="8"/>
  <c r="S57" i="1"/>
  <c r="C10" i="8"/>
  <c r="T57" i="1"/>
  <c r="D10" i="8"/>
  <c r="U57" i="1"/>
  <c r="E10" i="8"/>
  <c r="AH6" i="1"/>
  <c r="V57" i="1"/>
  <c r="F10" i="8"/>
  <c r="W57" i="1"/>
  <c r="G10" i="8"/>
  <c r="B11" i="8"/>
  <c r="S58" i="1"/>
  <c r="C11" i="8"/>
  <c r="T58" i="1"/>
  <c r="D11" i="8"/>
  <c r="U58" i="1"/>
  <c r="E11" i="8"/>
  <c r="V58" i="1"/>
  <c r="F11" i="8"/>
  <c r="W58" i="1"/>
  <c r="G11" i="8"/>
  <c r="B12" i="8"/>
  <c r="S59" i="1"/>
  <c r="C12" i="8"/>
  <c r="T59" i="1"/>
  <c r="D12" i="8"/>
  <c r="U59" i="1"/>
  <c r="E12" i="8"/>
  <c r="V59" i="1"/>
  <c r="F12" i="8"/>
  <c r="W59" i="1"/>
  <c r="G12" i="8"/>
  <c r="B13" i="8"/>
  <c r="S60" i="1"/>
  <c r="C13" i="8"/>
  <c r="T60" i="1"/>
  <c r="D13" i="8"/>
  <c r="U60" i="1"/>
  <c r="E13" i="8"/>
  <c r="V60" i="1"/>
  <c r="F13" i="8"/>
  <c r="W60" i="1"/>
  <c r="G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S5" i="1"/>
  <c r="W15" i="1"/>
  <c r="B23" i="1"/>
  <c r="C34" i="1"/>
  <c r="AC5" i="1"/>
  <c r="W18" i="1"/>
  <c r="C33" i="1"/>
  <c r="W25" i="1"/>
  <c r="B24" i="1"/>
  <c r="D34" i="1"/>
  <c r="B7" i="1"/>
  <c r="W4" i="1"/>
  <c r="W29" i="1"/>
  <c r="D33" i="1"/>
  <c r="W31" i="1"/>
  <c r="V15" i="1"/>
  <c r="V18" i="1"/>
  <c r="V25" i="1"/>
  <c r="V29" i="1"/>
  <c r="V31" i="1"/>
  <c r="U15" i="1"/>
  <c r="U18" i="1"/>
  <c r="U25" i="1"/>
  <c r="U29" i="1"/>
  <c r="U31" i="1"/>
  <c r="T15" i="1"/>
  <c r="T30" i="1"/>
  <c r="T18" i="1"/>
  <c r="T25" i="1"/>
  <c r="T29" i="1"/>
  <c r="T31" i="1"/>
  <c r="S15" i="1"/>
  <c r="S18" i="1"/>
  <c r="S25" i="1"/>
  <c r="S29" i="1"/>
  <c r="S31" i="1"/>
  <c r="W44" i="1"/>
  <c r="W45" i="1"/>
  <c r="W42" i="1"/>
  <c r="W43" i="1"/>
  <c r="W40" i="1"/>
  <c r="B22" i="1"/>
  <c r="B34" i="1"/>
  <c r="B33" i="1"/>
  <c r="W20" i="1"/>
  <c r="W41" i="1"/>
  <c r="W14" i="1"/>
  <c r="V44" i="1"/>
  <c r="V45" i="1"/>
  <c r="V42" i="1"/>
  <c r="V43" i="1"/>
  <c r="V40" i="1"/>
  <c r="V20" i="1"/>
  <c r="V41" i="1"/>
  <c r="V14" i="1"/>
  <c r="U44" i="1"/>
  <c r="U45" i="1"/>
  <c r="U42" i="1"/>
  <c r="U43" i="1"/>
  <c r="U40" i="1"/>
  <c r="U20" i="1"/>
  <c r="U41" i="1"/>
  <c r="U14" i="1"/>
  <c r="AH7" i="1"/>
  <c r="AH5" i="1"/>
  <c r="AE7" i="1"/>
  <c r="AE5" i="1"/>
  <c r="T40" i="1"/>
  <c r="B17" i="1"/>
  <c r="AC4" i="1"/>
  <c r="T20" i="1"/>
  <c r="T41" i="1"/>
  <c r="T42" i="1"/>
  <c r="T43" i="1"/>
  <c r="T44" i="1"/>
  <c r="T45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20" i="1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31" i="1"/>
  <c r="D48" i="1"/>
  <c r="D50" i="1"/>
  <c r="D51" i="1"/>
  <c r="D53" i="1"/>
  <c r="C3" i="6"/>
  <c r="C4" i="6"/>
  <c r="B2" i="6"/>
  <c r="C31" i="1"/>
  <c r="C48" i="1"/>
  <c r="C50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3" i="4"/>
  <c r="C67" i="4"/>
  <c r="B58" i="4"/>
  <c r="C58" i="4"/>
  <c r="C60" i="4"/>
  <c r="B63" i="4"/>
  <c r="B67" i="4"/>
  <c r="B60" i="4"/>
  <c r="B68" i="4"/>
  <c r="C68" i="4"/>
  <c r="D63" i="1"/>
  <c r="D35" i="1"/>
  <c r="B12" i="1"/>
  <c r="B21" i="1"/>
  <c r="B20" i="1"/>
  <c r="C8" i="4"/>
  <c r="D8" i="4"/>
  <c r="F8" i="4"/>
  <c r="G8" i="4"/>
  <c r="B8" i="4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1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7" i="5"/>
  <c r="E28" i="5"/>
  <c r="E29" i="5"/>
  <c r="E30" i="5"/>
  <c r="E31" i="5"/>
  <c r="E32" i="5"/>
  <c r="E26" i="5"/>
  <c r="D25" i="5"/>
  <c r="D26" i="5"/>
  <c r="D27" i="5"/>
  <c r="D28" i="5"/>
  <c r="D29" i="5"/>
  <c r="D30" i="5"/>
  <c r="D31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2" i="5"/>
  <c r="E13" i="5"/>
  <c r="E14" i="5"/>
  <c r="E15" i="5"/>
  <c r="E16" i="5"/>
  <c r="E17" i="5"/>
  <c r="D11" i="5"/>
  <c r="D12" i="5"/>
  <c r="D13" i="5"/>
  <c r="D14" i="5"/>
  <c r="D15" i="5"/>
  <c r="D16" i="5"/>
  <c r="D17" i="5"/>
  <c r="K17" i="5"/>
  <c r="J16" i="5"/>
  <c r="J17" i="5"/>
  <c r="I15" i="5"/>
  <c r="I16" i="5"/>
  <c r="I17" i="5"/>
  <c r="H14" i="5"/>
  <c r="H15" i="5"/>
  <c r="H16" i="5"/>
  <c r="H17" i="5"/>
  <c r="G13" i="5"/>
  <c r="G14" i="5"/>
  <c r="G15" i="5"/>
  <c r="G16" i="5"/>
  <c r="G17" i="5"/>
  <c r="F12" i="5"/>
  <c r="F13" i="5"/>
  <c r="F14" i="5"/>
  <c r="F15" i="5"/>
  <c r="F16" i="5"/>
  <c r="F17" i="5"/>
  <c r="E11" i="5"/>
  <c r="D10" i="5"/>
  <c r="C9" i="5"/>
  <c r="C10" i="5"/>
  <c r="C11" i="5"/>
  <c r="C12" i="5"/>
  <c r="C13" i="5"/>
  <c r="C14" i="5"/>
  <c r="C15" i="5"/>
  <c r="C16" i="5"/>
  <c r="C17" i="5"/>
  <c r="B38" i="4"/>
  <c r="C38" i="4"/>
  <c r="D38" i="4"/>
  <c r="C36" i="4"/>
  <c r="B36" i="4"/>
  <c r="D36" i="4"/>
  <c r="B21" i="4"/>
  <c r="E21" i="4"/>
  <c r="C21" i="4"/>
  <c r="D21" i="4"/>
  <c r="D54" i="1"/>
  <c r="C42" i="1"/>
  <c r="G41" i="1"/>
  <c r="G40" i="1"/>
  <c r="B9" i="1"/>
  <c r="B10" i="1"/>
  <c r="B11" i="1"/>
  <c r="D42" i="1"/>
  <c r="D61" i="1"/>
  <c r="B50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For scenarios with different upfront costs like wind, solar, battery, there will be a common econ dispatch suffix.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<sst xmlns="http://schemas.openxmlformats.org/spreadsheetml/2006/main" count="694" uniqueCount="424">
  <si>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</si>
  <si>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</si>
  <si>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</si>
  <si>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</si>
  <si>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</si>
  <si>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</si>
  <si>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</si>
  <si>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</si>
  <si>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</si>
  <si>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</si>
  <si>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</si>
  <si>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</si>
  <si>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</si>
  <si>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</si>
  <si>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</si>
  <si>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</si>
  <si>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</si>
  <si>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</si>
  <si>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</si>
  <si>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</si>
  <si>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</si>
  <si>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</si>
  <si>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</si>
  <si>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</si>
  <si>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</si>
  <si>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</si>
  <si>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</si>
  <si>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</si>
  <si>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</si>
  <si>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</si>
  <si>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</si>
  <si>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</si>
  <si>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</si>
  <si>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</si>
  <si>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</si>
  <si>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</si>
  <si>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</si>
  <si>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</si>
  <si>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</si>
  <si>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</si>
  <si>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</si>
  <si>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</si>
  <si>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</si>
  <si>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</si>
  <si>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</si>
  <si>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</si>
  <si>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</si>
  <si>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</si>
  <si>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</si>
  <si>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</si>
  <si>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</si>
  <si>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</si>
  <si>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</si>
  <si>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</si>
  <si>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</si>
  <si>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</si>
  <si>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</si>
  <si>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</si>
  <si>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</si>
  <si>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</si>
  <si>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</si>
  <si>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</si>
  <si>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</si>
  <si>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</si>
  <si>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</si>
  <si>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</si>
  <si>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</si>
  <si>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</si>
  <si>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</si>
  <si>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</si>
  <si>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</si>
  <si>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</si>
  <si>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</si>
  <si>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</si>
  <si>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</si>
  <si>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</si>
  <si>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</si>
  <si>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</si>
  <si>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</si>
  <si>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</si>
  <si>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</si>
  <si>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</si>
  <si>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</si>
  <si>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</si>
  <si>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</si>
  <si>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</si>
  <si>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</si>
  <si>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</si>
  <si>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</si>
  <si>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</si>
  <si>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</si>
  <si>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</si>
  <si>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</si>
  <si>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</si>
  <si>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</si>
  <si>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</si>
  <si>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</si>
  <si>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</si>
  <si>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</si>
  <si>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</si>
  <si>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</si>
  <si>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</si>
  <si>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</si>
  <si>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</si>
  <si>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</si>
  <si>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</si>
  <si>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</si>
  <si>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</si>
  <si>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</si>
  <si>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</si>
  <si>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</si>
  <si>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</si>
  <si>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</si>
  <si>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</si>
  <si>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</si>
  <si>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</si>
  <si>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</si>
  <si>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</si>
  <si>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</si>
  <si>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</si>
  <si>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</si>
  <si>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</si>
  <si>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</si>
  <si>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</si>
  <si>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</si>
  <si>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</si>
  <si>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</si>
  <si>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</si>
  <si>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</si>
  <si>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</si>
  <si>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</si>
  <si>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</si>
  <si>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</si>
  <si>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</si>
  <si>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</si>
  <si>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</si>
  <si>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</si>
  <si>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</si>
  <si>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</si>
  <si>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</si>
  <si>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</si>
  <si>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</si>
  <si>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</si>
  <si>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</si>
  <si>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</si>
  <si>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</si>
  <si>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</si>
  <si>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</si>
  <si>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</si>
  <si>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</si>
  <si>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</si>
  <si>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</si>
  <si>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</si>
  <si>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</si>
  <si>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</si>
  <si>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</si>
  <si>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</si>
  <si>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</si>
  <si>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</si>
  <si>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</si>
  <si>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</si>
  <si>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</si>
  <si>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</si>
  <si>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</si>
  <si>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</si>
  <si>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</si>
  <si>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</si>
  <si>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</si>
  <si>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</si>
  <si>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</si>
  <si>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</si>
  <si>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</si>
  <si>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</si>
  <si>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</si>
  <si>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</si>
  <si>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</si>
  <si>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</si>
  <si>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</si>
  <si>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</si>
  <si>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</si>
  <si>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</si>
  <si>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</si>
  <si>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</si>
  <si>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</si>
  <si>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</si>
  <si>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</si>
  <si>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</si>
  <si>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</si>
  <si>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</si>
  <si>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</si>
  <si>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</si>
  <si>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</si>
  <si>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</si>
  <si>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</si>
  <si>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</si>
  <si>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</si>
  <si>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</si>
  <si>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</si>
  <si>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</si>
  <si>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</si>
  <si>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</si>
  <si>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</si>
  <si>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</si>
  <si>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</si>
  <si>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</si>
  <si>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</si>
  <si>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</si>
  <si>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Only fixed costs USD/kW-y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</si>
  <si>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</si>
  <si>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</si>
  <si>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</si>
  <si>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</si>
  <si>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</si>
  <si>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</si>
  <si>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</si>
  <si>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</si>
  <si>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</si>
  <si>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</si>
  <si>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</si>
  <si>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</si>
  <si>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</si>
  <si>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</si>
  <si>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</si>
  <si>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</si>
  <si>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</si>
  <si>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</si>
  <si>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B20lc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</si>
  <si>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</si>
  <si>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</si>
  <si>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</si>
  <si>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</si>
  <si>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</si>
  <si>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</si>
  <si>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</si>
  <si>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</si>
  <si>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</si>
  <si>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</si>
  <si>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</si>
  <si>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</si>
  <si>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</si>
  <si>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</si>
  <si>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</si>
  <si>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</si>
  <si>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</si>
  <si>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</si>
  <si>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</si>
  <si>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</si>
  <si>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</si>
  <si>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</si>
  <si>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</si>
  <si>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</si>
  <si>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</si>
  <si>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</si>
  <si>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</si>
  <si>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</si>
  <si>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</si>
  <si>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</si>
  <si>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</si>
  <si>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</si>
  <si>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</si>
  <si>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</si>
  <si>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</si>
  <si>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</si>
  <si>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</si>
  <si>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</si>
  <si>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</si>
  <si>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</si>
  <si>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</si>
  <si>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</si>
  <si>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</si>
  <si>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</si>
  <si>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</si>
  <si>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</si>
  <si>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</si>
  <si>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</si>
  <si>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</si>
  <si>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</si>
  <si>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</si>
  <si>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</si>
  <si>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</si>
  <si>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</si>
  <si>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</si>
  <si>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</si>
  <si>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</si>
  <si>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</si>
  <si>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</si>
  <si>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</si>
  <si>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</si>
  <si>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</si>
  <si>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</si>
  <si>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</si>
  <si>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</si>
  <si>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</si>
  <si>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</si>
  <si>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</si>
  <si>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</si>
  <si>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</si>
  <si>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</si>
  <si>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</si>
  <si>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</si>
  <si>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</si>
  <si>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</si>
  <si>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</si>
  <si>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</si>
  <si>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</si>
  <si>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</si>
  <si>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</si>
  <si>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</si>
  <si>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</si>
  <si>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</si>
  <si>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</si>
  <si>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</si>
  <si>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</si>
  <si>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</si>
  <si>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</si>
  <si>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</si>
  <si>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</si>
  <si>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</si>
  <si>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</si>
  <si>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</si>
  <si>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</si>
  <si>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</si>
  <si>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</si>
  <si>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</si>
  <si>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</si>
  <si>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</si>
  <si>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</si>
  <si>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</si>
  <si>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</si>
  <si>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</si>
  <si>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</si>
  <si>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</si>
  <si>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</si>
  <si>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</si>
  <si>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</si>
  <si>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</si>
  <si>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</si>
  <si>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</si>
  <si>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</si>
  <si>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</si>
  <si>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</si>
  <si>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</si>
  <si>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</si>
  <si>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</si>
  <si>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</si>
  <si>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</si>
  <si>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</si>
  <si>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</si>
  <si>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</si>
  <si>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</si>
  <si>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</si>
  <si>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</si>
  <si>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</si>
  <si>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</si>
  <si>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</si>
  <si>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</si>
  <si>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</si>
  <si>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</si>
  <si>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</si>
  <si>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</si>
  <si>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</si>
  <si>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</si>
  <si>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</si>
  <si>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</si>
  <si>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</si>
  <si>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</si>
  <si>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</si>
  <si>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</si>
  <si>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</si>
  <si>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</si>
  <si>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</si>
  <si>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</si>
  <si>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</si>
  <si>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</si>
  <si>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</si>
  <si>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</si>
  <si>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</si>
  <si>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</si>
  <si>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</si>
  <si>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</si>
  <si>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</si>
  <si>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</si>
  <si>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</si>
  <si>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</si>
  <si>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</si>
  <si>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</si>
  <si>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</si>
  <si>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</si>
  <si>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</si>
  <si>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add FGD and other adders from CEA report</t>
  </si>
  <si>
    <t>screening curve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</si>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</sst>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tabSelected="1" workbookViewId="0">
      <pane xSplit="1" ySplit="8" topLeftCell="M27" activePane="bottomRight" state="frozen"/>
      <selection pane="topRight" activeCell="B1" sqref="B1"/>
      <selection pane="bottomLeft" activeCell="A8" sqref="A8"/>
      <selection pane="bottomRight" activeCell="U35" sqref="U35"/>
    </sheetView>
  </sheetViews>
  <sheetFormatPr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28515625" bestFit="1" customWidth="1"/>
    <col min="8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0" width="13.140625" bestFit="1" customWidth="1"/>
    <col min="21" max="21" width="18.85546875" bestFit="1" customWidth="1"/>
    <col min="22" max="22" width="13.140625" bestFit="1" customWidth="1"/>
  </cols>
  <sheetData>
    <row r="1" spans="1:22" x14ac:dyDescent="0.25">
      <c r="A1" t="s">
        <v>230</v>
      </c>
      <c r="B1" t="s">
        <v>231</v>
      </c>
      <c r="C1" t="s">
        <v>223</v>
      </c>
      <c r="D1" t="s">
        <v>232</v>
      </c>
      <c r="E1" t="s">
        <v>421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423</v>
      </c>
      <c r="V1" t="s">
        <v>248</v>
      </c>
    </row>
    <row r="2" spans="1:22" x14ac:dyDescent="0.25">
      <c r="A2" s="21" t="s">
        <v>249</v>
      </c>
      <c r="B2" s="21" t="s">
        <v>250</v>
      </c>
      <c r="C2" s="21" t="str">
        <f>C3</f>
        <v>ClcC70m</v>
      </c>
      <c r="D2" s="21" t="str">
        <f>D3</f>
        <v>ChcC70m</v>
      </c>
      <c r="E2" s="21" t="str">
        <f t="shared" ref="E2:V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</row>
    <row r="3" spans="1:22" x14ac:dyDescent="0.25">
      <c r="A3" t="s">
        <v>251</v>
      </c>
      <c r="C3" t="str">
        <f t="shared" ref="C3:V3" si="1">CONCATENATE(C10,C13,C15,C17,C19,C23,C27,C30,C33,C36,C38,C41)</f>
        <v>ClcC70m</v>
      </c>
      <c r="D3" t="str">
        <f t="shared" si="1"/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ref="U3" si="2">CONCATENATE(U10,U13,U15,U17,U19,U23,U27,U30,U33,U36,U38,U41)</f>
        <v>ClcC70mW120S1A</v>
      </c>
      <c r="V3" t="str">
        <f t="shared" si="1"/>
        <v>ClcC70mLmod</v>
      </c>
    </row>
    <row r="4" spans="1:22" x14ac:dyDescent="0.25">
      <c r="A4" t="s">
        <v>422</v>
      </c>
      <c r="C4" t="str">
        <f>CONCATENATE(C10,C13,C15,C17,C19,C30,C33,C36,C38,C41)</f>
        <v>ClcC70m</v>
      </c>
      <c r="D4" t="str">
        <f t="shared" ref="D4:V4" si="3">CONCATENATE(D10,D13,D15,D17,D19,D30,D33,D36,D38,D41)</f>
        <v>ChcC70m</v>
      </c>
      <c r="E4" t="str">
        <f t="shared" si="3"/>
        <v>ClcC55m</v>
      </c>
      <c r="F4" t="str">
        <f t="shared" si="3"/>
        <v>ClcC70mH-25</v>
      </c>
      <c r="G4" t="str">
        <f t="shared" si="3"/>
        <v>ClcC70mH25</v>
      </c>
      <c r="H4" t="str">
        <f t="shared" si="3"/>
        <v>ClcC70mN64</v>
      </c>
      <c r="I4" t="str">
        <f t="shared" si="3"/>
        <v>ClcC70mB15</v>
      </c>
      <c r="J4" t="str">
        <f t="shared" si="3"/>
        <v>ClcC70mB30</v>
      </c>
      <c r="K4" t="str">
        <f t="shared" si="3"/>
        <v>ClcC70m</v>
      </c>
      <c r="L4" t="str">
        <f t="shared" si="3"/>
        <v>ClcC70m</v>
      </c>
      <c r="M4" t="str">
        <f t="shared" si="3"/>
        <v>ClcC70m</v>
      </c>
      <c r="N4" t="str">
        <f t="shared" si="3"/>
        <v>ClcC70m</v>
      </c>
      <c r="O4" t="str">
        <f t="shared" si="3"/>
        <v>ClcC70m</v>
      </c>
      <c r="P4" t="str">
        <f t="shared" si="3"/>
        <v>ClcC70m</v>
      </c>
      <c r="Q4" t="str">
        <f t="shared" si="3"/>
        <v>ClcC70m</v>
      </c>
      <c r="R4" t="str">
        <f t="shared" si="3"/>
        <v>ClcC70mW120</v>
      </c>
      <c r="S4" t="str">
        <f t="shared" si="3"/>
        <v>ClcC70mS1A</v>
      </c>
      <c r="T4" t="str">
        <f t="shared" si="3"/>
        <v>ClcC70mS90d</v>
      </c>
      <c r="U4" t="str">
        <f t="shared" ref="U4" si="4">CONCATENATE(U10,U13,U15,U17,U19,U30,U33,U36,U38,U41)</f>
        <v>ClcC70mW120S1A</v>
      </c>
      <c r="V4" t="str">
        <f t="shared" si="3"/>
        <v>ClcC70mLmod</v>
      </c>
    </row>
    <row r="5" spans="1:22" x14ac:dyDescent="0.25">
      <c r="A5" t="s">
        <v>252</v>
      </c>
      <c r="C5" t="str">
        <f t="shared" ref="C5:V5" si="5">CONCATENATE(C11,C15,C17,C19,C30,C33,C36,C38,C41)</f>
        <v>coallc</v>
      </c>
      <c r="D5" t="str">
        <f t="shared" si="5"/>
        <v>coalhc</v>
      </c>
      <c r="E5" t="str">
        <f t="shared" si="5"/>
        <v>coallc</v>
      </c>
      <c r="F5" t="str">
        <f t="shared" si="5"/>
        <v>coallcH-25</v>
      </c>
      <c r="G5" t="str">
        <f t="shared" si="5"/>
        <v>coallcH25</v>
      </c>
      <c r="H5" t="str">
        <f t="shared" si="5"/>
        <v>coallcN64</v>
      </c>
      <c r="I5" t="str">
        <f t="shared" si="5"/>
        <v>coallcB15</v>
      </c>
      <c r="J5" t="str">
        <f t="shared" si="5"/>
        <v>coallcB30</v>
      </c>
      <c r="K5" t="str">
        <f t="shared" si="5"/>
        <v>coallc</v>
      </c>
      <c r="L5" t="str">
        <f t="shared" si="5"/>
        <v>coallc</v>
      </c>
      <c r="M5" t="str">
        <f t="shared" si="5"/>
        <v>coallc</v>
      </c>
      <c r="N5" t="str">
        <f t="shared" si="5"/>
        <v>coallc</v>
      </c>
      <c r="O5" t="str">
        <f t="shared" si="5"/>
        <v>coallc</v>
      </c>
      <c r="P5" t="str">
        <f t="shared" si="5"/>
        <v>coallc</v>
      </c>
      <c r="Q5" t="str">
        <f t="shared" si="5"/>
        <v>coallc</v>
      </c>
      <c r="R5" t="str">
        <f t="shared" si="5"/>
        <v>coallcW120</v>
      </c>
      <c r="S5" t="str">
        <f t="shared" si="5"/>
        <v>coallcS1A</v>
      </c>
      <c r="T5" t="str">
        <f t="shared" si="5"/>
        <v>coallcS90d</v>
      </c>
      <c r="U5" t="str">
        <f t="shared" ref="U5" si="6">CONCATENATE(U11,U15,U17,U19,U30,U33,U36,U38,U41)</f>
        <v>coallcW120S1A</v>
      </c>
      <c r="V5" t="str">
        <f t="shared" si="5"/>
        <v>coallcLmod</v>
      </c>
    </row>
    <row r="6" spans="1:22" x14ac:dyDescent="0.25">
      <c r="A6" t="s">
        <v>253</v>
      </c>
      <c r="C6" t="str">
        <f t="shared" ref="C6:V6" si="7">CONCATENATE(C11,C15,C17,C19,C30,C33,C36,C38,C41)</f>
        <v>coallc</v>
      </c>
      <c r="D6" t="str">
        <f t="shared" si="7"/>
        <v>coalhc</v>
      </c>
      <c r="E6" t="str">
        <f t="shared" si="7"/>
        <v>coallc</v>
      </c>
      <c r="F6" t="str">
        <f t="shared" si="7"/>
        <v>coallcH-25</v>
      </c>
      <c r="G6" t="str">
        <f t="shared" si="7"/>
        <v>coallcH25</v>
      </c>
      <c r="H6" t="str">
        <f t="shared" si="7"/>
        <v>coallcN64</v>
      </c>
      <c r="I6" t="str">
        <f t="shared" si="7"/>
        <v>coallcB15</v>
      </c>
      <c r="J6" t="str">
        <f t="shared" si="7"/>
        <v>coallcB30</v>
      </c>
      <c r="K6" t="str">
        <f t="shared" si="7"/>
        <v>coallc</v>
      </c>
      <c r="L6" t="str">
        <f t="shared" si="7"/>
        <v>coallc</v>
      </c>
      <c r="M6" t="str">
        <f t="shared" si="7"/>
        <v>coallc</v>
      </c>
      <c r="N6" t="str">
        <f t="shared" si="7"/>
        <v>coallc</v>
      </c>
      <c r="O6" t="str">
        <f t="shared" si="7"/>
        <v>coallc</v>
      </c>
      <c r="P6" t="str">
        <f t="shared" si="7"/>
        <v>coallc</v>
      </c>
      <c r="Q6" t="str">
        <f t="shared" si="7"/>
        <v>coallc</v>
      </c>
      <c r="R6" t="str">
        <f t="shared" si="7"/>
        <v>coallcW120</v>
      </c>
      <c r="S6" t="str">
        <f t="shared" si="7"/>
        <v>coallcS1A</v>
      </c>
      <c r="T6" t="str">
        <f t="shared" si="7"/>
        <v>coallcS90d</v>
      </c>
      <c r="U6" t="str">
        <f t="shared" ref="U6" si="8">CONCATENATE(U11,U15,U17,U19,U30,U33,U36,U38,U41)</f>
        <v>coallcW120S1A</v>
      </c>
      <c r="V6" t="str">
        <f t="shared" si="7"/>
        <v>coallcLmod</v>
      </c>
    </row>
    <row r="7" spans="1:22" x14ac:dyDescent="0.25">
      <c r="A7" t="s">
        <v>254</v>
      </c>
      <c r="C7" t="str">
        <f t="shared" ref="C7:V7" si="9">CONCATENATE(C31,"_",C34)</f>
        <v>W80_S0d</v>
      </c>
      <c r="D7" t="str">
        <f t="shared" si="9"/>
        <v>W80_S0d</v>
      </c>
      <c r="E7" t="str">
        <f t="shared" si="9"/>
        <v>W80_S0d</v>
      </c>
      <c r="F7" t="str">
        <f t="shared" si="9"/>
        <v>W80_S0d</v>
      </c>
      <c r="G7" t="str">
        <f t="shared" si="9"/>
        <v>W80_S0d</v>
      </c>
      <c r="H7" t="str">
        <f t="shared" si="9"/>
        <v>W80_S0d</v>
      </c>
      <c r="I7" t="str">
        <f t="shared" si="9"/>
        <v>W80_S0d</v>
      </c>
      <c r="J7" t="str">
        <f t="shared" si="9"/>
        <v>W80_S0d</v>
      </c>
      <c r="K7" t="str">
        <f t="shared" si="9"/>
        <v>W80_S0d</v>
      </c>
      <c r="L7" t="str">
        <f t="shared" si="9"/>
        <v>W80_S0d</v>
      </c>
      <c r="M7" t="str">
        <f t="shared" si="9"/>
        <v>W80_S0d</v>
      </c>
      <c r="N7" t="str">
        <f t="shared" si="9"/>
        <v>W80_S0d</v>
      </c>
      <c r="O7" t="str">
        <f t="shared" si="9"/>
        <v>W80_S0d</v>
      </c>
      <c r="P7" t="str">
        <f t="shared" si="9"/>
        <v>W80_S0d</v>
      </c>
      <c r="Q7" t="str">
        <f t="shared" si="9"/>
        <v>W80_S0d</v>
      </c>
      <c r="R7" t="str">
        <f t="shared" si="9"/>
        <v>W120_S0d</v>
      </c>
      <c r="S7" t="str">
        <f t="shared" si="9"/>
        <v>W80_S1A</v>
      </c>
      <c r="T7" t="str">
        <f t="shared" si="9"/>
        <v>W80_S90d</v>
      </c>
      <c r="U7" t="str">
        <f t="shared" ref="U7" si="10">CONCATENATE(U31,"_",U34)</f>
        <v>W120_S1A</v>
      </c>
      <c r="V7" t="str">
        <f t="shared" si="9"/>
        <v>W80_S0d</v>
      </c>
    </row>
    <row r="8" spans="1:22" x14ac:dyDescent="0.25">
      <c r="A8" t="s">
        <v>255</v>
      </c>
      <c r="C8" t="str">
        <f>CONCATENATE(C11,C23,C27)</f>
        <v>coallc</v>
      </c>
      <c r="D8" t="str">
        <f t="shared" ref="D8:V8" si="11">CONCATENATE(D11,D23,D27)</f>
        <v>coalhc</v>
      </c>
      <c r="E8" t="str">
        <f t="shared" si="11"/>
        <v>coallc</v>
      </c>
      <c r="F8" t="str">
        <f t="shared" si="11"/>
        <v>coallc</v>
      </c>
      <c r="G8" t="str">
        <f t="shared" si="11"/>
        <v>coallc</v>
      </c>
      <c r="H8" t="str">
        <f t="shared" si="11"/>
        <v>coallc</v>
      </c>
      <c r="I8" t="str">
        <f t="shared" si="11"/>
        <v>coallc</v>
      </c>
      <c r="J8" t="str">
        <f t="shared" si="11"/>
        <v>coallc</v>
      </c>
      <c r="K8" t="str">
        <f t="shared" si="11"/>
        <v>coallcW10lc</v>
      </c>
      <c r="L8" t="str">
        <f t="shared" si="11"/>
        <v>coallcW20lc</v>
      </c>
      <c r="M8" t="str">
        <f t="shared" si="11"/>
        <v>coallcW30lc</v>
      </c>
      <c r="N8" t="str">
        <f t="shared" si="11"/>
        <v>coallcS10lc</v>
      </c>
      <c r="O8" t="str">
        <f t="shared" si="11"/>
        <v>coallcS20lc</v>
      </c>
      <c r="P8" t="str">
        <f t="shared" si="11"/>
        <v>coallcS30lc</v>
      </c>
      <c r="Q8" t="str">
        <f t="shared" si="11"/>
        <v>coallcW30lcS30lc</v>
      </c>
      <c r="R8" t="str">
        <f t="shared" si="11"/>
        <v>coallc</v>
      </c>
      <c r="S8" t="str">
        <f t="shared" si="11"/>
        <v>coallc</v>
      </c>
      <c r="T8" t="str">
        <f t="shared" si="11"/>
        <v>coallc</v>
      </c>
      <c r="U8" t="str">
        <f t="shared" ref="U8" si="12">CONCATENATE(U11,U23,U27)</f>
        <v>coallc</v>
      </c>
      <c r="V8" t="str">
        <f t="shared" si="11"/>
        <v>coallc</v>
      </c>
    </row>
    <row r="9" spans="1:22" x14ac:dyDescent="0.25">
      <c r="A9" s="21" t="s">
        <v>256</v>
      </c>
      <c r="B9" s="21" t="s">
        <v>257</v>
      </c>
      <c r="C9" s="21" t="s">
        <v>258</v>
      </c>
      <c r="D9" s="21" t="s">
        <v>259</v>
      </c>
      <c r="E9" s="21" t="s">
        <v>258</v>
      </c>
      <c r="F9" s="21" t="s">
        <v>258</v>
      </c>
      <c r="G9" s="21" t="s">
        <v>258</v>
      </c>
      <c r="H9" s="21" t="s">
        <v>258</v>
      </c>
      <c r="I9" s="21" t="s">
        <v>258</v>
      </c>
      <c r="J9" s="21" t="s">
        <v>258</v>
      </c>
      <c r="K9" s="21" t="s">
        <v>258</v>
      </c>
      <c r="L9" s="21" t="s">
        <v>258</v>
      </c>
      <c r="M9" s="21" t="s">
        <v>258</v>
      </c>
      <c r="N9" s="21" t="s">
        <v>258</v>
      </c>
      <c r="O9" s="21" t="s">
        <v>258</v>
      </c>
      <c r="P9" s="21" t="s">
        <v>258</v>
      </c>
      <c r="Q9" s="21" t="s">
        <v>258</v>
      </c>
      <c r="R9" s="21" t="s">
        <v>258</v>
      </c>
      <c r="S9" s="21" t="s">
        <v>258</v>
      </c>
      <c r="T9" s="21" t="s">
        <v>258</v>
      </c>
      <c r="U9" s="21" t="s">
        <v>258</v>
      </c>
      <c r="V9" s="21" t="s">
        <v>258</v>
      </c>
    </row>
    <row r="10" spans="1:22" x14ac:dyDescent="0.25">
      <c r="A10" t="s">
        <v>260</v>
      </c>
      <c r="C10" t="str">
        <f>CONCATENATE("C", LEFT(C9,1), "c")</f>
        <v>Clc</v>
      </c>
      <c r="D10" t="str">
        <f t="shared" ref="D10:V10" si="13">CONCATENATE("C", LEFT(D9,1), "c")</f>
        <v>Chc</v>
      </c>
      <c r="E10" t="str">
        <f t="shared" si="13"/>
        <v>Clc</v>
      </c>
      <c r="F10" t="str">
        <f t="shared" si="13"/>
        <v>Clc</v>
      </c>
      <c r="G10" t="str">
        <f t="shared" si="13"/>
        <v>Clc</v>
      </c>
      <c r="H10" t="str">
        <f t="shared" si="13"/>
        <v>Clc</v>
      </c>
      <c r="I10" t="str">
        <f t="shared" si="13"/>
        <v>Clc</v>
      </c>
      <c r="J10" t="str">
        <f t="shared" si="13"/>
        <v>Clc</v>
      </c>
      <c r="K10" t="str">
        <f t="shared" si="13"/>
        <v>Clc</v>
      </c>
      <c r="L10" t="str">
        <f t="shared" si="13"/>
        <v>Clc</v>
      </c>
      <c r="M10" t="str">
        <f t="shared" si="13"/>
        <v>Clc</v>
      </c>
      <c r="N10" t="str">
        <f t="shared" si="13"/>
        <v>Clc</v>
      </c>
      <c r="O10" t="str">
        <f t="shared" si="13"/>
        <v>Clc</v>
      </c>
      <c r="P10" t="str">
        <f t="shared" si="13"/>
        <v>Clc</v>
      </c>
      <c r="Q10" t="str">
        <f t="shared" si="13"/>
        <v>Clc</v>
      </c>
      <c r="R10" t="str">
        <f t="shared" si="13"/>
        <v>Clc</v>
      </c>
      <c r="S10" t="str">
        <f t="shared" si="13"/>
        <v>Clc</v>
      </c>
      <c r="T10" t="str">
        <f t="shared" si="13"/>
        <v>Clc</v>
      </c>
      <c r="U10" t="str">
        <f t="shared" ref="U10" si="14">CONCATENATE("C", LEFT(U9,1), "c")</f>
        <v>Clc</v>
      </c>
      <c r="V10" t="str">
        <f t="shared" si="13"/>
        <v>Clc</v>
      </c>
    </row>
    <row r="11" spans="1:22" x14ac:dyDescent="0.25">
      <c r="A11" t="s">
        <v>261</v>
      </c>
      <c r="C11" t="str">
        <f t="shared" ref="C11:V11" si="15">CONCATENATE("coal",LEFT(C9,1), "c")</f>
        <v>coallc</v>
      </c>
      <c r="D11" t="str">
        <f t="shared" si="15"/>
        <v>coalhc</v>
      </c>
      <c r="E11" t="str">
        <f t="shared" si="15"/>
        <v>coallc</v>
      </c>
      <c r="F11" t="str">
        <f t="shared" si="15"/>
        <v>coallc</v>
      </c>
      <c r="G11" t="str">
        <f t="shared" si="15"/>
        <v>coallc</v>
      </c>
      <c r="H11" t="str">
        <f t="shared" si="15"/>
        <v>coallc</v>
      </c>
      <c r="I11" t="str">
        <f t="shared" si="15"/>
        <v>coallc</v>
      </c>
      <c r="J11" t="str">
        <f t="shared" si="15"/>
        <v>coallc</v>
      </c>
      <c r="K11" t="str">
        <f t="shared" si="15"/>
        <v>coallc</v>
      </c>
      <c r="L11" t="str">
        <f t="shared" si="15"/>
        <v>coallc</v>
      </c>
      <c r="M11" t="str">
        <f t="shared" si="15"/>
        <v>coallc</v>
      </c>
      <c r="N11" t="str">
        <f t="shared" si="15"/>
        <v>coallc</v>
      </c>
      <c r="O11" t="str">
        <f t="shared" si="15"/>
        <v>coallc</v>
      </c>
      <c r="P11" t="str">
        <f t="shared" si="15"/>
        <v>coallc</v>
      </c>
      <c r="Q11" t="str">
        <f t="shared" si="15"/>
        <v>coallc</v>
      </c>
      <c r="R11" t="str">
        <f t="shared" si="15"/>
        <v>coallc</v>
      </c>
      <c r="S11" t="str">
        <f t="shared" si="15"/>
        <v>coallc</v>
      </c>
      <c r="T11" t="str">
        <f t="shared" si="15"/>
        <v>coallc</v>
      </c>
      <c r="U11" t="str">
        <f t="shared" ref="U11" si="16">CONCATENATE("coal",LEFT(U9,1), "c")</f>
        <v>coallc</v>
      </c>
      <c r="V11" t="str">
        <f t="shared" si="15"/>
        <v>coallc</v>
      </c>
    </row>
    <row r="12" spans="1:22" x14ac:dyDescent="0.25">
      <c r="A12" s="21" t="s">
        <v>262</v>
      </c>
      <c r="B12" s="21" t="s">
        <v>263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</row>
    <row r="13" spans="1:22" x14ac:dyDescent="0.25">
      <c r="A13" t="s">
        <v>264</v>
      </c>
      <c r="C13" t="str">
        <f>CONCATENATE("C",C12,"m")</f>
        <v>C70m</v>
      </c>
      <c r="D13" t="str">
        <f t="shared" ref="D13:V13" si="17">CONCATENATE("C",D12,"m")</f>
        <v>C70m</v>
      </c>
      <c r="E13" t="str">
        <f t="shared" si="17"/>
        <v>C55m</v>
      </c>
      <c r="F13" t="str">
        <f t="shared" si="17"/>
        <v>C70m</v>
      </c>
      <c r="G13" t="str">
        <f t="shared" si="17"/>
        <v>C70m</v>
      </c>
      <c r="H13" t="str">
        <f t="shared" si="17"/>
        <v>C70m</v>
      </c>
      <c r="I13" t="str">
        <f t="shared" si="17"/>
        <v>C70m</v>
      </c>
      <c r="J13" t="str">
        <f t="shared" si="17"/>
        <v>C70m</v>
      </c>
      <c r="K13" t="str">
        <f t="shared" si="17"/>
        <v>C70m</v>
      </c>
      <c r="L13" t="str">
        <f t="shared" si="17"/>
        <v>C70m</v>
      </c>
      <c r="M13" t="str">
        <f t="shared" si="17"/>
        <v>C70m</v>
      </c>
      <c r="N13" t="str">
        <f t="shared" si="17"/>
        <v>C70m</v>
      </c>
      <c r="O13" t="str">
        <f t="shared" si="17"/>
        <v>C70m</v>
      </c>
      <c r="P13" t="str">
        <f t="shared" si="17"/>
        <v>C70m</v>
      </c>
      <c r="Q13" t="str">
        <f t="shared" si="17"/>
        <v>C70m</v>
      </c>
      <c r="R13" t="str">
        <f t="shared" si="17"/>
        <v>C70m</v>
      </c>
      <c r="S13" t="str">
        <f t="shared" si="17"/>
        <v>C70m</v>
      </c>
      <c r="T13" t="str">
        <f t="shared" si="17"/>
        <v>C70m</v>
      </c>
      <c r="U13" t="str">
        <f t="shared" ref="U13" si="18">CONCATENATE("C",U12,"m")</f>
        <v>C70m</v>
      </c>
      <c r="V13" t="str">
        <f t="shared" si="17"/>
        <v>C70m</v>
      </c>
    </row>
    <row r="14" spans="1:22" x14ac:dyDescent="0.25">
      <c r="A14" s="21" t="s">
        <v>265</v>
      </c>
      <c r="B14" s="21" t="s">
        <v>266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</row>
    <row r="15" spans="1:22" x14ac:dyDescent="0.25">
      <c r="A15" t="s">
        <v>267</v>
      </c>
      <c r="C15" t="str">
        <f t="shared" ref="C15:V15" si="19">IF(C14=0,"",CONCATENATE("H",C14))</f>
        <v/>
      </c>
      <c r="D15" t="str">
        <f t="shared" si="19"/>
        <v/>
      </c>
      <c r="E15" t="str">
        <f t="shared" si="19"/>
        <v/>
      </c>
      <c r="F15" t="str">
        <f t="shared" si="19"/>
        <v>H-25</v>
      </c>
      <c r="G15" t="str">
        <f t="shared" si="19"/>
        <v>H25</v>
      </c>
      <c r="H15" t="str">
        <f t="shared" si="19"/>
        <v/>
      </c>
      <c r="I15" t="str">
        <f t="shared" si="19"/>
        <v/>
      </c>
      <c r="J15" t="str">
        <f t="shared" si="19"/>
        <v/>
      </c>
      <c r="K15" t="str">
        <f t="shared" si="19"/>
        <v/>
      </c>
      <c r="L15" t="str">
        <f t="shared" si="19"/>
        <v/>
      </c>
      <c r="M15" t="str">
        <f t="shared" si="19"/>
        <v/>
      </c>
      <c r="N15" t="str">
        <f t="shared" si="19"/>
        <v/>
      </c>
      <c r="O15" t="str">
        <f t="shared" si="19"/>
        <v/>
      </c>
      <c r="P15" t="str">
        <f t="shared" si="19"/>
        <v/>
      </c>
      <c r="Q15" t="str">
        <f t="shared" si="19"/>
        <v/>
      </c>
      <c r="R15" t="str">
        <f t="shared" si="19"/>
        <v/>
      </c>
      <c r="S15" t="str">
        <f t="shared" si="19"/>
        <v/>
      </c>
      <c r="T15" t="str">
        <f t="shared" si="19"/>
        <v/>
      </c>
      <c r="U15" t="str">
        <f t="shared" ref="U15" si="20">IF(U14=0,"",CONCATENATE("H",U14))</f>
        <v/>
      </c>
      <c r="V15" t="str">
        <f t="shared" si="19"/>
        <v/>
      </c>
    </row>
    <row r="16" spans="1:22" x14ac:dyDescent="0.25">
      <c r="A16" s="21" t="s">
        <v>268</v>
      </c>
      <c r="B16" s="21" t="s">
        <v>269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</row>
    <row r="17" spans="1:22" x14ac:dyDescent="0.25">
      <c r="A17" t="s">
        <v>270</v>
      </c>
      <c r="C17" t="str">
        <f t="shared" ref="C17:V17" si="21">IF(C16=0,"",CONCATENATE("N",C16))</f>
        <v/>
      </c>
      <c r="D17" t="str">
        <f t="shared" si="21"/>
        <v/>
      </c>
      <c r="E17" t="str">
        <f t="shared" si="21"/>
        <v/>
      </c>
      <c r="F17" t="str">
        <f t="shared" si="21"/>
        <v/>
      </c>
      <c r="G17" t="str">
        <f t="shared" si="21"/>
        <v/>
      </c>
      <c r="H17" t="str">
        <f t="shared" si="21"/>
        <v>N64</v>
      </c>
      <c r="I17" t="str">
        <f t="shared" si="21"/>
        <v/>
      </c>
      <c r="J17" t="str">
        <f t="shared" si="21"/>
        <v/>
      </c>
      <c r="K17" t="str">
        <f t="shared" si="21"/>
        <v/>
      </c>
      <c r="L17" t="str">
        <f t="shared" si="21"/>
        <v/>
      </c>
      <c r="M17" t="str">
        <f t="shared" si="21"/>
        <v/>
      </c>
      <c r="N17" t="str">
        <f t="shared" si="21"/>
        <v/>
      </c>
      <c r="O17" t="str">
        <f t="shared" si="21"/>
        <v/>
      </c>
      <c r="P17" t="str">
        <f t="shared" si="21"/>
        <v/>
      </c>
      <c r="Q17" t="str">
        <f t="shared" si="21"/>
        <v/>
      </c>
      <c r="R17" t="str">
        <f t="shared" si="21"/>
        <v/>
      </c>
      <c r="S17" t="str">
        <f t="shared" si="21"/>
        <v/>
      </c>
      <c r="T17" t="str">
        <f t="shared" si="21"/>
        <v/>
      </c>
      <c r="U17" t="str">
        <f t="shared" ref="U17" si="22">IF(U16=0,"",CONCATENATE("N",U16))</f>
        <v/>
      </c>
      <c r="V17" t="str">
        <f t="shared" si="21"/>
        <v/>
      </c>
    </row>
    <row r="18" spans="1:22" x14ac:dyDescent="0.25">
      <c r="A18" s="21" t="s">
        <v>271</v>
      </c>
      <c r="B18" s="21" t="s">
        <v>272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25">
      <c r="A19" t="s">
        <v>273</v>
      </c>
      <c r="C19" t="str">
        <f t="shared" ref="C19:V19" si="23">IF(C18=0,"",CONCATENATE("B",C18))</f>
        <v/>
      </c>
      <c r="D19" t="str">
        <f t="shared" si="23"/>
        <v/>
      </c>
      <c r="E19" t="str">
        <f t="shared" si="23"/>
        <v/>
      </c>
      <c r="F19" t="str">
        <f t="shared" si="23"/>
        <v/>
      </c>
      <c r="G19" t="str">
        <f t="shared" si="23"/>
        <v/>
      </c>
      <c r="H19" t="str">
        <f t="shared" si="23"/>
        <v/>
      </c>
      <c r="I19" t="str">
        <f t="shared" si="23"/>
        <v>B15</v>
      </c>
      <c r="J19" t="str">
        <f t="shared" si="23"/>
        <v>B30</v>
      </c>
      <c r="K19" t="str">
        <f t="shared" si="23"/>
        <v/>
      </c>
      <c r="L19" t="str">
        <f t="shared" si="23"/>
        <v/>
      </c>
      <c r="M19" t="str">
        <f t="shared" si="23"/>
        <v/>
      </c>
      <c r="N19" t="str">
        <f t="shared" si="23"/>
        <v/>
      </c>
      <c r="O19" t="str">
        <f t="shared" si="23"/>
        <v/>
      </c>
      <c r="P19" t="str">
        <f t="shared" si="23"/>
        <v/>
      </c>
      <c r="Q19" t="str">
        <f t="shared" si="23"/>
        <v/>
      </c>
      <c r="R19" t="str">
        <f t="shared" si="23"/>
        <v/>
      </c>
      <c r="S19" t="str">
        <f t="shared" si="23"/>
        <v/>
      </c>
      <c r="T19" t="str">
        <f t="shared" si="23"/>
        <v/>
      </c>
      <c r="U19" t="str">
        <f t="shared" ref="U19" si="24">IF(U18=0,"",CONCATENATE("B",U18))</f>
        <v/>
      </c>
      <c r="V19" t="str">
        <f t="shared" si="23"/>
        <v/>
      </c>
    </row>
    <row r="20" spans="1:22" x14ac:dyDescent="0.25">
      <c r="A20" t="s">
        <v>274</v>
      </c>
      <c r="C20" t="str">
        <f t="shared" ref="C20:V20" si="25">CONCATENATE("bat", C18)</f>
        <v>bat0</v>
      </c>
      <c r="D20" t="str">
        <f t="shared" si="25"/>
        <v>bat0</v>
      </c>
      <c r="E20" t="str">
        <f t="shared" si="25"/>
        <v>bat0</v>
      </c>
      <c r="F20" t="str">
        <f t="shared" si="25"/>
        <v>bat0</v>
      </c>
      <c r="G20" t="str">
        <f t="shared" si="25"/>
        <v>bat0</v>
      </c>
      <c r="H20" t="str">
        <f t="shared" si="25"/>
        <v>bat0</v>
      </c>
      <c r="I20" t="str">
        <f t="shared" si="25"/>
        <v>bat15</v>
      </c>
      <c r="J20" t="str">
        <f t="shared" si="25"/>
        <v>bat30</v>
      </c>
      <c r="K20" t="str">
        <f t="shared" si="25"/>
        <v>bat0</v>
      </c>
      <c r="L20" t="str">
        <f t="shared" si="25"/>
        <v>bat0</v>
      </c>
      <c r="M20" t="str">
        <f t="shared" si="25"/>
        <v>bat0</v>
      </c>
      <c r="N20" t="str">
        <f t="shared" si="25"/>
        <v>bat0</v>
      </c>
      <c r="O20" t="str">
        <f t="shared" si="25"/>
        <v>bat0</v>
      </c>
      <c r="P20" t="str">
        <f t="shared" si="25"/>
        <v>bat0</v>
      </c>
      <c r="Q20" t="str">
        <f t="shared" si="25"/>
        <v>bat0</v>
      </c>
      <c r="R20" t="str">
        <f t="shared" si="25"/>
        <v>bat0</v>
      </c>
      <c r="S20" t="str">
        <f t="shared" si="25"/>
        <v>bat0</v>
      </c>
      <c r="T20" t="str">
        <f t="shared" si="25"/>
        <v>bat0</v>
      </c>
      <c r="U20" t="str">
        <f t="shared" ref="U20" si="26">CONCATENATE("bat", U18)</f>
        <v>bat0</v>
      </c>
      <c r="V20" t="str">
        <f t="shared" si="25"/>
        <v>bat0</v>
      </c>
    </row>
    <row r="21" spans="1:22" x14ac:dyDescent="0.25">
      <c r="A21" s="21" t="s">
        <v>275</v>
      </c>
      <c r="B21" s="21" t="s">
        <v>276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10</v>
      </c>
      <c r="L21" s="21">
        <v>20</v>
      </c>
      <c r="M21" s="21">
        <v>30</v>
      </c>
      <c r="N21" s="21">
        <v>0</v>
      </c>
      <c r="O21" s="21">
        <v>0</v>
      </c>
      <c r="P21" s="21">
        <v>0</v>
      </c>
      <c r="Q21" s="21">
        <v>30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</row>
    <row r="22" spans="1:22" x14ac:dyDescent="0.25">
      <c r="A22" t="s">
        <v>277</v>
      </c>
      <c r="B22" t="s">
        <v>278</v>
      </c>
      <c r="C22" t="s">
        <v>258</v>
      </c>
      <c r="D22" t="s">
        <v>258</v>
      </c>
      <c r="E22" t="s">
        <v>258</v>
      </c>
      <c r="F22" t="s">
        <v>258</v>
      </c>
      <c r="G22" t="s">
        <v>258</v>
      </c>
      <c r="H22" t="s">
        <v>258</v>
      </c>
      <c r="I22" t="s">
        <v>258</v>
      </c>
      <c r="J22" t="s">
        <v>258</v>
      </c>
      <c r="K22" t="s">
        <v>258</v>
      </c>
      <c r="L22" t="s">
        <v>258</v>
      </c>
      <c r="M22" t="s">
        <v>258</v>
      </c>
      <c r="N22" t="s">
        <v>258</v>
      </c>
      <c r="O22" t="s">
        <v>258</v>
      </c>
      <c r="P22" t="s">
        <v>258</v>
      </c>
      <c r="Q22" t="s">
        <v>258</v>
      </c>
      <c r="R22" t="s">
        <v>258</v>
      </c>
      <c r="S22" t="s">
        <v>258</v>
      </c>
      <c r="T22" t="s">
        <v>258</v>
      </c>
      <c r="U22" t="s">
        <v>258</v>
      </c>
      <c r="V22" t="s">
        <v>258</v>
      </c>
    </row>
    <row r="23" spans="1:22" x14ac:dyDescent="0.25">
      <c r="A23" t="s">
        <v>279</v>
      </c>
      <c r="C23" t="str">
        <f t="shared" ref="C23:V23" si="27">IF(C21=0,"",CONCATENATE("W",C21,LEFT(C22,1),"c"))</f>
        <v/>
      </c>
      <c r="D23" t="str">
        <f t="shared" si="27"/>
        <v/>
      </c>
      <c r="E23" t="str">
        <f t="shared" si="27"/>
        <v/>
      </c>
      <c r="F23" t="str">
        <f t="shared" si="27"/>
        <v/>
      </c>
      <c r="G23" t="str">
        <f t="shared" si="27"/>
        <v/>
      </c>
      <c r="H23" t="str">
        <f t="shared" si="27"/>
        <v/>
      </c>
      <c r="I23" t="str">
        <f t="shared" si="27"/>
        <v/>
      </c>
      <c r="J23" t="str">
        <f t="shared" si="27"/>
        <v/>
      </c>
      <c r="K23" t="str">
        <f t="shared" si="27"/>
        <v>W10lc</v>
      </c>
      <c r="L23" t="str">
        <f t="shared" si="27"/>
        <v>W20lc</v>
      </c>
      <c r="M23" t="str">
        <f t="shared" si="27"/>
        <v>W30lc</v>
      </c>
      <c r="N23" t="str">
        <f t="shared" si="27"/>
        <v/>
      </c>
      <c r="O23" t="str">
        <f t="shared" si="27"/>
        <v/>
      </c>
      <c r="P23" t="str">
        <f t="shared" si="27"/>
        <v/>
      </c>
      <c r="Q23" t="str">
        <f t="shared" si="27"/>
        <v>W30lc</v>
      </c>
      <c r="R23" t="str">
        <f t="shared" si="27"/>
        <v/>
      </c>
      <c r="S23" t="str">
        <f t="shared" si="27"/>
        <v/>
      </c>
      <c r="T23" t="str">
        <f t="shared" si="27"/>
        <v/>
      </c>
      <c r="U23" t="str">
        <f t="shared" ref="U23" si="28">IF(U21=0,"",CONCATENATE("W",U21,LEFT(U22,1),"c"))</f>
        <v/>
      </c>
      <c r="V23" t="str">
        <f t="shared" si="27"/>
        <v/>
      </c>
    </row>
    <row r="24" spans="1:22" x14ac:dyDescent="0.25">
      <c r="A24" t="s">
        <v>280</v>
      </c>
      <c r="C24" t="str">
        <f t="shared" ref="C24:V24" si="29">CONCATENATE("wind",UPPER(LEFT(C22,1)), "C",C21)</f>
        <v>windLC0</v>
      </c>
      <c r="D24" t="str">
        <f t="shared" si="29"/>
        <v>windLC0</v>
      </c>
      <c r="E24" t="str">
        <f t="shared" si="29"/>
        <v>windLC0</v>
      </c>
      <c r="F24" t="str">
        <f t="shared" si="29"/>
        <v>windLC0</v>
      </c>
      <c r="G24" t="str">
        <f t="shared" si="29"/>
        <v>windLC0</v>
      </c>
      <c r="H24" t="str">
        <f t="shared" si="29"/>
        <v>windLC0</v>
      </c>
      <c r="I24" t="str">
        <f t="shared" si="29"/>
        <v>windLC0</v>
      </c>
      <c r="J24" t="str">
        <f t="shared" si="29"/>
        <v>windLC0</v>
      </c>
      <c r="K24" t="str">
        <f t="shared" si="29"/>
        <v>windLC10</v>
      </c>
      <c r="L24" t="str">
        <f t="shared" si="29"/>
        <v>windLC20</v>
      </c>
      <c r="M24" t="str">
        <f t="shared" si="29"/>
        <v>windLC30</v>
      </c>
      <c r="N24" t="str">
        <f t="shared" si="29"/>
        <v>windLC0</v>
      </c>
      <c r="O24" t="str">
        <f t="shared" si="29"/>
        <v>windLC0</v>
      </c>
      <c r="P24" t="str">
        <f t="shared" si="29"/>
        <v>windLC0</v>
      </c>
      <c r="Q24" t="str">
        <f t="shared" si="29"/>
        <v>windLC30</v>
      </c>
      <c r="R24" t="str">
        <f t="shared" si="29"/>
        <v>windLC0</v>
      </c>
      <c r="S24" t="str">
        <f t="shared" si="29"/>
        <v>windLC0</v>
      </c>
      <c r="T24" t="str">
        <f t="shared" si="29"/>
        <v>windLC0</v>
      </c>
      <c r="U24" t="str">
        <f t="shared" ref="U24" si="30">CONCATENATE("wind",UPPER(LEFT(U22,1)), "C",U21)</f>
        <v>windLC0</v>
      </c>
      <c r="V24" t="str">
        <f t="shared" si="29"/>
        <v>windLC0</v>
      </c>
    </row>
    <row r="25" spans="1:22" x14ac:dyDescent="0.25">
      <c r="A25" s="21" t="s">
        <v>281</v>
      </c>
      <c r="B25" s="21" t="s">
        <v>276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10</v>
      </c>
      <c r="O25" s="21">
        <v>20</v>
      </c>
      <c r="P25" s="21">
        <v>30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</row>
    <row r="26" spans="1:22" x14ac:dyDescent="0.25">
      <c r="A26" t="s">
        <v>282</v>
      </c>
      <c r="B26" t="s">
        <v>278</v>
      </c>
      <c r="C26" t="s">
        <v>258</v>
      </c>
      <c r="D26" t="s">
        <v>258</v>
      </c>
      <c r="E26" t="s">
        <v>258</v>
      </c>
      <c r="F26" t="s">
        <v>258</v>
      </c>
      <c r="G26" t="s">
        <v>258</v>
      </c>
      <c r="H26" t="s">
        <v>258</v>
      </c>
      <c r="I26" t="s">
        <v>258</v>
      </c>
      <c r="J26" t="s">
        <v>258</v>
      </c>
      <c r="K26" t="s">
        <v>258</v>
      </c>
      <c r="L26" t="s">
        <v>258</v>
      </c>
      <c r="M26" t="s">
        <v>258</v>
      </c>
      <c r="N26" t="s">
        <v>258</v>
      </c>
      <c r="O26" t="s">
        <v>258</v>
      </c>
      <c r="P26" t="s">
        <v>258</v>
      </c>
      <c r="Q26" t="s">
        <v>258</v>
      </c>
      <c r="R26" t="s">
        <v>258</v>
      </c>
      <c r="S26" t="s">
        <v>258</v>
      </c>
      <c r="T26" t="s">
        <v>258</v>
      </c>
      <c r="U26" t="s">
        <v>258</v>
      </c>
      <c r="V26" t="s">
        <v>258</v>
      </c>
    </row>
    <row r="27" spans="1:22" x14ac:dyDescent="0.25">
      <c r="A27" t="s">
        <v>283</v>
      </c>
      <c r="C27" t="str">
        <f t="shared" ref="C27:M27" si="31">IF(C25=0,"",CONCATENATE("W",C25,LEFT(C26,1),"c"))</f>
        <v/>
      </c>
      <c r="D27" t="str">
        <f t="shared" si="31"/>
        <v/>
      </c>
      <c r="E27" t="str">
        <f t="shared" si="31"/>
        <v/>
      </c>
      <c r="F27" t="str">
        <f t="shared" si="31"/>
        <v/>
      </c>
      <c r="G27" t="str">
        <f t="shared" si="31"/>
        <v/>
      </c>
      <c r="H27" t="str">
        <f t="shared" si="31"/>
        <v/>
      </c>
      <c r="I27" t="str">
        <f t="shared" si="31"/>
        <v/>
      </c>
      <c r="J27" t="str">
        <f t="shared" si="31"/>
        <v/>
      </c>
      <c r="K27" t="str">
        <f t="shared" si="31"/>
        <v/>
      </c>
      <c r="L27" t="str">
        <f t="shared" si="31"/>
        <v/>
      </c>
      <c r="M27" t="str">
        <f t="shared" si="31"/>
        <v/>
      </c>
      <c r="N27" t="str">
        <f t="shared" ref="N27:V27" si="32">IF(N25=0,"",CONCATENATE("S",N25,LEFT(N26,1),"c"))</f>
        <v>S10lc</v>
      </c>
      <c r="O27" t="str">
        <f t="shared" si="32"/>
        <v>S20lc</v>
      </c>
      <c r="P27" t="str">
        <f t="shared" si="32"/>
        <v>S30lc</v>
      </c>
      <c r="Q27" t="str">
        <f t="shared" si="32"/>
        <v>S30lc</v>
      </c>
      <c r="R27" t="str">
        <f t="shared" si="32"/>
        <v/>
      </c>
      <c r="S27" t="str">
        <f t="shared" si="32"/>
        <v/>
      </c>
      <c r="T27" t="str">
        <f t="shared" si="32"/>
        <v/>
      </c>
      <c r="U27" t="str">
        <f t="shared" ref="U27" si="33">IF(U25=0,"",CONCATENATE("S",U25,LEFT(U26,1),"c"))</f>
        <v/>
      </c>
      <c r="V27" t="str">
        <f t="shared" si="32"/>
        <v/>
      </c>
    </row>
    <row r="28" spans="1:22" x14ac:dyDescent="0.25">
      <c r="A28" t="s">
        <v>284</v>
      </c>
      <c r="C28" t="str">
        <f t="shared" ref="C28:V28" si="34">CONCATENATE("solar",UPPER(LEFT(C26,1)), "C",C25)</f>
        <v>solarLC0</v>
      </c>
      <c r="D28" t="str">
        <f t="shared" si="34"/>
        <v>solarLC0</v>
      </c>
      <c r="E28" t="str">
        <f t="shared" si="34"/>
        <v>solarLC0</v>
      </c>
      <c r="F28" t="str">
        <f t="shared" si="34"/>
        <v>solarLC0</v>
      </c>
      <c r="G28" t="str">
        <f t="shared" si="34"/>
        <v>solarLC0</v>
      </c>
      <c r="H28" t="str">
        <f t="shared" si="34"/>
        <v>solarLC0</v>
      </c>
      <c r="I28" t="str">
        <f t="shared" si="34"/>
        <v>solarLC0</v>
      </c>
      <c r="J28" t="str">
        <f t="shared" si="34"/>
        <v>solarLC0</v>
      </c>
      <c r="K28" t="str">
        <f t="shared" si="34"/>
        <v>solarLC0</v>
      </c>
      <c r="L28" t="str">
        <f t="shared" si="34"/>
        <v>solarLC0</v>
      </c>
      <c r="M28" t="str">
        <f t="shared" si="34"/>
        <v>solarLC0</v>
      </c>
      <c r="N28" t="str">
        <f t="shared" si="34"/>
        <v>solarLC10</v>
      </c>
      <c r="O28" t="str">
        <f t="shared" si="34"/>
        <v>solarLC20</v>
      </c>
      <c r="P28" t="str">
        <f t="shared" si="34"/>
        <v>solarLC30</v>
      </c>
      <c r="Q28" t="str">
        <f t="shared" si="34"/>
        <v>solarLC30</v>
      </c>
      <c r="R28" t="str">
        <f t="shared" si="34"/>
        <v>solarLC0</v>
      </c>
      <c r="S28" t="str">
        <f t="shared" si="34"/>
        <v>solarLC0</v>
      </c>
      <c r="T28" t="str">
        <f t="shared" si="34"/>
        <v>solarLC0</v>
      </c>
      <c r="U28" t="str">
        <f t="shared" ref="U28" si="35">CONCATENATE("solar",UPPER(LEFT(U26,1)), "C",U25)</f>
        <v>solarLC0</v>
      </c>
      <c r="V28" t="str">
        <f t="shared" si="34"/>
        <v>solarLC0</v>
      </c>
    </row>
    <row r="29" spans="1:22" x14ac:dyDescent="0.25">
      <c r="A29" s="21" t="s">
        <v>285</v>
      </c>
      <c r="B29" s="21" t="s">
        <v>286</v>
      </c>
      <c r="C29" s="21">
        <v>80</v>
      </c>
      <c r="D29" s="21">
        <v>80</v>
      </c>
      <c r="E29" s="21">
        <v>80</v>
      </c>
      <c r="F29" s="21">
        <v>80</v>
      </c>
      <c r="G29" s="21">
        <v>80</v>
      </c>
      <c r="H29" s="21">
        <v>80</v>
      </c>
      <c r="I29" s="21">
        <v>80</v>
      </c>
      <c r="J29" s="21">
        <v>80</v>
      </c>
      <c r="K29" s="21">
        <v>80</v>
      </c>
      <c r="L29" s="21">
        <v>80</v>
      </c>
      <c r="M29" s="21">
        <v>80</v>
      </c>
      <c r="N29" s="21">
        <v>80</v>
      </c>
      <c r="O29" s="21">
        <v>80</v>
      </c>
      <c r="P29" s="21">
        <v>80</v>
      </c>
      <c r="Q29" s="21">
        <v>80</v>
      </c>
      <c r="R29" s="21">
        <v>120</v>
      </c>
      <c r="S29" s="21">
        <v>80</v>
      </c>
      <c r="T29" s="21">
        <v>80</v>
      </c>
      <c r="U29" s="21">
        <v>120</v>
      </c>
      <c r="V29" s="21">
        <v>80</v>
      </c>
    </row>
    <row r="30" spans="1:22" x14ac:dyDescent="0.25">
      <c r="A30" t="s">
        <v>287</v>
      </c>
      <c r="C30" t="str">
        <f t="shared" ref="C30:V30" si="36">IF(C29=80,"", CONCATENATE("W",C29))</f>
        <v/>
      </c>
      <c r="D30" t="str">
        <f t="shared" si="36"/>
        <v/>
      </c>
      <c r="E30" t="str">
        <f t="shared" si="36"/>
        <v/>
      </c>
      <c r="F30" t="str">
        <f t="shared" si="36"/>
        <v/>
      </c>
      <c r="G30" t="str">
        <f t="shared" si="36"/>
        <v/>
      </c>
      <c r="H30" t="str">
        <f t="shared" si="36"/>
        <v/>
      </c>
      <c r="I30" t="str">
        <f t="shared" si="36"/>
        <v/>
      </c>
      <c r="J30" t="str">
        <f t="shared" si="36"/>
        <v/>
      </c>
      <c r="K30" t="str">
        <f t="shared" si="36"/>
        <v/>
      </c>
      <c r="L30" t="str">
        <f t="shared" si="36"/>
        <v/>
      </c>
      <c r="M30" t="str">
        <f t="shared" si="36"/>
        <v/>
      </c>
      <c r="N30" t="str">
        <f t="shared" si="36"/>
        <v/>
      </c>
      <c r="O30" t="str">
        <f t="shared" si="36"/>
        <v/>
      </c>
      <c r="P30" t="str">
        <f t="shared" si="36"/>
        <v/>
      </c>
      <c r="Q30" t="str">
        <f t="shared" si="36"/>
        <v/>
      </c>
      <c r="R30" t="str">
        <f t="shared" si="36"/>
        <v>W120</v>
      </c>
      <c r="S30" t="str">
        <f t="shared" si="36"/>
        <v/>
      </c>
      <c r="T30" t="str">
        <f t="shared" si="36"/>
        <v/>
      </c>
      <c r="U30" t="str">
        <f t="shared" ref="U30" si="37">IF(U29=80,"", CONCATENATE("W",U29))</f>
        <v>W120</v>
      </c>
      <c r="V30" t="str">
        <f t="shared" si="36"/>
        <v/>
      </c>
    </row>
    <row r="31" spans="1:22" x14ac:dyDescent="0.25">
      <c r="A31" t="s">
        <v>288</v>
      </c>
      <c r="C31" t="str">
        <f t="shared" ref="C31:V31" si="38">CONCATENATE("W",C29)</f>
        <v>W80</v>
      </c>
      <c r="D31" t="str">
        <f t="shared" si="38"/>
        <v>W80</v>
      </c>
      <c r="E31" t="str">
        <f t="shared" si="38"/>
        <v>W80</v>
      </c>
      <c r="F31" t="str">
        <f t="shared" si="38"/>
        <v>W80</v>
      </c>
      <c r="G31" t="str">
        <f t="shared" si="38"/>
        <v>W80</v>
      </c>
      <c r="H31" t="str">
        <f t="shared" si="38"/>
        <v>W80</v>
      </c>
      <c r="I31" t="str">
        <f t="shared" si="38"/>
        <v>W80</v>
      </c>
      <c r="J31" t="str">
        <f t="shared" si="38"/>
        <v>W80</v>
      </c>
      <c r="K31" t="str">
        <f t="shared" si="38"/>
        <v>W80</v>
      </c>
      <c r="L31" t="str">
        <f t="shared" si="38"/>
        <v>W80</v>
      </c>
      <c r="M31" t="str">
        <f t="shared" si="38"/>
        <v>W80</v>
      </c>
      <c r="N31" t="str">
        <f t="shared" si="38"/>
        <v>W80</v>
      </c>
      <c r="O31" t="str">
        <f t="shared" si="38"/>
        <v>W80</v>
      </c>
      <c r="P31" t="str">
        <f t="shared" si="38"/>
        <v>W80</v>
      </c>
      <c r="Q31" t="str">
        <f t="shared" si="38"/>
        <v>W80</v>
      </c>
      <c r="R31" t="str">
        <f t="shared" si="38"/>
        <v>W120</v>
      </c>
      <c r="S31" t="str">
        <f t="shared" si="38"/>
        <v>W80</v>
      </c>
      <c r="T31" t="str">
        <f t="shared" si="38"/>
        <v>W80</v>
      </c>
      <c r="U31" t="str">
        <f t="shared" ref="U31" si="39">CONCATENATE("W",U29)</f>
        <v>W120</v>
      </c>
      <c r="V31" t="str">
        <f t="shared" si="38"/>
        <v>W80</v>
      </c>
    </row>
    <row r="32" spans="1:22" x14ac:dyDescent="0.25">
      <c r="A32" s="21" t="s">
        <v>289</v>
      </c>
      <c r="B32" s="21" t="s">
        <v>290</v>
      </c>
      <c r="C32" s="21" t="s">
        <v>291</v>
      </c>
      <c r="D32" s="21" t="s">
        <v>291</v>
      </c>
      <c r="E32" s="21" t="s">
        <v>291</v>
      </c>
      <c r="F32" s="21" t="s">
        <v>291</v>
      </c>
      <c r="G32" s="21" t="s">
        <v>291</v>
      </c>
      <c r="H32" s="21" t="s">
        <v>291</v>
      </c>
      <c r="I32" s="21" t="s">
        <v>291</v>
      </c>
      <c r="J32" s="21" t="s">
        <v>291</v>
      </c>
      <c r="K32" s="21" t="s">
        <v>291</v>
      </c>
      <c r="L32" s="21" t="s">
        <v>291</v>
      </c>
      <c r="M32" s="21" t="s">
        <v>291</v>
      </c>
      <c r="N32" s="21" t="s">
        <v>291</v>
      </c>
      <c r="O32" s="21" t="s">
        <v>291</v>
      </c>
      <c r="P32" s="21" t="s">
        <v>291</v>
      </c>
      <c r="Q32" s="21" t="s">
        <v>291</v>
      </c>
      <c r="R32" s="21" t="s">
        <v>291</v>
      </c>
      <c r="S32" s="21" t="s">
        <v>292</v>
      </c>
      <c r="T32" s="21" t="s">
        <v>293</v>
      </c>
      <c r="U32" s="21" t="s">
        <v>292</v>
      </c>
      <c r="V32" s="21" t="s">
        <v>291</v>
      </c>
    </row>
    <row r="33" spans="1:22" x14ac:dyDescent="0.25">
      <c r="A33" t="s">
        <v>294</v>
      </c>
      <c r="C33" t="str">
        <f t="shared" ref="C33:V33" si="40">IF(C32="0d", "", CONCATENATE("S",C32))</f>
        <v/>
      </c>
      <c r="D33" t="str">
        <f t="shared" si="40"/>
        <v/>
      </c>
      <c r="E33" t="str">
        <f t="shared" si="40"/>
        <v/>
      </c>
      <c r="F33" t="str">
        <f t="shared" si="40"/>
        <v/>
      </c>
      <c r="G33" t="str">
        <f t="shared" si="40"/>
        <v/>
      </c>
      <c r="H33" t="str">
        <f t="shared" si="40"/>
        <v/>
      </c>
      <c r="I33" t="str">
        <f t="shared" si="40"/>
        <v/>
      </c>
      <c r="J33" t="str">
        <f t="shared" si="40"/>
        <v/>
      </c>
      <c r="K33" t="str">
        <f t="shared" si="40"/>
        <v/>
      </c>
      <c r="L33" t="str">
        <f t="shared" si="40"/>
        <v/>
      </c>
      <c r="M33" t="str">
        <f t="shared" si="40"/>
        <v/>
      </c>
      <c r="N33" t="str">
        <f t="shared" si="40"/>
        <v/>
      </c>
      <c r="O33" t="str">
        <f t="shared" si="40"/>
        <v/>
      </c>
      <c r="P33" t="str">
        <f t="shared" si="40"/>
        <v/>
      </c>
      <c r="Q33" t="str">
        <f t="shared" si="40"/>
        <v/>
      </c>
      <c r="R33" t="str">
        <f t="shared" si="40"/>
        <v/>
      </c>
      <c r="S33" t="str">
        <f t="shared" si="40"/>
        <v>S1A</v>
      </c>
      <c r="T33" t="str">
        <f t="shared" si="40"/>
        <v>S90d</v>
      </c>
      <c r="U33" t="str">
        <f t="shared" ref="U33" si="41">IF(U32="0d", "", CONCATENATE("S",U32))</f>
        <v>S1A</v>
      </c>
      <c r="V33" t="str">
        <f t="shared" si="40"/>
        <v/>
      </c>
    </row>
    <row r="34" spans="1:22" x14ac:dyDescent="0.25">
      <c r="A34" t="s">
        <v>295</v>
      </c>
      <c r="C34" t="str">
        <f t="shared" ref="C34:V34" si="42">CONCATENATE("S",C32)</f>
        <v>S0d</v>
      </c>
      <c r="D34" t="str">
        <f t="shared" si="42"/>
        <v>S0d</v>
      </c>
      <c r="E34" t="str">
        <f t="shared" si="42"/>
        <v>S0d</v>
      </c>
      <c r="F34" t="str">
        <f t="shared" si="42"/>
        <v>S0d</v>
      </c>
      <c r="G34" t="str">
        <f t="shared" si="42"/>
        <v>S0d</v>
      </c>
      <c r="H34" t="str">
        <f t="shared" si="42"/>
        <v>S0d</v>
      </c>
      <c r="I34" t="str">
        <f t="shared" si="42"/>
        <v>S0d</v>
      </c>
      <c r="J34" t="str">
        <f t="shared" si="42"/>
        <v>S0d</v>
      </c>
      <c r="K34" t="str">
        <f t="shared" si="42"/>
        <v>S0d</v>
      </c>
      <c r="L34" t="str">
        <f t="shared" si="42"/>
        <v>S0d</v>
      </c>
      <c r="M34" t="str">
        <f t="shared" si="42"/>
        <v>S0d</v>
      </c>
      <c r="N34" t="str">
        <f t="shared" si="42"/>
        <v>S0d</v>
      </c>
      <c r="O34" t="str">
        <f t="shared" si="42"/>
        <v>S0d</v>
      </c>
      <c r="P34" t="str">
        <f t="shared" si="42"/>
        <v>S0d</v>
      </c>
      <c r="Q34" t="str">
        <f t="shared" si="42"/>
        <v>S0d</v>
      </c>
      <c r="R34" t="str">
        <f t="shared" si="42"/>
        <v>S0d</v>
      </c>
      <c r="S34" t="str">
        <f t="shared" si="42"/>
        <v>S1A</v>
      </c>
      <c r="T34" t="str">
        <f t="shared" si="42"/>
        <v>S90d</v>
      </c>
      <c r="U34" t="str">
        <f t="shared" ref="U34" si="43">CONCATENATE("S",U32)</f>
        <v>S1A</v>
      </c>
      <c r="V34" t="str">
        <f t="shared" si="42"/>
        <v>S0d</v>
      </c>
    </row>
    <row r="35" spans="1:22" x14ac:dyDescent="0.25">
      <c r="A35" s="21" t="s">
        <v>296</v>
      </c>
      <c r="B35" s="21"/>
      <c r="C35" s="21">
        <v>2014</v>
      </c>
      <c r="D35" s="21">
        <v>2014</v>
      </c>
      <c r="E35" s="21">
        <v>2014</v>
      </c>
      <c r="F35" s="21">
        <v>2014</v>
      </c>
      <c r="G35" s="21">
        <v>2014</v>
      </c>
      <c r="H35" s="21">
        <v>2014</v>
      </c>
      <c r="I35" s="21">
        <v>2014</v>
      </c>
      <c r="J35" s="21">
        <v>2014</v>
      </c>
      <c r="K35" s="21">
        <v>2014</v>
      </c>
      <c r="L35" s="21">
        <v>2014</v>
      </c>
      <c r="M35" s="21">
        <v>2014</v>
      </c>
      <c r="N35" s="21">
        <v>2014</v>
      </c>
      <c r="O35" s="21">
        <v>2014</v>
      </c>
      <c r="P35" s="21">
        <v>2014</v>
      </c>
      <c r="Q35" s="21">
        <v>2014</v>
      </c>
      <c r="R35" s="21">
        <v>2014</v>
      </c>
      <c r="S35" s="21">
        <v>2014</v>
      </c>
      <c r="T35" s="21">
        <v>2014</v>
      </c>
      <c r="U35" s="21">
        <v>2014</v>
      </c>
      <c r="V35" s="21">
        <v>2014</v>
      </c>
    </row>
    <row r="36" spans="1:22" x14ac:dyDescent="0.25">
      <c r="A36" t="s">
        <v>297</v>
      </c>
      <c r="C36" t="str">
        <f t="shared" ref="C36:V36" si="44">IF(C35=2014,"",CONCATENATE("L",C35))</f>
        <v/>
      </c>
      <c r="D36" t="str">
        <f t="shared" si="44"/>
        <v/>
      </c>
      <c r="E36" t="str">
        <f t="shared" si="44"/>
        <v/>
      </c>
      <c r="F36" t="str">
        <f t="shared" si="44"/>
        <v/>
      </c>
      <c r="G36" t="str">
        <f t="shared" si="44"/>
        <v/>
      </c>
      <c r="H36" t="str">
        <f t="shared" si="44"/>
        <v/>
      </c>
      <c r="I36" t="str">
        <f t="shared" si="44"/>
        <v/>
      </c>
      <c r="J36" t="str">
        <f t="shared" si="44"/>
        <v/>
      </c>
      <c r="K36" t="str">
        <f t="shared" si="44"/>
        <v/>
      </c>
      <c r="L36" t="str">
        <f t="shared" si="44"/>
        <v/>
      </c>
      <c r="M36" t="str">
        <f t="shared" si="44"/>
        <v/>
      </c>
      <c r="N36" t="str">
        <f t="shared" si="44"/>
        <v/>
      </c>
      <c r="O36" t="str">
        <f t="shared" si="44"/>
        <v/>
      </c>
      <c r="P36" t="str">
        <f t="shared" si="44"/>
        <v/>
      </c>
      <c r="Q36" t="str">
        <f t="shared" si="44"/>
        <v/>
      </c>
      <c r="R36" t="str">
        <f t="shared" si="44"/>
        <v/>
      </c>
      <c r="S36" t="str">
        <f t="shared" si="44"/>
        <v/>
      </c>
      <c r="T36" t="str">
        <f t="shared" si="44"/>
        <v/>
      </c>
      <c r="U36" t="str">
        <f t="shared" ref="U36" si="45">IF(U35=2014,"",CONCATENATE("L",U35))</f>
        <v/>
      </c>
      <c r="V36" t="str">
        <f t="shared" si="44"/>
        <v/>
      </c>
    </row>
    <row r="37" spans="1:22" x14ac:dyDescent="0.25">
      <c r="A37" s="21" t="s">
        <v>298</v>
      </c>
      <c r="B37" s="21" t="s">
        <v>299</v>
      </c>
      <c r="C37" s="21" t="s">
        <v>300</v>
      </c>
      <c r="D37" s="21" t="s">
        <v>300</v>
      </c>
      <c r="E37" s="21" t="s">
        <v>300</v>
      </c>
      <c r="F37" s="21" t="s">
        <v>300</v>
      </c>
      <c r="G37" s="21" t="s">
        <v>300</v>
      </c>
      <c r="H37" s="21" t="s">
        <v>300</v>
      </c>
      <c r="I37" s="21" t="s">
        <v>300</v>
      </c>
      <c r="J37" s="21" t="s">
        <v>300</v>
      </c>
      <c r="K37" s="21" t="s">
        <v>300</v>
      </c>
      <c r="L37" s="21" t="s">
        <v>300</v>
      </c>
      <c r="M37" s="21" t="s">
        <v>300</v>
      </c>
      <c r="N37" s="21" t="s">
        <v>300</v>
      </c>
      <c r="O37" s="21" t="s">
        <v>300</v>
      </c>
      <c r="P37" s="21" t="s">
        <v>300</v>
      </c>
      <c r="Q37" s="21" t="s">
        <v>300</v>
      </c>
      <c r="R37" s="21" t="s">
        <v>300</v>
      </c>
      <c r="S37" s="21" t="s">
        <v>300</v>
      </c>
      <c r="T37" s="21" t="s">
        <v>300</v>
      </c>
      <c r="U37" s="21" t="s">
        <v>300</v>
      </c>
      <c r="V37" s="21" t="s">
        <v>301</v>
      </c>
    </row>
    <row r="38" spans="1:22" x14ac:dyDescent="0.25">
      <c r="A38" t="s">
        <v>302</v>
      </c>
      <c r="C38" t="str">
        <f t="shared" ref="C38:V38" si="46">IF(C37="none","",CONCATENATE("L",C37))</f>
        <v/>
      </c>
      <c r="D38" t="str">
        <f t="shared" si="46"/>
        <v/>
      </c>
      <c r="E38" t="str">
        <f t="shared" si="46"/>
        <v/>
      </c>
      <c r="F38" t="str">
        <f t="shared" si="46"/>
        <v/>
      </c>
      <c r="G38" t="str">
        <f t="shared" si="46"/>
        <v/>
      </c>
      <c r="H38" t="str">
        <f t="shared" si="46"/>
        <v/>
      </c>
      <c r="I38" t="str">
        <f t="shared" si="46"/>
        <v/>
      </c>
      <c r="J38" t="str">
        <f t="shared" si="46"/>
        <v/>
      </c>
      <c r="K38" t="str">
        <f t="shared" si="46"/>
        <v/>
      </c>
      <c r="L38" t="str">
        <f t="shared" si="46"/>
        <v/>
      </c>
      <c r="M38" t="str">
        <f t="shared" si="46"/>
        <v/>
      </c>
      <c r="N38" t="str">
        <f t="shared" si="46"/>
        <v/>
      </c>
      <c r="O38" t="str">
        <f t="shared" si="46"/>
        <v/>
      </c>
      <c r="P38" t="str">
        <f t="shared" si="46"/>
        <v/>
      </c>
      <c r="Q38" t="str">
        <f t="shared" si="46"/>
        <v/>
      </c>
      <c r="R38" t="str">
        <f t="shared" si="46"/>
        <v/>
      </c>
      <c r="S38" t="str">
        <f t="shared" si="46"/>
        <v/>
      </c>
      <c r="T38" t="str">
        <f t="shared" si="46"/>
        <v/>
      </c>
      <c r="U38" t="str">
        <f t="shared" ref="U38" si="47">IF(U37="none","",CONCATENATE("L",U37))</f>
        <v/>
      </c>
      <c r="V38" t="str">
        <f t="shared" si="46"/>
        <v>Lmod</v>
      </c>
    </row>
    <row r="39" spans="1:22" x14ac:dyDescent="0.25">
      <c r="A39" s="21" t="s">
        <v>303</v>
      </c>
      <c r="B39" s="21" t="s">
        <v>304</v>
      </c>
      <c r="C39" s="21" t="s">
        <v>305</v>
      </c>
      <c r="D39" s="21" t="s">
        <v>305</v>
      </c>
      <c r="E39" s="21" t="s">
        <v>305</v>
      </c>
      <c r="F39" s="21" t="s">
        <v>305</v>
      </c>
      <c r="G39" s="21" t="s">
        <v>305</v>
      </c>
      <c r="H39" s="21" t="s">
        <v>305</v>
      </c>
      <c r="I39" s="21" t="s">
        <v>305</v>
      </c>
      <c r="J39" s="21" t="s">
        <v>305</v>
      </c>
      <c r="K39" s="21" t="s">
        <v>305</v>
      </c>
      <c r="L39" s="21" t="s">
        <v>305</v>
      </c>
      <c r="M39" s="21" t="s">
        <v>305</v>
      </c>
      <c r="N39" s="21" t="s">
        <v>305</v>
      </c>
      <c r="O39" s="21" t="s">
        <v>305</v>
      </c>
      <c r="P39" s="21" t="s">
        <v>305</v>
      </c>
      <c r="Q39" s="21" t="s">
        <v>305</v>
      </c>
      <c r="R39" s="21" t="s">
        <v>305</v>
      </c>
      <c r="S39" s="21" t="s">
        <v>305</v>
      </c>
      <c r="T39" s="21" t="s">
        <v>305</v>
      </c>
      <c r="U39" s="21" t="s">
        <v>305</v>
      </c>
      <c r="V39" s="21" t="s">
        <v>305</v>
      </c>
    </row>
    <row r="40" spans="1:22" x14ac:dyDescent="0.25">
      <c r="A40" t="s">
        <v>306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307</v>
      </c>
      <c r="C41" t="str">
        <f t="shared" ref="C41:V41" si="48">IF(C39="RT","",CONCATENATE(C39,C40))</f>
        <v/>
      </c>
      <c r="D41" t="str">
        <f t="shared" si="48"/>
        <v/>
      </c>
      <c r="E41" t="str">
        <f t="shared" si="48"/>
        <v/>
      </c>
      <c r="F41" t="str">
        <f t="shared" si="48"/>
        <v/>
      </c>
      <c r="G41" t="str">
        <f t="shared" si="48"/>
        <v/>
      </c>
      <c r="H41" t="str">
        <f t="shared" si="48"/>
        <v/>
      </c>
      <c r="I41" t="str">
        <f t="shared" si="48"/>
        <v/>
      </c>
      <c r="J41" t="str">
        <f t="shared" si="48"/>
        <v/>
      </c>
      <c r="K41" t="str">
        <f t="shared" si="48"/>
        <v/>
      </c>
      <c r="L41" t="str">
        <f t="shared" si="48"/>
        <v/>
      </c>
      <c r="M41" t="str">
        <f t="shared" si="48"/>
        <v/>
      </c>
      <c r="N41" t="str">
        <f t="shared" si="48"/>
        <v/>
      </c>
      <c r="O41" t="str">
        <f t="shared" si="48"/>
        <v/>
      </c>
      <c r="P41" t="str">
        <f t="shared" si="48"/>
        <v/>
      </c>
      <c r="Q41" t="str">
        <f t="shared" si="48"/>
        <v/>
      </c>
      <c r="R41" t="str">
        <f t="shared" si="48"/>
        <v/>
      </c>
      <c r="S41" t="str">
        <f t="shared" si="48"/>
        <v/>
      </c>
      <c r="T41" t="str">
        <f t="shared" si="48"/>
        <v/>
      </c>
      <c r="U41" t="str">
        <f t="shared" ref="U41" si="49">IF(U39="RT","",CONCATENATE(U39,U40))</f>
        <v/>
      </c>
      <c r="V41" t="str">
        <f t="shared" si="48"/>
        <v/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319</v>
      </c>
      <c r="D1" t="s">
        <v>318</v>
      </c>
      <c r="H1" t="s">
        <v>317</v>
      </c>
    </row>
    <row r="2" spans="1:8" x14ac:dyDescent="0.25">
      <c r="A2" t="s">
        <v>316</v>
      </c>
      <c r="D2" t="s">
        <v>315</v>
      </c>
      <c r="E2" t="s">
        <v>314</v>
      </c>
      <c r="F2" t="s">
        <v>313</v>
      </c>
      <c r="H2" t="s">
        <v>312</v>
      </c>
    </row>
    <row r="3" spans="1:8" x14ac:dyDescent="0.25">
      <c r="A3" t="s">
        <v>310</v>
      </c>
      <c r="B3" t="s">
        <v>237</v>
      </c>
      <c r="C3" t="s">
        <v>311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310</v>
      </c>
      <c r="B4" t="s">
        <v>237</v>
      </c>
      <c r="C4" t="s">
        <v>308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310</v>
      </c>
      <c r="B5" t="s">
        <v>309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310</v>
      </c>
      <c r="B6" t="s">
        <v>309</v>
      </c>
      <c r="C6" t="s">
        <v>308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3" max="3" width="14.140625" bestFit="1" customWidth="1"/>
    <col min="4" max="4" width="10.7109375" bestFit="1" customWidth="1"/>
  </cols>
  <sheetData>
    <row r="1" spans="1:4" x14ac:dyDescent="0.25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 x14ac:dyDescent="0.25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 x14ac:dyDescent="0.25">
      <c r="A3" t="s">
        <v>418</v>
      </c>
      <c r="B3" t="s">
        <v>420</v>
      </c>
    </row>
    <row r="4" spans="1:4" x14ac:dyDescent="0.25">
      <c r="A4" t="s">
        <v>419</v>
      </c>
      <c r="B4" t="s">
        <v>420</v>
      </c>
    </row>
    <row r="5" spans="1:4" x14ac:dyDescent="0.25">
      <c r="A5" t="s">
        <v>415</v>
      </c>
      <c r="B5" t="s">
        <v>420</v>
      </c>
    </row>
    <row r="6" spans="1:4" x14ac:dyDescent="0.25">
      <c r="A6" t="s">
        <v>416</v>
      </c>
      <c r="B6" t="s">
        <v>420</v>
      </c>
    </row>
    <row r="7" spans="1:4" x14ac:dyDescent="0.25">
      <c r="A7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3"/>
  <sheetViews>
    <sheetView topLeftCell="P22" workbookViewId="0">
      <selection activeCell="Q35" sqref="Q35"/>
    </sheetView>
  </sheetViews>
  <sheetFormatPr defaultRowHeight="15" x14ac:dyDescent="0.25"/>
  <cols>
    <col min="1" max="1" width="42.285156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5703125" customWidth="1"/>
    <col min="21" max="21" width="24.5703125" customWidth="1"/>
    <col min="22" max="22" width="12" customWidth="1"/>
    <col min="23" max="23" width="22.140625" bestFit="1" customWidth="1"/>
    <col min="24" max="24" width="7.42578125" customWidth="1"/>
    <col min="25" max="25" width="23.5703125" bestFit="1" customWidth="1"/>
    <col min="26" max="26" width="9.7109375" customWidth="1"/>
    <col min="27" max="27" width="26.140625" bestFit="1" customWidth="1"/>
    <col min="28" max="28" width="6.85546875" bestFit="1" customWidth="1"/>
    <col min="29" max="29" width="20.57031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5703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229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210</v>
      </c>
      <c r="AF3" t="s">
        <v>219</v>
      </c>
      <c r="AH3" t="s">
        <v>214</v>
      </c>
      <c r="AI3" t="s">
        <v>218</v>
      </c>
      <c r="AK3" t="s">
        <v>225</v>
      </c>
      <c r="AL3" t="s">
        <v>228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167</v>
      </c>
      <c r="U4" s="5">
        <f>'Data and sources'!D17</f>
        <v>976.42784318082204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223</v>
      </c>
      <c r="AE4">
        <v>1100</v>
      </c>
      <c r="AF4">
        <v>15</v>
      </c>
      <c r="AG4" t="s">
        <v>223</v>
      </c>
      <c r="AH4">
        <v>900</v>
      </c>
      <c r="AI4">
        <v>10</v>
      </c>
      <c r="AJ4" t="s">
        <v>223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169</v>
      </c>
      <c r="U5" s="5">
        <f>'Data and sources'!D8</f>
        <v>3233.3116144883943</v>
      </c>
      <c r="V5" t="s">
        <v>171</v>
      </c>
      <c r="X5" t="s">
        <v>176</v>
      </c>
      <c r="Z5" t="s">
        <v>178</v>
      </c>
      <c r="AB5" t="s">
        <v>181</v>
      </c>
      <c r="AC5">
        <f>'Data and sources'!B50</f>
        <v>10</v>
      </c>
      <c r="AD5" t="s">
        <v>211</v>
      </c>
      <c r="AE5">
        <f>AE$4*0.9</f>
        <v>990</v>
      </c>
      <c r="AF5">
        <v>15</v>
      </c>
      <c r="AG5" t="s">
        <v>215</v>
      </c>
      <c r="AH5">
        <f>AH$4*0.9</f>
        <v>810</v>
      </c>
      <c r="AI5">
        <v>10</v>
      </c>
      <c r="AJ5" t="s">
        <v>226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212</v>
      </c>
      <c r="AE6">
        <f>AE$4*0.8</f>
        <v>880</v>
      </c>
      <c r="AF6">
        <v>15</v>
      </c>
      <c r="AG6" t="s">
        <v>216</v>
      </c>
      <c r="AH6">
        <f>AH$4*0.8</f>
        <v>720</v>
      </c>
      <c r="AI6">
        <v>10</v>
      </c>
    </row>
    <row r="7" spans="1:38" x14ac:dyDescent="0.25">
      <c r="A7" t="s">
        <v>33</v>
      </c>
      <c r="B7" s="4">
        <f>B6/E1</f>
        <v>2.6153846153846154</v>
      </c>
      <c r="AD7" t="s">
        <v>213</v>
      </c>
      <c r="AE7">
        <f>AE$4*0.7</f>
        <v>770</v>
      </c>
      <c r="AF7">
        <v>15</v>
      </c>
      <c r="AG7" t="s">
        <v>217</v>
      </c>
      <c r="AH7">
        <f>AH$4*0.7</f>
        <v>630</v>
      </c>
      <c r="AI7">
        <v>10</v>
      </c>
    </row>
    <row r="8" spans="1:38" x14ac:dyDescent="0.25">
      <c r="A8" t="s">
        <v>28</v>
      </c>
      <c r="B8">
        <v>3900</v>
      </c>
      <c r="R8" s="7" t="s">
        <v>414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>CONCATENATE(S10,IF(S11="base", "", S11),IF(S12="base", "", S12), IF(S13="base", "", S13))</f>
        <v>coallc</v>
      </c>
      <c r="T9" t="str">
        <f t="shared" ref="T9:W9" si="0">CONCATENATE(T10,IF(T11="base", "", T11),IF(T12="base", "", T12), IF(T13="base", "", T13))</f>
        <v>coalhc</v>
      </c>
      <c r="U9" t="str">
        <f t="shared" si="0"/>
        <v>coallcW30lc</v>
      </c>
      <c r="V9" t="str">
        <f t="shared" si="0"/>
        <v>coallcS30lc</v>
      </c>
      <c r="W9" t="str">
        <f t="shared" si="0"/>
        <v>coallcW30lcS30lc</v>
      </c>
    </row>
    <row r="10" spans="1:38" x14ac:dyDescent="0.25">
      <c r="A10" t="s">
        <v>29</v>
      </c>
      <c r="B10" s="5">
        <f>B6*B9</f>
        <v>2773.9920000000002</v>
      </c>
      <c r="R10" t="s">
        <v>220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</row>
    <row r="11" spans="1:38" x14ac:dyDescent="0.25">
      <c r="A11" t="s">
        <v>31</v>
      </c>
      <c r="B11" s="4">
        <f>B10/E1</f>
        <v>42.6768</v>
      </c>
      <c r="R11" t="s">
        <v>221</v>
      </c>
      <c r="S11" t="s">
        <v>223</v>
      </c>
      <c r="T11" t="s">
        <v>223</v>
      </c>
      <c r="U11" t="s">
        <v>213</v>
      </c>
      <c r="V11" t="s">
        <v>223</v>
      </c>
      <c r="W11" t="s">
        <v>213</v>
      </c>
    </row>
    <row r="12" spans="1:38" x14ac:dyDescent="0.25">
      <c r="A12" t="s">
        <v>96</v>
      </c>
      <c r="B12" s="4">
        <f>D35/B8</f>
        <v>0.57692307692307687</v>
      </c>
      <c r="R12" t="s">
        <v>222</v>
      </c>
      <c r="S12" t="s">
        <v>223</v>
      </c>
      <c r="T12" t="s">
        <v>223</v>
      </c>
      <c r="U12" t="s">
        <v>223</v>
      </c>
      <c r="V12" t="s">
        <v>217</v>
      </c>
      <c r="W12" t="s">
        <v>217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224</v>
      </c>
      <c r="S13" t="s">
        <v>223</v>
      </c>
      <c r="T13" t="s">
        <v>223</v>
      </c>
      <c r="U13" t="s">
        <v>223</v>
      </c>
      <c r="V13" t="s">
        <v>223</v>
      </c>
      <c r="W13" t="s">
        <v>223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>$R$5</f>
        <v>7.0000000000000007E-2</v>
      </c>
      <c r="T14" s="1">
        <f>$R$5</f>
        <v>7.0000000000000007E-2</v>
      </c>
      <c r="U14" s="1">
        <f>$R$5</f>
        <v>7.0000000000000007E-2</v>
      </c>
      <c r="V14" s="1">
        <f>$R$5</f>
        <v>7.0000000000000007E-2</v>
      </c>
      <c r="W14" s="1">
        <f>$R$5</f>
        <v>7.0000000000000007E-2</v>
      </c>
    </row>
    <row r="15" spans="1:38" x14ac:dyDescent="0.25">
      <c r="R15" t="s">
        <v>189</v>
      </c>
      <c r="S15" s="2">
        <f>$S$5</f>
        <v>8.5810517220665614E-2</v>
      </c>
      <c r="T15" s="2">
        <f>$S$5</f>
        <v>8.5810517220665614E-2</v>
      </c>
      <c r="U15" s="2">
        <f>$S$5</f>
        <v>8.5810517220665614E-2</v>
      </c>
      <c r="V15" s="2">
        <f>$S$5</f>
        <v>8.5810517220665614E-2</v>
      </c>
      <c r="W15" s="2">
        <f>$S$5</f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23" x14ac:dyDescent="0.25">
      <c r="A17" t="s">
        <v>38</v>
      </c>
      <c r="B17" s="4">
        <f>B16/E1</f>
        <v>3.6923076923076925</v>
      </c>
      <c r="Q17" t="s">
        <v>208</v>
      </c>
      <c r="R17" t="s">
        <v>60</v>
      </c>
      <c r="S17" s="5">
        <f>$Y$4</f>
        <v>678.26769230769241</v>
      </c>
      <c r="T17" s="5">
        <f>$Y$4</f>
        <v>678.26769230769241</v>
      </c>
      <c r="U17" s="5">
        <f>$Y$4</f>
        <v>678.26769230769241</v>
      </c>
      <c r="V17" s="5">
        <f>$Y$4</f>
        <v>678.26769230769241</v>
      </c>
      <c r="W17" s="5">
        <f>$Y$4</f>
        <v>678.26769230769241</v>
      </c>
    </row>
    <row r="18" spans="1:23" x14ac:dyDescent="0.25">
      <c r="A18" t="s">
        <v>163</v>
      </c>
      <c r="B18">
        <f>'Data and sources'!B50</f>
        <v>10</v>
      </c>
      <c r="Q18" t="s">
        <v>209</v>
      </c>
      <c r="R18" t="s">
        <v>58</v>
      </c>
      <c r="S18">
        <f>$AC$5</f>
        <v>10</v>
      </c>
      <c r="T18">
        <f>$AC$5</f>
        <v>10</v>
      </c>
      <c r="U18">
        <f>$AC$5</f>
        <v>10</v>
      </c>
      <c r="V18">
        <f>$AC$5</f>
        <v>10</v>
      </c>
      <c r="W18">
        <f>$AC$5</f>
        <v>10</v>
      </c>
    </row>
    <row r="19" spans="1:23" x14ac:dyDescent="0.25">
      <c r="A19" t="s">
        <v>165</v>
      </c>
      <c r="B19" s="4">
        <f>B18/E3</f>
        <v>9.4786729857819907</v>
      </c>
      <c r="R19" t="s">
        <v>20</v>
      </c>
      <c r="S19" s="5">
        <f>S$17*S$15+$B$32</f>
        <v>65.002501490990369</v>
      </c>
      <c r="T19" s="5">
        <f>T$17*T$15+$B$32</f>
        <v>65.002501490990369</v>
      </c>
      <c r="U19" s="5">
        <f>U$17*U$15+$B$32</f>
        <v>65.002501490990369</v>
      </c>
      <c r="V19" s="5">
        <f>V$17*V$15+$B$32</f>
        <v>65.002501490990369</v>
      </c>
      <c r="W19" s="5">
        <f>W$17*W$15+$B$32</f>
        <v>65.002501490990369</v>
      </c>
    </row>
    <row r="20" spans="1:23" x14ac:dyDescent="0.25">
      <c r="A20" t="s">
        <v>47</v>
      </c>
      <c r="B20">
        <f>'Data and sources'!B33</f>
        <v>3065</v>
      </c>
      <c r="C20" t="s">
        <v>48</v>
      </c>
      <c r="R20" t="s">
        <v>32</v>
      </c>
      <c r="S20" s="5">
        <f>($B$34*S$18*10^-3 + $B$33)/(1-$B$46)</f>
        <v>126.97417171717171</v>
      </c>
      <c r="T20" s="5">
        <f>($B$34*T$18*10^-3 + $B$33)/(1-$B$46)</f>
        <v>126.97417171717171</v>
      </c>
      <c r="U20" s="5">
        <f>($B$34*U$18*10^-3 + $B$33)/(1-$B$46)</f>
        <v>126.97417171717171</v>
      </c>
      <c r="V20" s="5">
        <f>($B$34*V$18*10^-3 + $B$33)/(1-$B$46)</f>
        <v>126.97417171717171</v>
      </c>
      <c r="W20" s="5">
        <f>($B$34*W$18*10^-3 + $B$33)/(1-$B$46)</f>
        <v>126.97417171717171</v>
      </c>
    </row>
    <row r="21" spans="1:23" x14ac:dyDescent="0.25">
      <c r="A21" t="s">
        <v>49</v>
      </c>
      <c r="B21">
        <f>'Data and sources'!C33</f>
        <v>2071</v>
      </c>
      <c r="C21" t="s">
        <v>48</v>
      </c>
    </row>
    <row r="22" spans="1:23" x14ac:dyDescent="0.25">
      <c r="A22" t="s">
        <v>47</v>
      </c>
      <c r="B22">
        <f>'Data and sources'!B34</f>
        <v>2900</v>
      </c>
      <c r="C22" t="s">
        <v>132</v>
      </c>
      <c r="R22" s="7" t="s">
        <v>2</v>
      </c>
    </row>
    <row r="23" spans="1:23" x14ac:dyDescent="0.25">
      <c r="A23" t="s">
        <v>49</v>
      </c>
      <c r="B23">
        <f>'Data and sources'!C34</f>
        <v>2000</v>
      </c>
      <c r="C23" t="s">
        <v>132</v>
      </c>
      <c r="Q23" t="s">
        <v>208</v>
      </c>
      <c r="R23" t="s">
        <v>61</v>
      </c>
      <c r="S23" s="5">
        <f>$AA$4</f>
        <v>775.16307692307703</v>
      </c>
      <c r="T23" s="5">
        <f>$AA$4</f>
        <v>775.16307692307703</v>
      </c>
      <c r="U23" s="5">
        <f>$AA$4</f>
        <v>775.16307692307703</v>
      </c>
      <c r="V23" s="5">
        <f>$AA$4</f>
        <v>775.16307692307703</v>
      </c>
      <c r="W23" s="5">
        <f>$AA$4</f>
        <v>775.16307692307703</v>
      </c>
    </row>
    <row r="24" spans="1:23" x14ac:dyDescent="0.25">
      <c r="A24" t="s">
        <v>133</v>
      </c>
      <c r="B24">
        <f>'Data and sources'!D34</f>
        <v>2250</v>
      </c>
      <c r="C24" t="s">
        <v>132</v>
      </c>
      <c r="R24" t="s">
        <v>20</v>
      </c>
      <c r="S24" s="5">
        <f>S$23*S$15+$C$32</f>
        <v>77.517144561131843</v>
      </c>
      <c r="T24" s="5">
        <f>T$23*T$15+$C$32</f>
        <v>77.517144561131843</v>
      </c>
      <c r="U24" s="5">
        <f>U$23*U$15+$C$32</f>
        <v>77.517144561131843</v>
      </c>
      <c r="V24" s="5">
        <f>V$23*V$15+$C$32</f>
        <v>77.517144561131843</v>
      </c>
      <c r="W24" s="5">
        <f>W$23*W$15+$C$32</f>
        <v>77.517144561131843</v>
      </c>
    </row>
    <row r="25" spans="1:23" x14ac:dyDescent="0.25">
      <c r="A25" t="s">
        <v>52</v>
      </c>
      <c r="B25">
        <v>10390</v>
      </c>
      <c r="C25" t="s">
        <v>51</v>
      </c>
      <c r="R25" t="s">
        <v>32</v>
      </c>
      <c r="S25" s="5">
        <f>($C$34*S$18*10^-3 + $C$33)/(1-$C$46)</f>
        <v>84.936820512820518</v>
      </c>
      <c r="T25" s="5">
        <f>($C$34*T$18*10^-3 + $C$33)/(1-$C$46)</f>
        <v>84.936820512820518</v>
      </c>
      <c r="U25" s="5">
        <f>($C$34*U$18*10^-3 + $C$33)/(1-$C$46)</f>
        <v>84.936820512820518</v>
      </c>
      <c r="V25" s="5">
        <f>($C$34*V$18*10^-3 + $C$33)/(1-$C$46)</f>
        <v>84.936820512820518</v>
      </c>
      <c r="W25" s="5">
        <f>($C$34*W$18*10^-3 + $C$33)/(1-$C$46)</f>
        <v>84.936820512820518</v>
      </c>
    </row>
    <row r="26" spans="1:23" x14ac:dyDescent="0.25">
      <c r="A26" t="s">
        <v>53</v>
      </c>
      <c r="B26">
        <v>6705</v>
      </c>
      <c r="C26" t="s">
        <v>51</v>
      </c>
    </row>
    <row r="27" spans="1:23" x14ac:dyDescent="0.25">
      <c r="R27" s="7" t="s">
        <v>3</v>
      </c>
    </row>
    <row r="28" spans="1:23" x14ac:dyDescent="0.25">
      <c r="A28" t="s">
        <v>43</v>
      </c>
      <c r="Q28" t="s">
        <v>208</v>
      </c>
      <c r="R28" t="s">
        <v>62</v>
      </c>
      <c r="S28" s="5">
        <f>$U$4</f>
        <v>976.42784318082204</v>
      </c>
      <c r="T28" s="5">
        <f>$U$5</f>
        <v>3233.3116144883943</v>
      </c>
      <c r="U28" s="5">
        <f>$U$4</f>
        <v>976.42784318082204</v>
      </c>
      <c r="V28" s="5">
        <f>$U$4</f>
        <v>976.42784318082204</v>
      </c>
      <c r="W28" s="5">
        <f>$U$4</f>
        <v>976.42784318082204</v>
      </c>
    </row>
    <row r="29" spans="1:23" x14ac:dyDescent="0.25">
      <c r="A29" s="7" t="s">
        <v>16</v>
      </c>
      <c r="Q29" t="s">
        <v>209</v>
      </c>
      <c r="R29" t="s">
        <v>183</v>
      </c>
      <c r="S29" s="4">
        <f>$W$4</f>
        <v>2.6153846153846154</v>
      </c>
      <c r="T29" s="4">
        <f>$W$4</f>
        <v>2.6153846153846154</v>
      </c>
      <c r="U29" s="4">
        <f>$W$4</f>
        <v>2.6153846153846154</v>
      </c>
      <c r="V29" s="4">
        <f>$W$4</f>
        <v>2.6153846153846154</v>
      </c>
      <c r="W29" s="4">
        <f>$W$4</f>
        <v>2.6153846153846154</v>
      </c>
    </row>
    <row r="30" spans="1:23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>S$28*S$15+$D$32</f>
        <v>125.88777825200532</v>
      </c>
      <c r="T30" s="5">
        <f>T$28*T$15+$D$32</f>
        <v>319.55214197483451</v>
      </c>
      <c r="U30" s="5">
        <f>U$28*U$15+$D$32</f>
        <v>125.88777825200532</v>
      </c>
      <c r="V30" s="5">
        <f>V$28*V$15+$D$32</f>
        <v>125.88777825200532</v>
      </c>
      <c r="W30" s="5">
        <f>W$28*W$15+$D$32</f>
        <v>125.88777825200532</v>
      </c>
    </row>
    <row r="31" spans="1:23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>B31*$E$1</f>
        <v>44087.400000000009</v>
      </c>
      <c r="I31">
        <f>C31*$E$1</f>
        <v>50385.600000000006</v>
      </c>
      <c r="J31">
        <f>D31*$E$1</f>
        <v>63467.80980675343</v>
      </c>
      <c r="R31" t="s">
        <v>32</v>
      </c>
      <c r="S31" s="5">
        <f>($D$34*S$29*$E$3*10^-3 + $D$33)/(1-$D$46)</f>
        <v>32.466607822649564</v>
      </c>
      <c r="T31" s="5">
        <f>($D$34*T$29*$E$3*10^-3 + $D$33)/(1-$D$46)</f>
        <v>32.466607822649564</v>
      </c>
      <c r="U31" s="5">
        <f>($D$34*U$29*$E$3*10^-3 + $D$33)/(1-$D$46)</f>
        <v>32.466607822649564</v>
      </c>
      <c r="V31" s="5">
        <f>($D$34*V$29*$E$3*10^-3 + $D$33)/(1-$D$46)</f>
        <v>32.466607822649564</v>
      </c>
      <c r="W31" s="5">
        <f>($D$34*W$29*$E$3*10^-3 + $D$33)/(1-$D$46)</f>
        <v>32.466607822649564</v>
      </c>
    </row>
    <row r="32" spans="1:23" x14ac:dyDescent="0.25">
      <c r="A32" t="s">
        <v>6</v>
      </c>
      <c r="B32" s="4">
        <f>'Data and sources'!B24</f>
        <v>6.8</v>
      </c>
      <c r="C32" s="4">
        <f>'Data and sources'!C24</f>
        <v>11</v>
      </c>
      <c r="D32" s="4">
        <f>'Data and sources'!D24</f>
        <v>42.1</v>
      </c>
      <c r="G32" t="s">
        <v>14</v>
      </c>
      <c r="H32" s="5">
        <f t="shared" ref="H32" si="1">B32*$E$1</f>
        <v>442</v>
      </c>
      <c r="I32" s="5">
        <f t="shared" ref="I32:I33" si="2">C32*$E$1</f>
        <v>715</v>
      </c>
      <c r="J32" s="5">
        <f t="shared" ref="J32:J33" si="3">D32*$E$1</f>
        <v>2736.5</v>
      </c>
    </row>
    <row r="33" spans="1:23" x14ac:dyDescent="0.25">
      <c r="A33" t="s">
        <v>7</v>
      </c>
      <c r="B33" s="5">
        <f>'Data and sources'!B25</f>
        <v>10.7</v>
      </c>
      <c r="C33" s="5">
        <f>'Data and sources'!C25</f>
        <v>3.5</v>
      </c>
      <c r="D33" s="5">
        <f>'Data and sources'!D25</f>
        <v>4.5999999999999996</v>
      </c>
      <c r="G33" t="s">
        <v>15</v>
      </c>
      <c r="H33" s="5">
        <f>B33*$E$1</f>
        <v>695.5</v>
      </c>
      <c r="I33" s="5">
        <f t="shared" si="2"/>
        <v>227.5</v>
      </c>
      <c r="J33" s="5">
        <f t="shared" si="3"/>
        <v>299</v>
      </c>
      <c r="P33" s="5"/>
      <c r="R33" s="7" t="s">
        <v>190</v>
      </c>
    </row>
    <row r="34" spans="1:23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230</v>
      </c>
      <c r="R34" t="s">
        <v>55</v>
      </c>
      <c r="S34" s="2">
        <f>(S24-S19)*1000/(S20-S25)/8760</f>
        <v>3.3984353954038309E-2</v>
      </c>
      <c r="T34" s="2">
        <f>(T24-T19)*1000/(T20-T25)/8760</f>
        <v>3.3984353954038309E-2</v>
      </c>
      <c r="U34" s="2">
        <f>(U24-U19)*1000/(U20-U25)/8760</f>
        <v>3.3984353954038309E-2</v>
      </c>
      <c r="V34" s="2">
        <f>(V24-V19)*1000/(V20-V25)/8760</f>
        <v>3.3984353954038309E-2</v>
      </c>
      <c r="W34" s="2">
        <f>(W24-W19)*1000/(W20-W25)/8760</f>
        <v>3.3984353954038309E-2</v>
      </c>
    </row>
    <row r="35" spans="1:23" x14ac:dyDescent="0.25">
      <c r="A35" t="s">
        <v>74</v>
      </c>
      <c r="B35">
        <f>B34/$E$4</f>
        <v>2900</v>
      </c>
      <c r="C35">
        <f t="shared" ref="C35:D35" si="4">C34/$E$4</f>
        <v>2000</v>
      </c>
      <c r="D35" s="5">
        <f t="shared" si="4"/>
        <v>2250</v>
      </c>
      <c r="E35" t="s">
        <v>45</v>
      </c>
      <c r="F35" t="s">
        <v>77</v>
      </c>
      <c r="R35" t="s">
        <v>56</v>
      </c>
      <c r="S35" s="2">
        <f>(S30-S24)*1000/(S25-S31)/8760</f>
        <v>0.10523612453151106</v>
      </c>
      <c r="T35" s="2">
        <f>(T30-T24)*1000/(T25-T31)/8760</f>
        <v>0.52657621340235172</v>
      </c>
      <c r="U35" s="2">
        <f>(U30-U24)*1000/(U25-U31)/8760</f>
        <v>0.10523612453151106</v>
      </c>
      <c r="V35" s="2">
        <f>(V30-V24)*1000/(V25-V31)/8760</f>
        <v>0.10523612453151106</v>
      </c>
      <c r="W35" s="2">
        <f>(W30-W24)*1000/(W25-W31)/8760</f>
        <v>0.10523612453151106</v>
      </c>
    </row>
    <row r="36" spans="1:23" x14ac:dyDescent="0.25">
      <c r="A36" t="s">
        <v>166</v>
      </c>
      <c r="B36" s="4">
        <f>B34*$E$3*10^-3</f>
        <v>12.132967364999999</v>
      </c>
      <c r="C36" s="4">
        <f t="shared" ref="C36:D36" si="5">C34*$E$3*10^-3</f>
        <v>8.3675636999999998</v>
      </c>
      <c r="D36" s="4">
        <f t="shared" si="5"/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3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3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3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>S19</f>
        <v>65.002501490990369</v>
      </c>
      <c r="T40" s="5">
        <f>T19</f>
        <v>65.002501490990369</v>
      </c>
      <c r="U40" s="5">
        <f>U19</f>
        <v>65.002501490990369</v>
      </c>
      <c r="V40" s="5">
        <f>V19</f>
        <v>65.002501490990369</v>
      </c>
      <c r="W40" s="5">
        <f>W19</f>
        <v>65.002501490990369</v>
      </c>
    </row>
    <row r="41" spans="1:23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>S40+S20*$Q$41/1000</f>
        <v>1177.2962457334145</v>
      </c>
      <c r="T41" s="5">
        <f>T40+T20*$Q$41/1000</f>
        <v>1177.2962457334145</v>
      </c>
      <c r="U41" s="5">
        <f>U40+U20*$Q$41/1000</f>
        <v>1177.2962457334145</v>
      </c>
      <c r="V41" s="5">
        <f>V40+V20*$Q$41/1000</f>
        <v>1177.2962457334145</v>
      </c>
      <c r="W41" s="5">
        <f>W40+W20*$Q$41/1000</f>
        <v>1177.2962457334145</v>
      </c>
    </row>
    <row r="42" spans="1:23" x14ac:dyDescent="0.25">
      <c r="A42" t="s">
        <v>21</v>
      </c>
      <c r="B42" s="3">
        <f>B38*B$34*10^-6/$E$2</f>
        <v>0.61161446863636348</v>
      </c>
      <c r="C42" s="3">
        <f t="shared" ref="C42:D42" si="6">C38*C$34*10^-6/$E$2</f>
        <v>0.42180308181818171</v>
      </c>
      <c r="D42" s="3">
        <f t="shared" si="6"/>
        <v>0.87199675568181811</v>
      </c>
      <c r="F42" t="s">
        <v>64</v>
      </c>
      <c r="Q42">
        <v>0</v>
      </c>
      <c r="R42" t="s">
        <v>196</v>
      </c>
      <c r="S42" s="5">
        <f>S24</f>
        <v>77.517144561131843</v>
      </c>
      <c r="T42" s="5">
        <f>T24</f>
        <v>77.517144561131843</v>
      </c>
      <c r="U42" s="5">
        <f>U24</f>
        <v>77.517144561131843</v>
      </c>
      <c r="V42" s="5">
        <f>V24</f>
        <v>77.517144561131843</v>
      </c>
      <c r="W42" s="5">
        <f>W24</f>
        <v>77.517144561131843</v>
      </c>
    </row>
    <row r="43" spans="1:23" x14ac:dyDescent="0.25">
      <c r="A43" t="s">
        <v>22</v>
      </c>
      <c r="B43" s="6">
        <f t="shared" ref="B43:D45" si="7">B39*B$34*10^-3/$E$2</f>
        <v>1.0454948181818182E-3</v>
      </c>
      <c r="C43" s="6">
        <f t="shared" si="7"/>
        <v>7.2103090909090911E-4</v>
      </c>
      <c r="D43" s="6">
        <f t="shared" si="7"/>
        <v>0.22306893749999998</v>
      </c>
      <c r="Q43">
        <v>8760</v>
      </c>
      <c r="R43" t="s">
        <v>196</v>
      </c>
      <c r="S43" s="5">
        <f>S42+S25*$Q$43/1000</f>
        <v>821.56369225343963</v>
      </c>
      <c r="T43" s="5">
        <f>T42+T25*$Q$43/1000</f>
        <v>821.56369225343963</v>
      </c>
      <c r="U43" s="5">
        <f>U42+U25*$Q$43/1000</f>
        <v>821.56369225343963</v>
      </c>
      <c r="V43" s="5">
        <f>V42+V25*$Q$43/1000</f>
        <v>821.56369225343963</v>
      </c>
      <c r="W43" s="5">
        <f>W42+W25*$Q$43/1000</f>
        <v>821.56369225343963</v>
      </c>
    </row>
    <row r="44" spans="1:23" x14ac:dyDescent="0.25">
      <c r="A44" t="s">
        <v>23</v>
      </c>
      <c r="B44" s="3">
        <f t="shared" si="7"/>
        <v>0.17250664499999999</v>
      </c>
      <c r="C44" s="3">
        <f t="shared" si="7"/>
        <v>2.6317628181818178E-2</v>
      </c>
      <c r="D44" s="3">
        <f t="shared" si="7"/>
        <v>0.20278994318181817</v>
      </c>
      <c r="Q44">
        <v>0</v>
      </c>
      <c r="R44" t="s">
        <v>3</v>
      </c>
      <c r="S44" s="5">
        <f>S30</f>
        <v>125.88777825200532</v>
      </c>
      <c r="T44" s="5">
        <f>T30</f>
        <v>319.55214197483451</v>
      </c>
      <c r="U44" s="5">
        <f>U30</f>
        <v>125.88777825200532</v>
      </c>
      <c r="V44" s="5">
        <f>V30</f>
        <v>125.88777825200532</v>
      </c>
      <c r="W44" s="5">
        <f>W30</f>
        <v>125.88777825200532</v>
      </c>
    </row>
    <row r="45" spans="1:23" x14ac:dyDescent="0.25">
      <c r="A45" t="s">
        <v>24</v>
      </c>
      <c r="B45" s="2">
        <f t="shared" si="7"/>
        <v>3.1364844545454539E-2</v>
      </c>
      <c r="C45" s="2">
        <f t="shared" si="7"/>
        <v>2.0909896363636361E-2</v>
      </c>
      <c r="D45" s="2">
        <f t="shared" si="7"/>
        <v>4.4613787499999995E-2</v>
      </c>
      <c r="Q45">
        <v>8760</v>
      </c>
      <c r="R45" t="s">
        <v>3</v>
      </c>
      <c r="S45" s="5">
        <f>S44+S31*$Q$45/1000</f>
        <v>410.29526277841552</v>
      </c>
      <c r="T45" s="5">
        <f>T44+T31*$Q$45/1000</f>
        <v>603.95962650124466</v>
      </c>
      <c r="U45" s="5">
        <f>U44+U31*$Q$45/1000</f>
        <v>410.29526277841552</v>
      </c>
      <c r="V45" s="5">
        <f>V44+V31*$Q$45/1000</f>
        <v>410.29526277841552</v>
      </c>
      <c r="W45" s="5">
        <f>W44+W31*$Q$45/1000</f>
        <v>410.29526277841552</v>
      </c>
    </row>
    <row r="46" spans="1:23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3" x14ac:dyDescent="0.25">
      <c r="Q47" s="20" t="s">
        <v>207</v>
      </c>
      <c r="R47" s="7" t="s">
        <v>197</v>
      </c>
    </row>
    <row r="48" spans="1:23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</row>
    <row r="49" spans="1:23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>S17</f>
        <v>678.26769230769241</v>
      </c>
      <c r="T49" s="5">
        <f>T17</f>
        <v>678.26769230769241</v>
      </c>
      <c r="U49" s="5">
        <f>U17</f>
        <v>678.26769230769241</v>
      </c>
      <c r="V49" s="5">
        <f>V17</f>
        <v>678.26769230769241</v>
      </c>
      <c r="W49" s="5">
        <f>W17</f>
        <v>678.26769230769241</v>
      </c>
    </row>
    <row r="50" spans="1:23" ht="15.75" x14ac:dyDescent="0.25">
      <c r="A50" t="s">
        <v>19</v>
      </c>
      <c r="B50" s="9">
        <f>(B48*(1+B48)^B49)/(((1+B48)^B49)-1)</f>
        <v>8.5810517220665614E-2</v>
      </c>
      <c r="C50" s="9">
        <f t="shared" ref="C50:D50" si="8">(C48*(1+C48)^C49)/(((1+C48)^C49)-1)</f>
        <v>8.5810517220665614E-2</v>
      </c>
      <c r="D50" s="9">
        <f t="shared" si="8"/>
        <v>8.5810517220665614E-2</v>
      </c>
      <c r="Q50" t="s">
        <v>204</v>
      </c>
      <c r="R50" t="s">
        <v>199</v>
      </c>
      <c r="S50" s="4">
        <f>$B$32</f>
        <v>6.8</v>
      </c>
      <c r="T50" s="4">
        <f>$B$32</f>
        <v>6.8</v>
      </c>
      <c r="U50" s="4">
        <f>$B$32</f>
        <v>6.8</v>
      </c>
      <c r="V50" s="4">
        <f>$B$32</f>
        <v>6.8</v>
      </c>
      <c r="W50" s="4">
        <f>$B$32</f>
        <v>6.8</v>
      </c>
    </row>
    <row r="51" spans="1:23" x14ac:dyDescent="0.25">
      <c r="A51" t="s">
        <v>20</v>
      </c>
      <c r="B51" s="4">
        <f>B31*B50+B32</f>
        <v>65.002501490990369</v>
      </c>
      <c r="C51" s="4">
        <f t="shared" ref="C51:D51" si="9">C31*C50+C32</f>
        <v>77.517144561131843</v>
      </c>
      <c r="D51" s="4">
        <f t="shared" si="9"/>
        <v>125.88777825200532</v>
      </c>
      <c r="Q51" t="s">
        <v>203</v>
      </c>
      <c r="R51" t="s">
        <v>200</v>
      </c>
      <c r="S51" s="5">
        <f>S23</f>
        <v>775.16307692307703</v>
      </c>
      <c r="T51" s="5">
        <f>T23</f>
        <v>775.16307692307703</v>
      </c>
      <c r="U51" s="5">
        <f>U23</f>
        <v>775.16307692307703</v>
      </c>
      <c r="V51" s="5">
        <f>V23</f>
        <v>775.16307692307703</v>
      </c>
      <c r="W51" s="5">
        <f>W23</f>
        <v>775.16307692307703</v>
      </c>
    </row>
    <row r="52" spans="1:23" x14ac:dyDescent="0.25">
      <c r="A52" t="s">
        <v>39</v>
      </c>
      <c r="B52" s="5">
        <f>B51*$E$1</f>
        <v>4225.1625969143743</v>
      </c>
      <c r="C52" s="5">
        <f t="shared" ref="C52:D52" si="10">C51*$E$1</f>
        <v>5038.6143964735702</v>
      </c>
      <c r="D52" s="5">
        <f t="shared" si="10"/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>$C$32</f>
        <v>11</v>
      </c>
      <c r="T52" s="4">
        <f>$C$32</f>
        <v>11</v>
      </c>
      <c r="U52" s="4">
        <f>$C$32</f>
        <v>11</v>
      </c>
      <c r="V52" s="4">
        <f>$C$32</f>
        <v>11</v>
      </c>
      <c r="W52" s="4">
        <f>$C$32</f>
        <v>11</v>
      </c>
    </row>
    <row r="53" spans="1:23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>S28</f>
        <v>976.42784318082204</v>
      </c>
      <c r="T53" s="5">
        <f>T28</f>
        <v>3233.3116144883943</v>
      </c>
      <c r="U53" s="5">
        <f>U28</f>
        <v>976.42784318082204</v>
      </c>
      <c r="V53" s="5">
        <f>V28</f>
        <v>976.42784318082204</v>
      </c>
      <c r="W53" s="5">
        <f>W28</f>
        <v>976.42784318082204</v>
      </c>
    </row>
    <row r="54" spans="1:23" x14ac:dyDescent="0.25">
      <c r="A54" t="s">
        <v>37</v>
      </c>
      <c r="B54" s="5">
        <f t="shared" ref="B54:C54" si="11">B53*$E$1</f>
        <v>8253.3211616161607</v>
      </c>
      <c r="C54" s="5">
        <f t="shared" si="11"/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>$D$32</f>
        <v>42.1</v>
      </c>
      <c r="T54" s="4">
        <f>$D$32</f>
        <v>42.1</v>
      </c>
      <c r="U54" s="4">
        <f>$D$32</f>
        <v>42.1</v>
      </c>
      <c r="V54" s="4">
        <f>$D$32</f>
        <v>42.1</v>
      </c>
      <c r="W54" s="4">
        <f>$D$32</f>
        <v>42.1</v>
      </c>
    </row>
    <row r="55" spans="1:23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>INDEX($AD$4:$AF$7, MATCH(S11,$AD$4:$AD$7,0), 2)</f>
        <v>1100</v>
      </c>
      <c r="T55">
        <f>INDEX($AD$4:$AF$7, MATCH(T11,$AD$4:$AD$7,0), 2)</f>
        <v>1100</v>
      </c>
      <c r="U55">
        <f>INDEX($AD$4:$AF$7, MATCH(U11,$AD$4:$AD$7,0), 2)</f>
        <v>770</v>
      </c>
      <c r="V55">
        <f>INDEX($AD$4:$AF$7, MATCH(V11,$AD$4:$AD$7,0), 2)</f>
        <v>1100</v>
      </c>
      <c r="W55">
        <f>INDEX($AD$4:$AF$7, MATCH(W11,$AD$4:$AD$7,0), 2)</f>
        <v>770</v>
      </c>
    </row>
    <row r="56" spans="1:23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>INDEX($AD$4:$AF$7, MATCH(S11,$AD$4:$AD$7,0), 3)</f>
        <v>15</v>
      </c>
      <c r="T56">
        <f>INDEX($AD$4:$AF$7, MATCH(T11,$AD$4:$AD$7,0), 3)</f>
        <v>15</v>
      </c>
      <c r="U56">
        <f>INDEX($AD$4:$AF$7, MATCH(U11,$AD$4:$AD$7,0), 3)</f>
        <v>15</v>
      </c>
      <c r="V56">
        <f>INDEX($AD$4:$AF$7, MATCH(V11,$AD$4:$AD$7,0), 3)</f>
        <v>15</v>
      </c>
      <c r="W56">
        <f>INDEX($AD$4:$AF$7, MATCH(W11,$AD$4:$AD$7,0), 3)</f>
        <v>15</v>
      </c>
    </row>
    <row r="57" spans="1:23" x14ac:dyDescent="0.25">
      <c r="B57" s="12"/>
      <c r="Q57" t="s">
        <v>203</v>
      </c>
      <c r="R57" t="s">
        <v>202</v>
      </c>
      <c r="S57">
        <f>INDEX($AG$4:$AI$7, MATCH(S12,$AG$4:$AG$7,0), 2)</f>
        <v>900</v>
      </c>
      <c r="T57">
        <f>INDEX($AG$4:$AI$7, MATCH(T12,$AG$4:$AG$7,0), 2)</f>
        <v>900</v>
      </c>
      <c r="U57">
        <f>INDEX($AG$4:$AI$7, MATCH(U12,$AG$4:$AG$7,0), 2)</f>
        <v>900</v>
      </c>
      <c r="V57">
        <f>INDEX($AG$4:$AI$7, MATCH(V12,$AG$4:$AG$7,0), 2)</f>
        <v>630</v>
      </c>
      <c r="W57">
        <f>INDEX($AG$4:$AI$7, MATCH(W12,$AG$4:$AG$7,0), 2)</f>
        <v>630</v>
      </c>
    </row>
    <row r="58" spans="1:23" x14ac:dyDescent="0.25">
      <c r="B58" s="12"/>
      <c r="Q58" t="s">
        <v>204</v>
      </c>
      <c r="R58" t="s">
        <v>202</v>
      </c>
      <c r="S58">
        <f>INDEX($AG$4:$AI$7, MATCH(S12,$AG$4:$AG$7,0), 3)</f>
        <v>10</v>
      </c>
      <c r="T58">
        <f>INDEX($AG$4:$AI$7, MATCH(T12,$AG$4:$AG$7,0), 3)</f>
        <v>10</v>
      </c>
      <c r="U58">
        <f>INDEX($AG$4:$AI$7, MATCH(U12,$AG$4:$AG$7,0), 3)</f>
        <v>10</v>
      </c>
      <c r="V58">
        <f>INDEX($AG$4:$AI$7, MATCH(V12,$AG$4:$AG$7,0), 3)</f>
        <v>10</v>
      </c>
      <c r="W58">
        <f>INDEX($AG$4:$AI$7, MATCH(W12,$AG$4:$AG$7,0), 3)</f>
        <v>10</v>
      </c>
    </row>
    <row r="59" spans="1:23" x14ac:dyDescent="0.25">
      <c r="A59" s="7" t="s">
        <v>149</v>
      </c>
      <c r="Q59" t="s">
        <v>203</v>
      </c>
      <c r="R59" t="s">
        <v>227</v>
      </c>
      <c r="S59">
        <f>INDEX($AJ$4:$AL$7, MATCH(S13,$AJ$4:$AJ$7,0), 2)</f>
        <v>0</v>
      </c>
      <c r="T59">
        <f>INDEX($AJ$4:$AL$7, MATCH(T13,$AJ$4:$AJ$7,0), 2)</f>
        <v>0</v>
      </c>
      <c r="U59">
        <f>INDEX($AJ$4:$AL$7, MATCH(U13,$AJ$4:$AJ$7,0), 2)</f>
        <v>0</v>
      </c>
      <c r="V59">
        <f>INDEX($AJ$4:$AL$7, MATCH(V13,$AJ$4:$AJ$7,0), 2)</f>
        <v>0</v>
      </c>
      <c r="W59">
        <f>INDEX($AJ$4:$AL$7, MATCH(W13,$AJ$4:$AJ$7,0), 2)</f>
        <v>0</v>
      </c>
    </row>
    <row r="60" spans="1:23" x14ac:dyDescent="0.25">
      <c r="A60" t="s">
        <v>147</v>
      </c>
      <c r="Q60" t="s">
        <v>204</v>
      </c>
      <c r="R60" t="s">
        <v>227</v>
      </c>
      <c r="S60">
        <f>INDEX($AJ$4:$AL$7, MATCH(S13,$AJ$4:$AJ$7,0), 3)</f>
        <v>0</v>
      </c>
      <c r="T60">
        <f>INDEX($AJ$4:$AL$7, MATCH(T13,$AJ$4:$AJ$7,0), 3)</f>
        <v>0</v>
      </c>
      <c r="U60">
        <f>INDEX($AJ$4:$AL$7, MATCH(U13,$AJ$4:$AJ$7,0), 3)</f>
        <v>0</v>
      </c>
      <c r="V60">
        <f>INDEX($AJ$4:$AL$7, MATCH(V13,$AJ$4:$AJ$7,0), 3)</f>
        <v>0</v>
      </c>
      <c r="W60">
        <f>INDEX($AJ$4:$AL$7, MATCH(W13,$AJ$4:$AJ$7,0), 3)</f>
        <v>0</v>
      </c>
    </row>
    <row r="61" spans="1:23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3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3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coallcW30lc</v>
      </c>
      <c r="E1" t="str">
        <f>'Screening curves'!V9</f>
        <v>coallcS30lc</v>
      </c>
      <c r="F1" t="str">
        <f>'Screening curves'!W9</f>
        <v>coallcW30lcS30lc</v>
      </c>
    </row>
    <row r="2" spans="1:6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</row>
    <row r="3" spans="1:6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0.52657621340235172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</row>
    <row r="4" spans="1:6" x14ac:dyDescent="0.25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curves'!U36</f>
        <v>1</v>
      </c>
      <c r="E4">
        <f>'Screening curves'!V36</f>
        <v>1</v>
      </c>
      <c r="F4">
        <f>'Screening curves'!W36</f>
        <v>1</v>
      </c>
    </row>
    <row r="5" spans="1:6" x14ac:dyDescent="0.25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curves'!U18</f>
        <v>10</v>
      </c>
      <c r="E5" s="5">
        <f>'Screening curves'!V18</f>
        <v>10</v>
      </c>
      <c r="F5">
        <f>'Screening curves'!W18</f>
        <v>10</v>
      </c>
    </row>
    <row r="6" spans="1:6" x14ac:dyDescent="0.25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curves'!U17</f>
        <v>678.26769230769241</v>
      </c>
      <c r="E6" s="5">
        <f>'Screening curves'!V17</f>
        <v>678.26769230769241</v>
      </c>
      <c r="F6" s="5">
        <f>'Screening curves'!W17</f>
        <v>678.26769230769241</v>
      </c>
    </row>
    <row r="7" spans="1:6" x14ac:dyDescent="0.25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curves'!U23</f>
        <v>775.16307692307703</v>
      </c>
      <c r="E7" s="5">
        <f>'Screening curves'!V23</f>
        <v>775.16307692307703</v>
      </c>
      <c r="F7" s="5">
        <f>'Screening curves'!W23</f>
        <v>775.16307692307703</v>
      </c>
    </row>
    <row r="8" spans="1:6" x14ac:dyDescent="0.25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3233.3116144883943</v>
      </c>
      <c r="D8" s="5">
        <f>'Screening curves'!U28</f>
        <v>976.42784318082204</v>
      </c>
      <c r="E8" s="5">
        <f>'Screening curves'!V28</f>
        <v>976.42784318082204</v>
      </c>
      <c r="F8" s="5">
        <f>'Screening curves'!W28</f>
        <v>976.42784318082204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 x14ac:dyDescent="0.25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 x14ac:dyDescent="0.25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 x14ac:dyDescent="0.25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 x14ac:dyDescent="0.25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319.55214197483451</v>
      </c>
    </row>
    <row r="7" spans="1:4" x14ac:dyDescent="0.25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603.95962650124466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M5" sqref="M5"/>
    </sheetView>
  </sheetViews>
  <sheetFormatPr defaultRowHeight="15" x14ac:dyDescent="0.25"/>
  <cols>
    <col min="5" max="6" width="12" bestFit="1" customWidth="1"/>
    <col min="7" max="7" width="15.85546875" bestFit="1" customWidth="1"/>
  </cols>
  <sheetData>
    <row r="1" spans="1:7" x14ac:dyDescent="0.25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coallcW30lc</v>
      </c>
      <c r="F1" t="str">
        <f>'Screening curves'!V9</f>
        <v>coallcS30lc</v>
      </c>
      <c r="G1" t="str">
        <f>'Screening curves'!W9</f>
        <v>coallcW30lcS30lc</v>
      </c>
    </row>
    <row r="2" spans="1:7" x14ac:dyDescent="0.25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</row>
    <row r="3" spans="1:7" x14ac:dyDescent="0.25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</row>
    <row r="4" spans="1:7" x14ac:dyDescent="0.25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</row>
    <row r="5" spans="1:7" x14ac:dyDescent="0.25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</row>
    <row r="6" spans="1:7" x14ac:dyDescent="0.25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3233.3116144883943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</row>
    <row r="7" spans="1:7" x14ac:dyDescent="0.25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</row>
    <row r="8" spans="1:7" x14ac:dyDescent="0.25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770</v>
      </c>
      <c r="F8" s="5">
        <f>'Screening curves'!V55</f>
        <v>1100</v>
      </c>
      <c r="G8" s="5">
        <f>'Screening curves'!W55</f>
        <v>770</v>
      </c>
    </row>
    <row r="9" spans="1:7" x14ac:dyDescent="0.25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</row>
    <row r="10" spans="1:7" x14ac:dyDescent="0.25">
      <c r="A10" t="str">
        <f>'Screening curves'!Q57</f>
        <v>capital</v>
      </c>
      <c r="B10" t="str">
        <f>'Screening curves'!R57</f>
        <v>solarPV</v>
      </c>
      <c r="C10" s="5">
        <f>'Screening curves'!S57</f>
        <v>900</v>
      </c>
      <c r="D10" s="5">
        <f>'Screening curves'!T57</f>
        <v>900</v>
      </c>
      <c r="E10" s="5">
        <f>'Screening curves'!U57</f>
        <v>900</v>
      </c>
      <c r="F10" s="5">
        <f>'Screening curves'!V57</f>
        <v>630</v>
      </c>
      <c r="G10" s="5">
        <f>'Screening curves'!W57</f>
        <v>630</v>
      </c>
    </row>
    <row r="11" spans="1:7" x14ac:dyDescent="0.25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</row>
    <row r="12" spans="1:7" x14ac:dyDescent="0.25">
      <c r="A12" t="str">
        <f>'Screening curves'!Q59</f>
        <v>capital</v>
      </c>
      <c r="B12" t="str">
        <f>'Screening curves'!R59</f>
        <v>battery</v>
      </c>
      <c r="C12" s="5">
        <f>'Screening curves'!S59</f>
        <v>0</v>
      </c>
      <c r="D12" s="5">
        <f>'Screening curves'!T59</f>
        <v>0</v>
      </c>
      <c r="E12" s="5">
        <f>'Screening curves'!U59</f>
        <v>0</v>
      </c>
      <c r="F12" s="5">
        <f>'Screening curves'!V59</f>
        <v>0</v>
      </c>
      <c r="G12" s="5">
        <f>'Screening curves'!W59</f>
        <v>0</v>
      </c>
    </row>
    <row r="13" spans="1:7" x14ac:dyDescent="0.25">
      <c r="A13" t="str">
        <f>'Screening curves'!Q60</f>
        <v>om</v>
      </c>
      <c r="B13" t="str">
        <f>'Screening curves'!R60</f>
        <v>battery</v>
      </c>
      <c r="C13" s="5">
        <f>'Screening curves'!S60</f>
        <v>0</v>
      </c>
      <c r="D13" s="5">
        <f>'Screening curves'!T60</f>
        <v>0</v>
      </c>
      <c r="E13" s="5">
        <f>'Screening curves'!U60</f>
        <v>0</v>
      </c>
      <c r="F13" s="5">
        <f>'Screening curves'!V60</f>
        <v>0</v>
      </c>
      <c r="G13" s="5">
        <f>'Screening curves'!W60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opLeftCell="A28" workbookViewId="0">
      <selection activeCell="D16" sqref="D16"/>
    </sheetView>
  </sheetViews>
  <sheetFormatPr defaultRowHeight="15" x14ac:dyDescent="0.25"/>
  <cols>
    <col min="1" max="1" width="25.5703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9" spans="1:8" x14ac:dyDescent="0.25">
      <c r="A19" s="7" t="s">
        <v>65</v>
      </c>
    </row>
    <row r="20" spans="1:8" x14ac:dyDescent="0.25">
      <c r="A20" t="s">
        <v>129</v>
      </c>
      <c r="B20">
        <v>3813</v>
      </c>
      <c r="C20">
        <v>1657</v>
      </c>
      <c r="D20">
        <v>1627</v>
      </c>
      <c r="E20">
        <v>1808</v>
      </c>
      <c r="H20" t="s">
        <v>117</v>
      </c>
    </row>
    <row r="21" spans="1:8" x14ac:dyDescent="0.25">
      <c r="A21" t="s">
        <v>116</v>
      </c>
      <c r="B21" s="15">
        <f>B20/'Screening curves'!$E$1</f>
        <v>58.661538461538463</v>
      </c>
      <c r="C21" s="15">
        <f>C20/'Screening curves'!$E$1</f>
        <v>25.492307692307691</v>
      </c>
      <c r="D21" s="15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124</v>
      </c>
    </row>
    <row r="22" spans="1:8" x14ac:dyDescent="0.25">
      <c r="A22" t="s">
        <v>130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128</v>
      </c>
    </row>
    <row r="23" spans="1:8" x14ac:dyDescent="0.25">
      <c r="A23" t="s">
        <v>131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128</v>
      </c>
    </row>
    <row r="24" spans="1:8" x14ac:dyDescent="0.25">
      <c r="A24" t="s">
        <v>82</v>
      </c>
      <c r="B24" s="7">
        <v>6.8</v>
      </c>
      <c r="C24" s="7">
        <v>11</v>
      </c>
      <c r="D24" s="7">
        <v>42.1</v>
      </c>
      <c r="F24">
        <v>5945</v>
      </c>
      <c r="H24" t="s">
        <v>91</v>
      </c>
    </row>
    <row r="25" spans="1:8" x14ac:dyDescent="0.25">
      <c r="A25" t="s">
        <v>88</v>
      </c>
      <c r="B25">
        <v>10.7</v>
      </c>
      <c r="C25">
        <v>3.5</v>
      </c>
      <c r="D25">
        <v>4.5999999999999996</v>
      </c>
      <c r="H25" t="s">
        <v>92</v>
      </c>
    </row>
    <row r="26" spans="1:8" x14ac:dyDescent="0.25">
      <c r="A26" t="s">
        <v>118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86</v>
      </c>
    </row>
    <row r="27" spans="1:8" x14ac:dyDescent="0.25">
      <c r="A27" t="s">
        <v>119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87</v>
      </c>
    </row>
    <row r="28" spans="1:8" x14ac:dyDescent="0.25">
      <c r="A28" t="s">
        <v>122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86</v>
      </c>
    </row>
    <row r="29" spans="1:8" x14ac:dyDescent="0.25">
      <c r="A29" t="s">
        <v>123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87</v>
      </c>
    </row>
    <row r="31" spans="1:8" x14ac:dyDescent="0.25">
      <c r="A31" s="7" t="s">
        <v>70</v>
      </c>
    </row>
    <row r="32" spans="1:8" x14ac:dyDescent="0.25">
      <c r="A32" t="s">
        <v>71</v>
      </c>
      <c r="E32">
        <v>2375</v>
      </c>
      <c r="H32" t="s">
        <v>69</v>
      </c>
    </row>
    <row r="33" spans="1:8" x14ac:dyDescent="0.25">
      <c r="A33" t="s">
        <v>71</v>
      </c>
      <c r="B33">
        <v>3065</v>
      </c>
      <c r="C33">
        <v>2071</v>
      </c>
      <c r="H33" t="s">
        <v>94</v>
      </c>
    </row>
    <row r="34" spans="1:8" x14ac:dyDescent="0.25">
      <c r="A34" t="s">
        <v>71</v>
      </c>
      <c r="B34">
        <v>2900</v>
      </c>
      <c r="C34">
        <v>2000</v>
      </c>
      <c r="D34">
        <v>2250</v>
      </c>
      <c r="E34">
        <v>2365</v>
      </c>
      <c r="H34" t="s">
        <v>93</v>
      </c>
    </row>
    <row r="35" spans="1:8" x14ac:dyDescent="0.25">
      <c r="A35" t="s">
        <v>83</v>
      </c>
      <c r="B35">
        <v>9800</v>
      </c>
      <c r="C35">
        <v>6600</v>
      </c>
      <c r="D35">
        <v>8800</v>
      </c>
      <c r="H35" t="s">
        <v>90</v>
      </c>
    </row>
    <row r="36" spans="1:8" x14ac:dyDescent="0.25">
      <c r="A36" t="s">
        <v>95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90</v>
      </c>
    </row>
    <row r="37" spans="1:8" x14ac:dyDescent="0.25">
      <c r="A37" t="s">
        <v>83</v>
      </c>
      <c r="B37">
        <v>10390</v>
      </c>
      <c r="C37">
        <v>6705</v>
      </c>
      <c r="D37">
        <v>9370</v>
      </c>
      <c r="F37">
        <v>9720</v>
      </c>
      <c r="H37" t="s">
        <v>84</v>
      </c>
    </row>
    <row r="38" spans="1:8" x14ac:dyDescent="0.25">
      <c r="A38" t="s">
        <v>95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84</v>
      </c>
    </row>
    <row r="40" spans="1:8" x14ac:dyDescent="0.25">
      <c r="A40" s="7" t="s">
        <v>134</v>
      </c>
    </row>
    <row r="43" spans="1:8" x14ac:dyDescent="0.25">
      <c r="A43" s="7" t="s">
        <v>135</v>
      </c>
    </row>
    <row r="44" spans="1:8" x14ac:dyDescent="0.25">
      <c r="A44" t="s">
        <v>136</v>
      </c>
      <c r="B44" s="8">
        <v>6.25E-2</v>
      </c>
      <c r="C44" t="s">
        <v>137</v>
      </c>
    </row>
    <row r="45" spans="1:8" x14ac:dyDescent="0.25">
      <c r="B45" s="8">
        <v>0.108</v>
      </c>
      <c r="C45" t="s">
        <v>138</v>
      </c>
    </row>
    <row r="47" spans="1:8" x14ac:dyDescent="0.25">
      <c r="A47" s="7" t="s">
        <v>140</v>
      </c>
    </row>
    <row r="48" spans="1:8" x14ac:dyDescent="0.25">
      <c r="A48" t="s">
        <v>141</v>
      </c>
      <c r="B48">
        <v>10.7</v>
      </c>
      <c r="C48" t="s">
        <v>143</v>
      </c>
    </row>
    <row r="49" spans="1:4" x14ac:dyDescent="0.25">
      <c r="B49">
        <v>8.5</v>
      </c>
      <c r="C49" t="s">
        <v>144</v>
      </c>
    </row>
    <row r="50" spans="1:4" x14ac:dyDescent="0.25">
      <c r="B50" s="7">
        <v>10</v>
      </c>
      <c r="C50" t="s">
        <v>142</v>
      </c>
    </row>
    <row r="51" spans="1:4" x14ac:dyDescent="0.25">
      <c r="B51">
        <v>5.5</v>
      </c>
      <c r="C51" t="s">
        <v>145</v>
      </c>
    </row>
    <row r="52" spans="1:4" x14ac:dyDescent="0.25">
      <c r="C52" t="s">
        <v>164</v>
      </c>
    </row>
    <row r="54" spans="1:4" x14ac:dyDescent="0.25">
      <c r="A54" s="7" t="s">
        <v>146</v>
      </c>
    </row>
    <row r="57" spans="1:4" x14ac:dyDescent="0.25">
      <c r="A57" s="7" t="s">
        <v>150</v>
      </c>
      <c r="B57" t="s">
        <v>159</v>
      </c>
      <c r="C57" t="s">
        <v>160</v>
      </c>
    </row>
    <row r="58" spans="1:4" x14ac:dyDescent="0.25">
      <c r="A58" t="s">
        <v>151</v>
      </c>
      <c r="B58">
        <f>'Screening curves'!E1</f>
        <v>65</v>
      </c>
      <c r="C58">
        <f>B58</f>
        <v>65</v>
      </c>
    </row>
    <row r="59" spans="1:4" x14ac:dyDescent="0.25">
      <c r="A59" t="s">
        <v>152</v>
      </c>
      <c r="B59" s="17">
        <v>1100</v>
      </c>
      <c r="C59" s="17">
        <v>900</v>
      </c>
      <c r="D59" s="17"/>
    </row>
    <row r="60" spans="1:4" x14ac:dyDescent="0.25">
      <c r="A60" t="s">
        <v>162</v>
      </c>
      <c r="B60" s="17">
        <f>B59*B58</f>
        <v>71500</v>
      </c>
      <c r="C60" s="17">
        <f>C59*C58</f>
        <v>58500</v>
      </c>
      <c r="D60" s="17"/>
    </row>
    <row r="61" spans="1:4" ht="15.75" x14ac:dyDescent="0.25">
      <c r="A61" t="s">
        <v>17</v>
      </c>
      <c r="B61" s="18">
        <v>7.0000000000000007E-2</v>
      </c>
      <c r="C61" s="18">
        <v>7.0000000000000007E-2</v>
      </c>
      <c r="D61" s="18"/>
    </row>
    <row r="62" spans="1:4" ht="15.75" x14ac:dyDescent="0.25">
      <c r="A62" t="s">
        <v>156</v>
      </c>
      <c r="B62" s="19">
        <v>25</v>
      </c>
      <c r="C62" s="19">
        <v>25</v>
      </c>
      <c r="D62" s="19"/>
    </row>
    <row r="63" spans="1:4" ht="15.75" x14ac:dyDescent="0.25">
      <c r="A63" t="s">
        <v>19</v>
      </c>
      <c r="B63" s="9">
        <f>(B61*(1+B61)^B62)/(((1+B61)^B62)-1)</f>
        <v>8.5810517220665614E-2</v>
      </c>
      <c r="C63" s="9">
        <f t="shared" ref="C63" si="0">(C61*(1+C61)^C62)/(((1+C61)^C62)-1)</f>
        <v>8.5810517220665614E-2</v>
      </c>
      <c r="D63" s="9"/>
    </row>
    <row r="64" spans="1:4" ht="15.75" x14ac:dyDescent="0.25">
      <c r="A64" t="s">
        <v>157</v>
      </c>
      <c r="B64" s="16">
        <v>15</v>
      </c>
      <c r="C64" s="16">
        <v>10</v>
      </c>
      <c r="D64" s="16"/>
    </row>
    <row r="65" spans="1:4" ht="15.75" x14ac:dyDescent="0.25">
      <c r="A65" t="s">
        <v>158</v>
      </c>
      <c r="B65" s="16">
        <v>0</v>
      </c>
      <c r="C65" s="16">
        <v>0</v>
      </c>
      <c r="D65" s="16"/>
    </row>
    <row r="66" spans="1:4" x14ac:dyDescent="0.25">
      <c r="A66" t="s">
        <v>154</v>
      </c>
      <c r="B66" s="1">
        <v>0.25</v>
      </c>
      <c r="C66" s="1">
        <v>0.19700000000000001</v>
      </c>
      <c r="D66" s="1" t="s">
        <v>161</v>
      </c>
    </row>
    <row r="67" spans="1:4" x14ac:dyDescent="0.25">
      <c r="A67" t="s">
        <v>153</v>
      </c>
      <c r="B67" s="4">
        <f>((B59*B63+B64)/(8760*B66)+B65)*10^3</f>
        <v>49.950488101704188</v>
      </c>
      <c r="C67" s="4">
        <f>((C59*C63+C64)/(8760*C66)+C65)*10^3</f>
        <v>50.546708329624188</v>
      </c>
      <c r="D67" s="4"/>
    </row>
    <row r="68" spans="1:4" x14ac:dyDescent="0.25">
      <c r="A68" t="s">
        <v>155</v>
      </c>
      <c r="B68" s="4">
        <f>B67*B58/10^3</f>
        <v>3.2467817266107724</v>
      </c>
      <c r="C68" s="4">
        <f>C67*C58/10^3</f>
        <v>3.2855360414255723</v>
      </c>
      <c r="D68" s="4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ref="F13:F17" si="3">F12*(1+$B13)</f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 t="shared" ref="G14:G17" si="4"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 t="shared" si="4"/>
        <v>1.249231575152</v>
      </c>
      <c r="H15" s="2">
        <f t="shared" ref="H15:H17" si="5"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 t="shared" si="4"/>
        <v>1.3113183844370544</v>
      </c>
      <c r="H16" s="2">
        <f t="shared" si="5"/>
        <v>1.1822199643320002</v>
      </c>
      <c r="I16" s="2">
        <f t="shared" ref="I16:I17" si="6"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 t="shared" si="4"/>
        <v>1.3385938068333449</v>
      </c>
      <c r="H17" s="2">
        <f t="shared" si="5"/>
        <v>1.2068101395901056</v>
      </c>
      <c r="I17" s="2">
        <f t="shared" si="6"/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7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7"/>
        <v>1.0449532779840001</v>
      </c>
      <c r="D26" s="2">
        <f t="shared" ref="D26:D32" si="8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7"/>
        <v>1.0665838108382688</v>
      </c>
      <c r="D27" s="2">
        <f t="shared" si="8"/>
        <v>1.0702225675679999</v>
      </c>
      <c r="E27" s="2">
        <f t="shared" ref="E27:E32" si="9">E26*(1+$B27)</f>
        <v>1.0529541200000001</v>
      </c>
      <c r="F27" s="2">
        <f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7"/>
        <v>1.0822625928575913</v>
      </c>
      <c r="D28" s="2">
        <f t="shared" si="8"/>
        <v>1.0859548393112495</v>
      </c>
      <c r="E28" s="2">
        <f t="shared" si="9"/>
        <v>1.068432545564</v>
      </c>
      <c r="F28" s="2">
        <f t="shared" ref="F28:F32" si="10">F27*(1+$B28)</f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7"/>
        <v>1.0997952468618843</v>
      </c>
      <c r="D29" s="2">
        <f t="shared" si="8"/>
        <v>1.1035473077080917</v>
      </c>
      <c r="E29" s="2">
        <f t="shared" si="9"/>
        <v>1.0857411528021368</v>
      </c>
      <c r="F29" s="2">
        <f t="shared" si="10"/>
        <v>1.0524826994979999</v>
      </c>
      <c r="G29" s="2">
        <f t="shared" ref="G29:G32" si="11"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7"/>
        <v>1.1011150011581188</v>
      </c>
      <c r="D30" s="2">
        <f t="shared" si="8"/>
        <v>1.1048715644773415</v>
      </c>
      <c r="E30" s="2">
        <f t="shared" si="9"/>
        <v>1.0870440421854994</v>
      </c>
      <c r="F30" s="2">
        <f t="shared" si="10"/>
        <v>1.0537456787373976</v>
      </c>
      <c r="G30" s="2">
        <f t="shared" si="11"/>
        <v>1.032375505768</v>
      </c>
      <c r="H30" s="2">
        <f t="shared" ref="H30:H32" si="12"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7"/>
        <v>1.1149890501727111</v>
      </c>
      <c r="D31" s="2">
        <f t="shared" si="8"/>
        <v>1.1187929461897559</v>
      </c>
      <c r="E31" s="2">
        <f t="shared" si="9"/>
        <v>1.1007407971170367</v>
      </c>
      <c r="F31" s="2">
        <f t="shared" si="10"/>
        <v>1.0670228742894887</v>
      </c>
      <c r="G31" s="2">
        <f t="shared" si="11"/>
        <v>1.0453834371406767</v>
      </c>
      <c r="H31" s="2">
        <f t="shared" si="12"/>
        <v>1.030238924944</v>
      </c>
      <c r="I31" s="2">
        <f t="shared" ref="I31:I32" si="13"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7"/>
        <v>1.1397418070865453</v>
      </c>
      <c r="D32" s="2">
        <f t="shared" si="8"/>
        <v>1.1436301495951684</v>
      </c>
      <c r="E32" s="2">
        <f t="shared" si="9"/>
        <v>1.1251772428130349</v>
      </c>
      <c r="F32" s="2">
        <f t="shared" si="10"/>
        <v>1.0907107820987154</v>
      </c>
      <c r="G32" s="2">
        <f t="shared" si="11"/>
        <v>1.0685909494451997</v>
      </c>
      <c r="H32" s="2">
        <f t="shared" si="12"/>
        <v>1.0531102290777568</v>
      </c>
      <c r="I32" s="2">
        <f t="shared" si="13"/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H31" sqref="H31"/>
    </sheetView>
  </sheetViews>
  <sheetFormatPr defaultRowHeight="15" x14ac:dyDescent="0.25"/>
  <cols>
    <col min="1" max="1" width="27.28515625" customWidth="1"/>
    <col min="2" max="2" width="20.5703125" bestFit="1" customWidth="1"/>
    <col min="3" max="3" width="18.28515625" bestFit="1" customWidth="1"/>
    <col min="4" max="4" width="30.5703125" bestFit="1" customWidth="1"/>
    <col min="5" max="5" width="22.5703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413</v>
      </c>
    </row>
    <row r="4" spans="1:9" x14ac:dyDescent="0.25">
      <c r="A4" s="7" t="s">
        <v>412</v>
      </c>
      <c r="B4" s="7" t="s">
        <v>411</v>
      </c>
      <c r="C4" s="7" t="s">
        <v>410</v>
      </c>
      <c r="D4" s="7" t="s">
        <v>409</v>
      </c>
      <c r="E4" s="7" t="s">
        <v>408</v>
      </c>
      <c r="F4" s="7" t="s">
        <v>407</v>
      </c>
      <c r="G4" s="7" t="s">
        <v>406</v>
      </c>
      <c r="H4" s="7" t="s">
        <v>405</v>
      </c>
      <c r="I4" s="7" t="s">
        <v>231</v>
      </c>
    </row>
    <row r="5" spans="1:9" x14ac:dyDescent="0.25">
      <c r="A5" t="s">
        <v>404</v>
      </c>
      <c r="B5">
        <v>0</v>
      </c>
      <c r="C5" t="s">
        <v>403</v>
      </c>
    </row>
    <row r="6" spans="1:9" x14ac:dyDescent="0.25">
      <c r="B6">
        <v>200</v>
      </c>
      <c r="C6" t="s">
        <v>402</v>
      </c>
    </row>
    <row r="7" spans="1:9" x14ac:dyDescent="0.25">
      <c r="B7">
        <v>200</v>
      </c>
      <c r="C7" t="s">
        <v>401</v>
      </c>
    </row>
    <row r="8" spans="1:9" x14ac:dyDescent="0.25">
      <c r="B8">
        <v>200</v>
      </c>
      <c r="C8" t="s">
        <v>400</v>
      </c>
    </row>
    <row r="9" spans="1:9" x14ac:dyDescent="0.25">
      <c r="B9">
        <v>200</v>
      </c>
      <c r="C9" t="s">
        <v>399</v>
      </c>
    </row>
    <row r="10" spans="1:9" x14ac:dyDescent="0.25">
      <c r="B10">
        <v>200</v>
      </c>
      <c r="C10" t="s">
        <v>398</v>
      </c>
    </row>
    <row r="11" spans="1:9" x14ac:dyDescent="0.25">
      <c r="B11">
        <v>300</v>
      </c>
      <c r="C11" t="s">
        <v>402</v>
      </c>
    </row>
    <row r="12" spans="1:9" x14ac:dyDescent="0.25">
      <c r="B12">
        <v>300</v>
      </c>
      <c r="C12" t="s">
        <v>401</v>
      </c>
    </row>
    <row r="13" spans="1:9" x14ac:dyDescent="0.25">
      <c r="B13">
        <v>300</v>
      </c>
      <c r="C13" t="s">
        <v>400</v>
      </c>
    </row>
    <row r="14" spans="1:9" x14ac:dyDescent="0.25">
      <c r="B14">
        <v>300</v>
      </c>
      <c r="C14" t="s">
        <v>399</v>
      </c>
    </row>
    <row r="15" spans="1:9" x14ac:dyDescent="0.25">
      <c r="B15">
        <v>300</v>
      </c>
      <c r="C15" t="s">
        <v>398</v>
      </c>
    </row>
    <row r="16" spans="1:9" x14ac:dyDescent="0.25">
      <c r="B16">
        <v>400</v>
      </c>
      <c r="C16" t="s">
        <v>402</v>
      </c>
    </row>
    <row r="17" spans="1:9" x14ac:dyDescent="0.25">
      <c r="B17">
        <v>400</v>
      </c>
      <c r="C17" t="s">
        <v>401</v>
      </c>
    </row>
    <row r="18" spans="1:9" x14ac:dyDescent="0.25">
      <c r="B18">
        <v>400</v>
      </c>
      <c r="C18" t="s">
        <v>400</v>
      </c>
    </row>
    <row r="19" spans="1:9" x14ac:dyDescent="0.25">
      <c r="B19">
        <v>400</v>
      </c>
      <c r="C19" t="s">
        <v>399</v>
      </c>
    </row>
    <row r="20" spans="1:9" x14ac:dyDescent="0.25">
      <c r="B20">
        <v>400</v>
      </c>
      <c r="C20" t="s">
        <v>398</v>
      </c>
    </row>
    <row r="22" spans="1:9" x14ac:dyDescent="0.25">
      <c r="A22" s="7" t="s">
        <v>397</v>
      </c>
    </row>
    <row r="23" spans="1:9" ht="30" x14ac:dyDescent="0.25">
      <c r="A23" t="s">
        <v>396</v>
      </c>
      <c r="D23" s="13" t="s">
        <v>395</v>
      </c>
    </row>
    <row r="24" spans="1:9" x14ac:dyDescent="0.25">
      <c r="D24" s="7" t="s">
        <v>394</v>
      </c>
      <c r="G24" t="s">
        <v>393</v>
      </c>
    </row>
    <row r="25" spans="1:9" x14ac:dyDescent="0.25">
      <c r="D25" s="7" t="s">
        <v>392</v>
      </c>
      <c r="G25" t="s">
        <v>391</v>
      </c>
      <c r="H25" t="s">
        <v>390</v>
      </c>
      <c r="I25" t="s">
        <v>389</v>
      </c>
    </row>
    <row r="26" spans="1:9" x14ac:dyDescent="0.25">
      <c r="E26" s="7" t="s">
        <v>388</v>
      </c>
      <c r="G26" t="s">
        <v>387</v>
      </c>
      <c r="H26" t="s">
        <v>318</v>
      </c>
    </row>
    <row r="27" spans="1:9" x14ac:dyDescent="0.25">
      <c r="F27" t="s">
        <v>386</v>
      </c>
      <c r="G27" t="s">
        <v>385</v>
      </c>
      <c r="H27" t="s">
        <v>378</v>
      </c>
    </row>
    <row r="28" spans="1:9" x14ac:dyDescent="0.25">
      <c r="F28" t="s">
        <v>384</v>
      </c>
      <c r="G28" t="s">
        <v>383</v>
      </c>
      <c r="H28" t="s">
        <v>378</v>
      </c>
    </row>
    <row r="29" spans="1:9" x14ac:dyDescent="0.25">
      <c r="F29" t="s">
        <v>382</v>
      </c>
      <c r="G29" t="s">
        <v>381</v>
      </c>
      <c r="H29" t="s">
        <v>378</v>
      </c>
    </row>
    <row r="30" spans="1:9" x14ac:dyDescent="0.25">
      <c r="F30" t="s">
        <v>380</v>
      </c>
      <c r="G30" t="s">
        <v>379</v>
      </c>
      <c r="H30" t="s">
        <v>378</v>
      </c>
    </row>
    <row r="31" spans="1:9" x14ac:dyDescent="0.25">
      <c r="D31" s="7" t="s">
        <v>377</v>
      </c>
      <c r="G31" t="s">
        <v>376</v>
      </c>
      <c r="H31" t="s">
        <v>359</v>
      </c>
      <c r="I31" t="s">
        <v>375</v>
      </c>
    </row>
    <row r="32" spans="1:9" x14ac:dyDescent="0.25">
      <c r="D32" s="7" t="s">
        <v>374</v>
      </c>
      <c r="G32" t="s">
        <v>373</v>
      </c>
      <c r="H32" t="s">
        <v>359</v>
      </c>
      <c r="I32" t="s">
        <v>372</v>
      </c>
    </row>
    <row r="33" spans="4:9" x14ac:dyDescent="0.25">
      <c r="D33" s="7" t="s">
        <v>371</v>
      </c>
      <c r="G33" t="s">
        <v>370</v>
      </c>
      <c r="I33" t="s">
        <v>369</v>
      </c>
    </row>
    <row r="34" spans="4:9" x14ac:dyDescent="0.25">
      <c r="D34" s="22" t="s">
        <v>368</v>
      </c>
      <c r="G34" t="s">
        <v>367</v>
      </c>
      <c r="H34" t="s">
        <v>359</v>
      </c>
      <c r="I34" t="s">
        <v>345</v>
      </c>
    </row>
    <row r="35" spans="4:9" x14ac:dyDescent="0.25">
      <c r="D35" s="7" t="s">
        <v>366</v>
      </c>
      <c r="G35" t="s">
        <v>365</v>
      </c>
      <c r="H35" t="s">
        <v>359</v>
      </c>
      <c r="I35" t="s">
        <v>364</v>
      </c>
    </row>
    <row r="36" spans="4:9" x14ac:dyDescent="0.25">
      <c r="D36" s="22" t="s">
        <v>363</v>
      </c>
      <c r="G36" t="s">
        <v>362</v>
      </c>
      <c r="H36" t="s">
        <v>359</v>
      </c>
      <c r="I36" t="s">
        <v>345</v>
      </c>
    </row>
    <row r="37" spans="4:9" x14ac:dyDescent="0.25">
      <c r="D37" s="7" t="s">
        <v>361</v>
      </c>
      <c r="G37" t="s">
        <v>360</v>
      </c>
      <c r="H37" t="s">
        <v>359</v>
      </c>
      <c r="I37" t="s">
        <v>358</v>
      </c>
    </row>
    <row r="38" spans="4:9" x14ac:dyDescent="0.25">
      <c r="D38" t="s">
        <v>357</v>
      </c>
      <c r="I38" t="s">
        <v>355</v>
      </c>
    </row>
    <row r="39" spans="4:9" x14ac:dyDescent="0.25">
      <c r="D39" t="s">
        <v>356</v>
      </c>
      <c r="I39" t="s">
        <v>355</v>
      </c>
    </row>
    <row r="40" spans="4:9" x14ac:dyDescent="0.25">
      <c r="D40" t="s">
        <v>354</v>
      </c>
      <c r="F40" t="s">
        <v>353</v>
      </c>
      <c r="I40" t="s">
        <v>350</v>
      </c>
    </row>
    <row r="41" spans="4:9" x14ac:dyDescent="0.25">
      <c r="D41" t="s">
        <v>352</v>
      </c>
      <c r="F41" t="s">
        <v>351</v>
      </c>
      <c r="I41" t="s">
        <v>350</v>
      </c>
    </row>
    <row r="42" spans="4:9" x14ac:dyDescent="0.25">
      <c r="D42" s="7" t="s">
        <v>349</v>
      </c>
      <c r="G42" t="s">
        <v>348</v>
      </c>
    </row>
    <row r="43" spans="4:9" x14ac:dyDescent="0.25">
      <c r="D43" t="s">
        <v>347</v>
      </c>
      <c r="I43" t="s">
        <v>345</v>
      </c>
    </row>
    <row r="44" spans="4:9" x14ac:dyDescent="0.25">
      <c r="D44" t="s">
        <v>346</v>
      </c>
      <c r="I44" t="s">
        <v>345</v>
      </c>
    </row>
    <row r="45" spans="4:9" x14ac:dyDescent="0.25">
      <c r="D45" t="s">
        <v>344</v>
      </c>
      <c r="G45" t="s">
        <v>343</v>
      </c>
    </row>
    <row r="46" spans="4:9" x14ac:dyDescent="0.25">
      <c r="D46" s="7" t="s">
        <v>342</v>
      </c>
      <c r="G46" t="s">
        <v>341</v>
      </c>
    </row>
    <row r="47" spans="4:9" x14ac:dyDescent="0.25">
      <c r="D47" s="7" t="s">
        <v>340</v>
      </c>
      <c r="G47" t="s">
        <v>246</v>
      </c>
    </row>
    <row r="48" spans="4:9" x14ac:dyDescent="0.25">
      <c r="D48" t="s">
        <v>339</v>
      </c>
      <c r="G48" t="s">
        <v>338</v>
      </c>
    </row>
    <row r="49" spans="4:7" x14ac:dyDescent="0.25">
      <c r="D49" t="s">
        <v>337</v>
      </c>
      <c r="G49" t="s">
        <v>247</v>
      </c>
    </row>
    <row r="54" spans="4:7" x14ac:dyDescent="0.25">
      <c r="D54" t="s">
        <v>336</v>
      </c>
      <c r="E54" t="s">
        <v>335</v>
      </c>
      <c r="F54" t="s">
        <v>318</v>
      </c>
      <c r="G54" t="s">
        <v>334</v>
      </c>
    </row>
    <row r="55" spans="4:7" x14ac:dyDescent="0.25">
      <c r="D55" t="s">
        <v>329</v>
      </c>
      <c r="E55" t="s">
        <v>322</v>
      </c>
      <c r="F55" t="s">
        <v>320</v>
      </c>
      <c r="G55" t="s">
        <v>330</v>
      </c>
    </row>
    <row r="56" spans="4:7" x14ac:dyDescent="0.25">
      <c r="D56" t="s">
        <v>327</v>
      </c>
      <c r="E56" t="s">
        <v>321</v>
      </c>
      <c r="G56" t="s">
        <v>328</v>
      </c>
    </row>
    <row r="57" spans="4:7" x14ac:dyDescent="0.25">
      <c r="D57" t="s">
        <v>326</v>
      </c>
    </row>
    <row r="58" spans="4:7" x14ac:dyDescent="0.25">
      <c r="D58" t="s">
        <v>325</v>
      </c>
    </row>
    <row r="59" spans="4:7" x14ac:dyDescent="0.25">
      <c r="D59" t="s">
        <v>324</v>
      </c>
    </row>
    <row r="60" spans="4:7" x14ac:dyDescent="0.25">
      <c r="D60" t="s">
        <v>323</v>
      </c>
    </row>
    <row r="63" spans="4:7" x14ac:dyDescent="0.25">
      <c r="D63" t="s">
        <v>333</v>
      </c>
      <c r="E63" t="s">
        <v>332</v>
      </c>
      <c r="F63" t="s">
        <v>331</v>
      </c>
    </row>
    <row r="64" spans="4:7" x14ac:dyDescent="0.25">
      <c r="D64" t="s">
        <v>330</v>
      </c>
      <c r="E64" t="s">
        <v>329</v>
      </c>
      <c r="F64" t="s">
        <v>329</v>
      </c>
    </row>
    <row r="65" spans="4:6" x14ac:dyDescent="0.25">
      <c r="D65" t="s">
        <v>328</v>
      </c>
      <c r="E65" t="s">
        <v>327</v>
      </c>
      <c r="F65" t="s">
        <v>327</v>
      </c>
    </row>
    <row r="66" spans="4:6" x14ac:dyDescent="0.25">
      <c r="D66" t="s">
        <v>323</v>
      </c>
      <c r="E66" t="s">
        <v>326</v>
      </c>
      <c r="F66" t="s">
        <v>326</v>
      </c>
    </row>
    <row r="67" spans="4:6" x14ac:dyDescent="0.25">
      <c r="E67" t="s">
        <v>325</v>
      </c>
      <c r="F67" t="s">
        <v>325</v>
      </c>
    </row>
    <row r="68" spans="4:6" x14ac:dyDescent="0.25">
      <c r="E68" t="s">
        <v>324</v>
      </c>
      <c r="F68" t="s">
        <v>324</v>
      </c>
    </row>
    <row r="69" spans="4:6" x14ac:dyDescent="0.25">
      <c r="E69" t="s">
        <v>323</v>
      </c>
      <c r="F69" t="s">
        <v>323</v>
      </c>
    </row>
    <row r="70" spans="4:6" x14ac:dyDescent="0.25">
      <c r="E70" t="s">
        <v>322</v>
      </c>
      <c r="F70" t="s">
        <v>322</v>
      </c>
    </row>
    <row r="71" spans="4:6" x14ac:dyDescent="0.25">
      <c r="E71" t="s">
        <v>321</v>
      </c>
      <c r="F71" t="s">
        <v>321</v>
      </c>
    </row>
    <row r="72" spans="4:6" x14ac:dyDescent="0.25">
      <c r="F72" t="s">
        <v>320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2018-01-23T01:08:21Z</dcterms:modified>
</cp:coreProperties>
</file>