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-4560" yWindow="-21260" windowWidth="32360" windowHeight="18340"/>
  </bookViews>
  <sheets>
    <sheet name="REvalue_input_csv" sheetId="11" r:id="rId1"/>
    <sheet name="Status Runs" sheetId="14" r:id="rId2"/>
    <sheet name="Screening curves" sheetId="1" r:id="rId3"/>
    <sheet name="CF_crossover_points" sheetId="6" r:id="rId4"/>
    <sheet name="screening_curve_plot" sheetId="7" r:id="rId5"/>
    <sheet name="generator_cost_all" sheetId="8" r:id="rId6"/>
    <sheet name="Data and sources" sheetId="4" r:id="rId7"/>
    <sheet name="inflation rate" sheetId="5" r:id="rId8"/>
    <sheet name="scenarios" sheetId="13" r:id="rId9"/>
    <sheet name="run_times" sheetId="12" r:id="rId10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1" l="1"/>
  <c r="D31" i="1"/>
  <c r="U4" i="1"/>
  <c r="W5" i="1"/>
  <c r="T29" i="1"/>
  <c r="D19" i="4"/>
  <c r="T9" i="1"/>
  <c r="T48" i="1"/>
  <c r="U9" i="1"/>
  <c r="U48" i="1"/>
  <c r="V9" i="1"/>
  <c r="V48" i="1"/>
  <c r="W9" i="1"/>
  <c r="W48" i="1"/>
  <c r="X9" i="1"/>
  <c r="X48" i="1"/>
  <c r="Y9" i="1"/>
  <c r="Y48" i="1"/>
  <c r="Z9" i="1"/>
  <c r="Z48" i="1"/>
  <c r="AA9" i="1"/>
  <c r="AA48" i="1"/>
  <c r="AB9" i="1"/>
  <c r="AB48" i="1"/>
  <c r="AC9" i="1"/>
  <c r="AC48" i="1"/>
  <c r="S9" i="1"/>
  <c r="S48" i="1"/>
  <c r="AF4" i="1"/>
  <c r="AF5" i="1"/>
  <c r="AF6" i="1"/>
  <c r="AF7" i="1"/>
  <c r="AI4" i="1"/>
  <c r="AI5" i="1"/>
  <c r="AI6" i="1"/>
  <c r="AI7" i="1"/>
  <c r="AH4" i="1"/>
  <c r="AE4" i="1"/>
  <c r="C48" i="1"/>
  <c r="C50" i="1"/>
  <c r="C71" i="1"/>
  <c r="C72" i="1"/>
  <c r="B50" i="1"/>
  <c r="B71" i="1"/>
  <c r="B72" i="1"/>
  <c r="M1" i="8"/>
  <c r="J16" i="5"/>
  <c r="B13" i="4"/>
  <c r="B14" i="4"/>
  <c r="Y4" i="1"/>
  <c r="AC17" i="1"/>
  <c r="AC49" i="1"/>
  <c r="M2" i="8"/>
  <c r="B32" i="1"/>
  <c r="AC50" i="1"/>
  <c r="M3" i="8"/>
  <c r="C13" i="4"/>
  <c r="C14" i="4"/>
  <c r="AA4" i="1"/>
  <c r="AC23" i="1"/>
  <c r="AC51" i="1"/>
  <c r="M4" i="8"/>
  <c r="C32" i="1"/>
  <c r="AC52" i="1"/>
  <c r="M5" i="8"/>
  <c r="G13" i="5"/>
  <c r="G14" i="5"/>
  <c r="G15" i="5"/>
  <c r="G16" i="5"/>
  <c r="D16" i="4"/>
  <c r="D17" i="4"/>
  <c r="U5" i="1"/>
  <c r="AC28" i="1"/>
  <c r="AC53" i="1"/>
  <c r="M6" i="8"/>
  <c r="D32" i="1"/>
  <c r="AC54" i="1"/>
  <c r="M7" i="8"/>
  <c r="AC55" i="1"/>
  <c r="M8" i="8"/>
  <c r="AC56" i="1"/>
  <c r="M9" i="8"/>
  <c r="AC57" i="1"/>
  <c r="M10" i="8"/>
  <c r="AC58" i="1"/>
  <c r="M11" i="8"/>
  <c r="AK6" i="1"/>
  <c r="AC59" i="1"/>
  <c r="M12" i="8"/>
  <c r="AC60" i="1"/>
  <c r="M13" i="8"/>
  <c r="D1" i="8"/>
  <c r="E1" i="8"/>
  <c r="F1" i="8"/>
  <c r="G1" i="8"/>
  <c r="H1" i="8"/>
  <c r="I1" i="8"/>
  <c r="J1" i="8"/>
  <c r="K1" i="8"/>
  <c r="L1" i="8"/>
  <c r="T17" i="1"/>
  <c r="T49" i="1"/>
  <c r="D2" i="8"/>
  <c r="U17" i="1"/>
  <c r="U49" i="1"/>
  <c r="E2" i="8"/>
  <c r="V17" i="1"/>
  <c r="V49" i="1"/>
  <c r="F2" i="8"/>
  <c r="W17" i="1"/>
  <c r="W49" i="1"/>
  <c r="G2" i="8"/>
  <c r="X17" i="1"/>
  <c r="X49" i="1"/>
  <c r="H2" i="8"/>
  <c r="Y17" i="1"/>
  <c r="Y49" i="1"/>
  <c r="I2" i="8"/>
  <c r="Z17" i="1"/>
  <c r="Z49" i="1"/>
  <c r="J2" i="8"/>
  <c r="AA17" i="1"/>
  <c r="AA49" i="1"/>
  <c r="K2" i="8"/>
  <c r="AB17" i="1"/>
  <c r="AB49" i="1"/>
  <c r="L2" i="8"/>
  <c r="T50" i="1"/>
  <c r="D3" i="8"/>
  <c r="U50" i="1"/>
  <c r="E3" i="8"/>
  <c r="V50" i="1"/>
  <c r="F3" i="8"/>
  <c r="W50" i="1"/>
  <c r="G3" i="8"/>
  <c r="X50" i="1"/>
  <c r="H3" i="8"/>
  <c r="Y50" i="1"/>
  <c r="I3" i="8"/>
  <c r="Z50" i="1"/>
  <c r="J3" i="8"/>
  <c r="AA50" i="1"/>
  <c r="K3" i="8"/>
  <c r="AB50" i="1"/>
  <c r="L3" i="8"/>
  <c r="T23" i="1"/>
  <c r="T51" i="1"/>
  <c r="D4" i="8"/>
  <c r="U23" i="1"/>
  <c r="U51" i="1"/>
  <c r="E4" i="8"/>
  <c r="V23" i="1"/>
  <c r="V51" i="1"/>
  <c r="F4" i="8"/>
  <c r="W23" i="1"/>
  <c r="W51" i="1"/>
  <c r="G4" i="8"/>
  <c r="X23" i="1"/>
  <c r="X51" i="1"/>
  <c r="H4" i="8"/>
  <c r="Y23" i="1"/>
  <c r="Y51" i="1"/>
  <c r="I4" i="8"/>
  <c r="Z23" i="1"/>
  <c r="Z51" i="1"/>
  <c r="J4" i="8"/>
  <c r="AA23" i="1"/>
  <c r="AA51" i="1"/>
  <c r="K4" i="8"/>
  <c r="AB23" i="1"/>
  <c r="AB51" i="1"/>
  <c r="L4" i="8"/>
  <c r="T52" i="1"/>
  <c r="D5" i="8"/>
  <c r="U52" i="1"/>
  <c r="E5" i="8"/>
  <c r="V52" i="1"/>
  <c r="F5" i="8"/>
  <c r="W52" i="1"/>
  <c r="G5" i="8"/>
  <c r="X52" i="1"/>
  <c r="H5" i="8"/>
  <c r="Y52" i="1"/>
  <c r="I5" i="8"/>
  <c r="Z52" i="1"/>
  <c r="J5" i="8"/>
  <c r="AA52" i="1"/>
  <c r="K5" i="8"/>
  <c r="AB52" i="1"/>
  <c r="L5" i="8"/>
  <c r="D25" i="5"/>
  <c r="D26" i="5"/>
  <c r="D27" i="5"/>
  <c r="D28" i="5"/>
  <c r="D29" i="5"/>
  <c r="D30" i="5"/>
  <c r="D31" i="5"/>
  <c r="D8" i="4"/>
  <c r="T28" i="1"/>
  <c r="T53" i="1"/>
  <c r="D6" i="8"/>
  <c r="U28" i="1"/>
  <c r="U53" i="1"/>
  <c r="E6" i="8"/>
  <c r="V28" i="1"/>
  <c r="V53" i="1"/>
  <c r="F6" i="8"/>
  <c r="W28" i="1"/>
  <c r="W53" i="1"/>
  <c r="G6" i="8"/>
  <c r="X28" i="1"/>
  <c r="X53" i="1"/>
  <c r="H6" i="8"/>
  <c r="Y28" i="1"/>
  <c r="Y53" i="1"/>
  <c r="I6" i="8"/>
  <c r="Z28" i="1"/>
  <c r="Z53" i="1"/>
  <c r="J6" i="8"/>
  <c r="AA28" i="1"/>
  <c r="AA53" i="1"/>
  <c r="K6" i="8"/>
  <c r="AB28" i="1"/>
  <c r="AB53" i="1"/>
  <c r="L6" i="8"/>
  <c r="T54" i="1"/>
  <c r="D7" i="8"/>
  <c r="U54" i="1"/>
  <c r="E7" i="8"/>
  <c r="V54" i="1"/>
  <c r="F7" i="8"/>
  <c r="W54" i="1"/>
  <c r="G7" i="8"/>
  <c r="X54" i="1"/>
  <c r="H7" i="8"/>
  <c r="Y54" i="1"/>
  <c r="I7" i="8"/>
  <c r="Z54" i="1"/>
  <c r="J7" i="8"/>
  <c r="AA54" i="1"/>
  <c r="K7" i="8"/>
  <c r="AB54" i="1"/>
  <c r="L7" i="8"/>
  <c r="T55" i="1"/>
  <c r="D8" i="8"/>
  <c r="AE5" i="1"/>
  <c r="U55" i="1"/>
  <c r="E8" i="8"/>
  <c r="AE6" i="1"/>
  <c r="V55" i="1"/>
  <c r="F8" i="8"/>
  <c r="AE7" i="1"/>
  <c r="W55" i="1"/>
  <c r="G8" i="8"/>
  <c r="X55" i="1"/>
  <c r="H8" i="8"/>
  <c r="Y55" i="1"/>
  <c r="I8" i="8"/>
  <c r="Z55" i="1"/>
  <c r="J8" i="8"/>
  <c r="AA55" i="1"/>
  <c r="K8" i="8"/>
  <c r="AB55" i="1"/>
  <c r="L8" i="8"/>
  <c r="T56" i="1"/>
  <c r="D9" i="8"/>
  <c r="U56" i="1"/>
  <c r="E9" i="8"/>
  <c r="V56" i="1"/>
  <c r="F9" i="8"/>
  <c r="W56" i="1"/>
  <c r="G9" i="8"/>
  <c r="X56" i="1"/>
  <c r="H9" i="8"/>
  <c r="Y56" i="1"/>
  <c r="I9" i="8"/>
  <c r="Z56" i="1"/>
  <c r="J9" i="8"/>
  <c r="AA56" i="1"/>
  <c r="K9" i="8"/>
  <c r="AB56" i="1"/>
  <c r="L9" i="8"/>
  <c r="T57" i="1"/>
  <c r="D10" i="8"/>
  <c r="U57" i="1"/>
  <c r="E10" i="8"/>
  <c r="V57" i="1"/>
  <c r="F10" i="8"/>
  <c r="W57" i="1"/>
  <c r="G10" i="8"/>
  <c r="AH5" i="1"/>
  <c r="X57" i="1"/>
  <c r="H10" i="8"/>
  <c r="AH6" i="1"/>
  <c r="Y57" i="1"/>
  <c r="I10" i="8"/>
  <c r="AH7" i="1"/>
  <c r="Z57" i="1"/>
  <c r="J10" i="8"/>
  <c r="AA57" i="1"/>
  <c r="K10" i="8"/>
  <c r="AB57" i="1"/>
  <c r="L10" i="8"/>
  <c r="T58" i="1"/>
  <c r="D11" i="8"/>
  <c r="U58" i="1"/>
  <c r="E11" i="8"/>
  <c r="V58" i="1"/>
  <c r="F11" i="8"/>
  <c r="W58" i="1"/>
  <c r="G11" i="8"/>
  <c r="X58" i="1"/>
  <c r="H11" i="8"/>
  <c r="Y58" i="1"/>
  <c r="I11" i="8"/>
  <c r="Z58" i="1"/>
  <c r="J11" i="8"/>
  <c r="AA58" i="1"/>
  <c r="K11" i="8"/>
  <c r="AB58" i="1"/>
  <c r="L11" i="8"/>
  <c r="T59" i="1"/>
  <c r="D12" i="8"/>
  <c r="U59" i="1"/>
  <c r="E12" i="8"/>
  <c r="V59" i="1"/>
  <c r="F12" i="8"/>
  <c r="W59" i="1"/>
  <c r="G12" i="8"/>
  <c r="X59" i="1"/>
  <c r="H12" i="8"/>
  <c r="Y59" i="1"/>
  <c r="I12" i="8"/>
  <c r="Z59" i="1"/>
  <c r="J12" i="8"/>
  <c r="AA59" i="1"/>
  <c r="K12" i="8"/>
  <c r="AK5" i="1"/>
  <c r="AB59" i="1"/>
  <c r="L12" i="8"/>
  <c r="T60" i="1"/>
  <c r="D13" i="8"/>
  <c r="U60" i="1"/>
  <c r="E13" i="8"/>
  <c r="V60" i="1"/>
  <c r="F13" i="8"/>
  <c r="W60" i="1"/>
  <c r="G13" i="8"/>
  <c r="X60" i="1"/>
  <c r="H13" i="8"/>
  <c r="Y60" i="1"/>
  <c r="I13" i="8"/>
  <c r="Z60" i="1"/>
  <c r="J13" i="8"/>
  <c r="AA60" i="1"/>
  <c r="K13" i="8"/>
  <c r="AB60" i="1"/>
  <c r="L13" i="8"/>
  <c r="S5" i="1"/>
  <c r="AC15" i="1"/>
  <c r="AC30" i="1"/>
  <c r="AC44" i="1"/>
  <c r="B7" i="1"/>
  <c r="W4" i="1"/>
  <c r="AC29" i="1"/>
  <c r="B24" i="1"/>
  <c r="D34" i="1"/>
  <c r="D33" i="1"/>
  <c r="AC31" i="1"/>
  <c r="AC45" i="1"/>
  <c r="AC24" i="1"/>
  <c r="AC42" i="1"/>
  <c r="AC5" i="1"/>
  <c r="AC18" i="1"/>
  <c r="B23" i="1"/>
  <c r="C34" i="1"/>
  <c r="C33" i="1"/>
  <c r="AC25" i="1"/>
  <c r="AC43" i="1"/>
  <c r="AC19" i="1"/>
  <c r="AC40" i="1"/>
  <c r="B22" i="1"/>
  <c r="B34" i="1"/>
  <c r="B33" i="1"/>
  <c r="AC20" i="1"/>
  <c r="AC41" i="1"/>
  <c r="AC35" i="1"/>
  <c r="AC34" i="1"/>
  <c r="AC14" i="1"/>
  <c r="AB15" i="1"/>
  <c r="AB30" i="1"/>
  <c r="AB44" i="1"/>
  <c r="AB29" i="1"/>
  <c r="AB31" i="1"/>
  <c r="AB45" i="1"/>
  <c r="AB24" i="1"/>
  <c r="AB42" i="1"/>
  <c r="AB18" i="1"/>
  <c r="AB25" i="1"/>
  <c r="AB43" i="1"/>
  <c r="AB19" i="1"/>
  <c r="AB40" i="1"/>
  <c r="AB20" i="1"/>
  <c r="AB41" i="1"/>
  <c r="AB35" i="1"/>
  <c r="AB34" i="1"/>
  <c r="AB14" i="1"/>
  <c r="S28" i="1"/>
  <c r="Y15" i="1"/>
  <c r="Y30" i="1"/>
  <c r="Y44" i="1"/>
  <c r="Y29" i="1"/>
  <c r="Y31" i="1"/>
  <c r="Y45" i="1"/>
  <c r="Y24" i="1"/>
  <c r="Y42" i="1"/>
  <c r="Y18" i="1"/>
  <c r="Y25" i="1"/>
  <c r="Y43" i="1"/>
  <c r="Y19" i="1"/>
  <c r="Y40" i="1"/>
  <c r="Y20" i="1"/>
  <c r="Y41" i="1"/>
  <c r="Y35" i="1"/>
  <c r="Y34" i="1"/>
  <c r="Y14" i="1"/>
  <c r="X15" i="1"/>
  <c r="X30" i="1"/>
  <c r="X44" i="1"/>
  <c r="X29" i="1"/>
  <c r="X31" i="1"/>
  <c r="X45" i="1"/>
  <c r="X24" i="1"/>
  <c r="X42" i="1"/>
  <c r="X18" i="1"/>
  <c r="X25" i="1"/>
  <c r="X43" i="1"/>
  <c r="X19" i="1"/>
  <c r="X40" i="1"/>
  <c r="X20" i="1"/>
  <c r="X41" i="1"/>
  <c r="X35" i="1"/>
  <c r="X34" i="1"/>
  <c r="X14" i="1"/>
  <c r="V15" i="1"/>
  <c r="V30" i="1"/>
  <c r="V44" i="1"/>
  <c r="V29" i="1"/>
  <c r="V31" i="1"/>
  <c r="V45" i="1"/>
  <c r="V24" i="1"/>
  <c r="V42" i="1"/>
  <c r="V18" i="1"/>
  <c r="V25" i="1"/>
  <c r="V43" i="1"/>
  <c r="V19" i="1"/>
  <c r="V40" i="1"/>
  <c r="V20" i="1"/>
  <c r="V41" i="1"/>
  <c r="V35" i="1"/>
  <c r="V34" i="1"/>
  <c r="V14" i="1"/>
  <c r="U15" i="1"/>
  <c r="U30" i="1"/>
  <c r="U44" i="1"/>
  <c r="U29" i="1"/>
  <c r="U31" i="1"/>
  <c r="U45" i="1"/>
  <c r="U24" i="1"/>
  <c r="U42" i="1"/>
  <c r="U18" i="1"/>
  <c r="U25" i="1"/>
  <c r="U43" i="1"/>
  <c r="U19" i="1"/>
  <c r="U40" i="1"/>
  <c r="U20" i="1"/>
  <c r="U41" i="1"/>
  <c r="U35" i="1"/>
  <c r="U34" i="1"/>
  <c r="U14" i="1"/>
  <c r="Z11" i="11"/>
  <c r="Z27" i="11"/>
  <c r="Z31" i="11"/>
  <c r="Z23" i="11"/>
  <c r="Z8" i="11"/>
  <c r="Y11" i="11"/>
  <c r="Y27" i="11"/>
  <c r="Y31" i="11"/>
  <c r="Y23" i="11"/>
  <c r="Y8" i="11"/>
  <c r="X11" i="11"/>
  <c r="X27" i="11"/>
  <c r="X31" i="11"/>
  <c r="X23" i="11"/>
  <c r="X8" i="11"/>
  <c r="W11" i="11"/>
  <c r="W27" i="11"/>
  <c r="W31" i="11"/>
  <c r="W23" i="11"/>
  <c r="W8" i="11"/>
  <c r="V11" i="11"/>
  <c r="V27" i="11"/>
  <c r="V31" i="11"/>
  <c r="V23" i="11"/>
  <c r="V8" i="11"/>
  <c r="U11" i="11"/>
  <c r="U27" i="11"/>
  <c r="U31" i="11"/>
  <c r="U23" i="11"/>
  <c r="U8" i="11"/>
  <c r="T11" i="11"/>
  <c r="T27" i="11"/>
  <c r="T31" i="11"/>
  <c r="T23" i="11"/>
  <c r="T8" i="11"/>
  <c r="S11" i="11"/>
  <c r="S27" i="11"/>
  <c r="S31" i="11"/>
  <c r="S23" i="11"/>
  <c r="S8" i="11"/>
  <c r="R11" i="11"/>
  <c r="R27" i="11"/>
  <c r="R31" i="11"/>
  <c r="R23" i="11"/>
  <c r="R8" i="11"/>
  <c r="Q11" i="11"/>
  <c r="Q27" i="11"/>
  <c r="Q31" i="11"/>
  <c r="Q23" i="11"/>
  <c r="Q8" i="11"/>
  <c r="P11" i="11"/>
  <c r="P27" i="11"/>
  <c r="P31" i="11"/>
  <c r="P23" i="11"/>
  <c r="P8" i="11"/>
  <c r="O11" i="11"/>
  <c r="O27" i="11"/>
  <c r="O31" i="11"/>
  <c r="O23" i="11"/>
  <c r="O8" i="11"/>
  <c r="N11" i="11"/>
  <c r="N27" i="11"/>
  <c r="N31" i="11"/>
  <c r="N23" i="11"/>
  <c r="N8" i="11"/>
  <c r="M11" i="11"/>
  <c r="M27" i="11"/>
  <c r="M31" i="11"/>
  <c r="M23" i="11"/>
  <c r="M8" i="11"/>
  <c r="L11" i="11"/>
  <c r="L27" i="11"/>
  <c r="L31" i="11"/>
  <c r="L23" i="11"/>
  <c r="L8" i="11"/>
  <c r="K11" i="11"/>
  <c r="K27" i="11"/>
  <c r="K31" i="11"/>
  <c r="K23" i="11"/>
  <c r="K8" i="11"/>
  <c r="J11" i="11"/>
  <c r="J27" i="11"/>
  <c r="J31" i="11"/>
  <c r="J23" i="11"/>
  <c r="J8" i="11"/>
  <c r="I11" i="11"/>
  <c r="I27" i="11"/>
  <c r="I31" i="11"/>
  <c r="I23" i="11"/>
  <c r="I8" i="11"/>
  <c r="H11" i="11"/>
  <c r="H27" i="11"/>
  <c r="H31" i="11"/>
  <c r="H23" i="11"/>
  <c r="H8" i="11"/>
  <c r="G11" i="11"/>
  <c r="G27" i="11"/>
  <c r="G31" i="11"/>
  <c r="G23" i="11"/>
  <c r="G8" i="11"/>
  <c r="F11" i="11"/>
  <c r="F27" i="11"/>
  <c r="F31" i="11"/>
  <c r="F23" i="11"/>
  <c r="F8" i="11"/>
  <c r="E11" i="11"/>
  <c r="E27" i="11"/>
  <c r="E31" i="11"/>
  <c r="E23" i="11"/>
  <c r="E8" i="11"/>
  <c r="D11" i="11"/>
  <c r="D27" i="11"/>
  <c r="D31" i="11"/>
  <c r="D23" i="11"/>
  <c r="D8" i="11"/>
  <c r="C11" i="11"/>
  <c r="C27" i="11"/>
  <c r="C31" i="11"/>
  <c r="C23" i="11"/>
  <c r="C8" i="11"/>
  <c r="D10" i="11"/>
  <c r="D13" i="11"/>
  <c r="D15" i="11"/>
  <c r="D17" i="11"/>
  <c r="D19" i="11"/>
  <c r="D34" i="11"/>
  <c r="D37" i="11"/>
  <c r="D40" i="11"/>
  <c r="D42" i="11"/>
  <c r="D45" i="11"/>
  <c r="D3" i="11"/>
  <c r="E10" i="11"/>
  <c r="E13" i="11"/>
  <c r="E15" i="11"/>
  <c r="E17" i="11"/>
  <c r="E19" i="11"/>
  <c r="E34" i="11"/>
  <c r="E37" i="11"/>
  <c r="E40" i="11"/>
  <c r="E42" i="11"/>
  <c r="E45" i="11"/>
  <c r="E3" i="11"/>
  <c r="F10" i="11"/>
  <c r="F13" i="11"/>
  <c r="F15" i="11"/>
  <c r="F17" i="11"/>
  <c r="F19" i="11"/>
  <c r="F34" i="11"/>
  <c r="F37" i="11"/>
  <c r="F40" i="11"/>
  <c r="F42" i="11"/>
  <c r="F45" i="11"/>
  <c r="F3" i="11"/>
  <c r="G10" i="11"/>
  <c r="G13" i="11"/>
  <c r="G15" i="11"/>
  <c r="G17" i="11"/>
  <c r="G19" i="11"/>
  <c r="G34" i="11"/>
  <c r="G37" i="11"/>
  <c r="G40" i="11"/>
  <c r="G42" i="11"/>
  <c r="G45" i="11"/>
  <c r="G3" i="11"/>
  <c r="H10" i="11"/>
  <c r="H13" i="11"/>
  <c r="H15" i="11"/>
  <c r="H17" i="11"/>
  <c r="H19" i="11"/>
  <c r="H34" i="11"/>
  <c r="H37" i="11"/>
  <c r="H40" i="11"/>
  <c r="H42" i="11"/>
  <c r="H45" i="11"/>
  <c r="H3" i="11"/>
  <c r="I10" i="11"/>
  <c r="I13" i="11"/>
  <c r="I15" i="11"/>
  <c r="I17" i="11"/>
  <c r="I19" i="11"/>
  <c r="I34" i="11"/>
  <c r="I37" i="11"/>
  <c r="I40" i="11"/>
  <c r="I42" i="11"/>
  <c r="I45" i="11"/>
  <c r="I3" i="11"/>
  <c r="J10" i="11"/>
  <c r="J13" i="11"/>
  <c r="J15" i="11"/>
  <c r="J17" i="11"/>
  <c r="J19" i="11"/>
  <c r="J34" i="11"/>
  <c r="J37" i="11"/>
  <c r="J40" i="11"/>
  <c r="J42" i="11"/>
  <c r="J45" i="11"/>
  <c r="J3" i="11"/>
  <c r="K10" i="11"/>
  <c r="K13" i="11"/>
  <c r="K15" i="11"/>
  <c r="K17" i="11"/>
  <c r="K19" i="11"/>
  <c r="K34" i="11"/>
  <c r="K37" i="11"/>
  <c r="K40" i="11"/>
  <c r="K42" i="11"/>
  <c r="K45" i="11"/>
  <c r="K3" i="11"/>
  <c r="L10" i="11"/>
  <c r="L13" i="11"/>
  <c r="L15" i="11"/>
  <c r="L17" i="11"/>
  <c r="L19" i="11"/>
  <c r="L34" i="11"/>
  <c r="L37" i="11"/>
  <c r="L40" i="11"/>
  <c r="L42" i="11"/>
  <c r="L45" i="11"/>
  <c r="L3" i="11"/>
  <c r="M10" i="11"/>
  <c r="M13" i="11"/>
  <c r="M15" i="11"/>
  <c r="M17" i="11"/>
  <c r="M19" i="11"/>
  <c r="M34" i="11"/>
  <c r="M37" i="11"/>
  <c r="M40" i="11"/>
  <c r="M42" i="11"/>
  <c r="M45" i="11"/>
  <c r="M3" i="11"/>
  <c r="N10" i="11"/>
  <c r="N13" i="11"/>
  <c r="N15" i="11"/>
  <c r="N17" i="11"/>
  <c r="N19" i="11"/>
  <c r="N34" i="11"/>
  <c r="N37" i="11"/>
  <c r="N40" i="11"/>
  <c r="N42" i="11"/>
  <c r="N45" i="11"/>
  <c r="N3" i="11"/>
  <c r="O10" i="11"/>
  <c r="O13" i="11"/>
  <c r="O15" i="11"/>
  <c r="O17" i="11"/>
  <c r="O19" i="11"/>
  <c r="O34" i="11"/>
  <c r="O37" i="11"/>
  <c r="O40" i="11"/>
  <c r="O42" i="11"/>
  <c r="O45" i="11"/>
  <c r="O3" i="11"/>
  <c r="P10" i="11"/>
  <c r="P13" i="11"/>
  <c r="P15" i="11"/>
  <c r="P17" i="11"/>
  <c r="P19" i="11"/>
  <c r="P34" i="11"/>
  <c r="P37" i="11"/>
  <c r="P40" i="11"/>
  <c r="P42" i="11"/>
  <c r="P45" i="11"/>
  <c r="P3" i="11"/>
  <c r="Q10" i="11"/>
  <c r="Q13" i="11"/>
  <c r="Q15" i="11"/>
  <c r="Q17" i="11"/>
  <c r="Q19" i="11"/>
  <c r="Q34" i="11"/>
  <c r="Q37" i="11"/>
  <c r="Q40" i="11"/>
  <c r="Q42" i="11"/>
  <c r="Q45" i="11"/>
  <c r="Q3" i="11"/>
  <c r="R10" i="11"/>
  <c r="R13" i="11"/>
  <c r="R15" i="11"/>
  <c r="R17" i="11"/>
  <c r="R19" i="11"/>
  <c r="R34" i="11"/>
  <c r="R37" i="11"/>
  <c r="R40" i="11"/>
  <c r="R42" i="11"/>
  <c r="R45" i="11"/>
  <c r="R3" i="11"/>
  <c r="S10" i="11"/>
  <c r="S13" i="11"/>
  <c r="S15" i="11"/>
  <c r="S17" i="11"/>
  <c r="S19" i="11"/>
  <c r="S34" i="11"/>
  <c r="S37" i="11"/>
  <c r="S40" i="11"/>
  <c r="S42" i="11"/>
  <c r="S45" i="11"/>
  <c r="S3" i="11"/>
  <c r="T10" i="11"/>
  <c r="T13" i="11"/>
  <c r="T15" i="11"/>
  <c r="T17" i="11"/>
  <c r="T19" i="11"/>
  <c r="T34" i="11"/>
  <c r="T37" i="11"/>
  <c r="T40" i="11"/>
  <c r="T42" i="11"/>
  <c r="T45" i="11"/>
  <c r="T3" i="11"/>
  <c r="U10" i="11"/>
  <c r="U13" i="11"/>
  <c r="U15" i="11"/>
  <c r="U17" i="11"/>
  <c r="U19" i="11"/>
  <c r="U34" i="11"/>
  <c r="U37" i="11"/>
  <c r="U40" i="11"/>
  <c r="U42" i="11"/>
  <c r="U45" i="11"/>
  <c r="U3" i="11"/>
  <c r="V10" i="11"/>
  <c r="V13" i="11"/>
  <c r="V15" i="11"/>
  <c r="V17" i="11"/>
  <c r="V19" i="11"/>
  <c r="V34" i="11"/>
  <c r="V37" i="11"/>
  <c r="V40" i="11"/>
  <c r="V42" i="11"/>
  <c r="V45" i="11"/>
  <c r="V3" i="11"/>
  <c r="W10" i="11"/>
  <c r="W13" i="11"/>
  <c r="W15" i="11"/>
  <c r="W17" i="11"/>
  <c r="W19" i="11"/>
  <c r="W34" i="11"/>
  <c r="W37" i="11"/>
  <c r="W40" i="11"/>
  <c r="W42" i="11"/>
  <c r="W45" i="11"/>
  <c r="W3" i="11"/>
  <c r="X10" i="11"/>
  <c r="X13" i="11"/>
  <c r="X15" i="11"/>
  <c r="X17" i="11"/>
  <c r="X19" i="11"/>
  <c r="X34" i="11"/>
  <c r="X37" i="11"/>
  <c r="X40" i="11"/>
  <c r="X42" i="11"/>
  <c r="X45" i="11"/>
  <c r="X3" i="11"/>
  <c r="Y10" i="11"/>
  <c r="Y13" i="11"/>
  <c r="Y15" i="11"/>
  <c r="Y17" i="11"/>
  <c r="Y19" i="11"/>
  <c r="Y34" i="11"/>
  <c r="Y37" i="11"/>
  <c r="Y40" i="11"/>
  <c r="Y42" i="11"/>
  <c r="Y45" i="11"/>
  <c r="Y3" i="11"/>
  <c r="Z10" i="11"/>
  <c r="Z13" i="11"/>
  <c r="Z15" i="11"/>
  <c r="Z17" i="11"/>
  <c r="Z19" i="11"/>
  <c r="Z34" i="11"/>
  <c r="Z37" i="11"/>
  <c r="Z40" i="11"/>
  <c r="Z42" i="11"/>
  <c r="Z45" i="11"/>
  <c r="Z3" i="11"/>
  <c r="C10" i="11"/>
  <c r="C13" i="11"/>
  <c r="C15" i="11"/>
  <c r="C17" i="11"/>
  <c r="C19" i="11"/>
  <c r="C34" i="11"/>
  <c r="C37" i="11"/>
  <c r="C40" i="11"/>
  <c r="C42" i="11"/>
  <c r="C45" i="11"/>
  <c r="C3" i="11"/>
  <c r="Z38" i="11"/>
  <c r="Z35" i="11"/>
  <c r="Z32" i="11"/>
  <c r="Z28" i="11"/>
  <c r="Z24" i="11"/>
  <c r="Z20" i="11"/>
  <c r="Z7" i="11"/>
  <c r="Z6" i="11"/>
  <c r="Z5" i="11"/>
  <c r="Z4" i="11"/>
  <c r="Z2" i="11"/>
  <c r="Y38" i="11"/>
  <c r="X38" i="11"/>
  <c r="W38" i="11"/>
  <c r="Y35" i="11"/>
  <c r="X35" i="11"/>
  <c r="W35" i="11"/>
  <c r="Y32" i="11"/>
  <c r="X32" i="11"/>
  <c r="W32" i="11"/>
  <c r="Y28" i="11"/>
  <c r="X28" i="11"/>
  <c r="W28" i="11"/>
  <c r="Y24" i="11"/>
  <c r="X24" i="11"/>
  <c r="W24" i="11"/>
  <c r="Y20" i="11"/>
  <c r="X20" i="11"/>
  <c r="W20" i="11"/>
  <c r="Y7" i="11"/>
  <c r="X7" i="11"/>
  <c r="W7" i="11"/>
  <c r="Y6" i="11"/>
  <c r="X6" i="11"/>
  <c r="W6" i="11"/>
  <c r="Y5" i="11"/>
  <c r="X5" i="11"/>
  <c r="W5" i="11"/>
  <c r="Y4" i="11"/>
  <c r="X4" i="11"/>
  <c r="W4" i="11"/>
  <c r="Y2" i="11"/>
  <c r="X2" i="11"/>
  <c r="W2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C24" i="11"/>
  <c r="U38" i="11"/>
  <c r="U35" i="11"/>
  <c r="U32" i="11"/>
  <c r="U28" i="11"/>
  <c r="U20" i="11"/>
  <c r="U7" i="11"/>
  <c r="U6" i="11"/>
  <c r="U5" i="11"/>
  <c r="U4" i="11"/>
  <c r="U2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V4" i="11"/>
  <c r="C4" i="11"/>
  <c r="D1" i="14"/>
  <c r="E2" i="11"/>
  <c r="D2" i="14"/>
  <c r="C1" i="14"/>
  <c r="D2" i="11"/>
  <c r="C2" i="14"/>
  <c r="C2" i="11"/>
  <c r="B2" i="14"/>
  <c r="B1" i="14"/>
  <c r="A1" i="6"/>
  <c r="S23" i="1"/>
  <c r="S17" i="1"/>
  <c r="AA15" i="1"/>
  <c r="AA30" i="1"/>
  <c r="AA24" i="1"/>
  <c r="AA18" i="1"/>
  <c r="AA25" i="1"/>
  <c r="AA29" i="1"/>
  <c r="AA31" i="1"/>
  <c r="AA35" i="1"/>
  <c r="Z15" i="1"/>
  <c r="Z30" i="1"/>
  <c r="Z24" i="1"/>
  <c r="Z18" i="1"/>
  <c r="Z25" i="1"/>
  <c r="Z29" i="1"/>
  <c r="Z31" i="1"/>
  <c r="Z35" i="1"/>
  <c r="W15" i="1"/>
  <c r="W30" i="1"/>
  <c r="W24" i="1"/>
  <c r="W18" i="1"/>
  <c r="W25" i="1"/>
  <c r="W29" i="1"/>
  <c r="W31" i="1"/>
  <c r="W35" i="1"/>
  <c r="T15" i="1"/>
  <c r="T24" i="1"/>
  <c r="T30" i="1"/>
  <c r="T18" i="1"/>
  <c r="T25" i="1"/>
  <c r="T31" i="1"/>
  <c r="T35" i="1"/>
  <c r="S15" i="1"/>
  <c r="S30" i="1"/>
  <c r="S24" i="1"/>
  <c r="S18" i="1"/>
  <c r="S25" i="1"/>
  <c r="S29" i="1"/>
  <c r="S31" i="1"/>
  <c r="S35" i="1"/>
  <c r="AA19" i="1"/>
  <c r="AA20" i="1"/>
  <c r="AA34" i="1"/>
  <c r="Z19" i="1"/>
  <c r="Z20" i="1"/>
  <c r="Z34" i="1"/>
  <c r="W19" i="1"/>
  <c r="W20" i="1"/>
  <c r="W34" i="1"/>
  <c r="T19" i="1"/>
  <c r="T20" i="1"/>
  <c r="T34" i="1"/>
  <c r="S19" i="1"/>
  <c r="S20" i="1"/>
  <c r="S34" i="1"/>
  <c r="C1" i="6"/>
  <c r="D1" i="6"/>
  <c r="E1" i="6"/>
  <c r="F1" i="6"/>
  <c r="B1" i="6"/>
  <c r="D2" i="6"/>
  <c r="E2" i="6"/>
  <c r="F2" i="6"/>
  <c r="D3" i="6"/>
  <c r="E3" i="6"/>
  <c r="F3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A7" i="7"/>
  <c r="B7" i="7"/>
  <c r="S44" i="1"/>
  <c r="S45" i="1"/>
  <c r="C7" i="7"/>
  <c r="T44" i="1"/>
  <c r="T45" i="1"/>
  <c r="D7" i="7"/>
  <c r="E3" i="12"/>
  <c r="F3" i="12"/>
  <c r="E4" i="12"/>
  <c r="F4" i="12"/>
  <c r="E5" i="12"/>
  <c r="F5" i="12"/>
  <c r="E6" i="12"/>
  <c r="F6" i="12"/>
  <c r="V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V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V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V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V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V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V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C6" i="11"/>
  <c r="V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V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C1" i="8"/>
  <c r="B1" i="8"/>
  <c r="B2" i="8"/>
  <c r="S49" i="1"/>
  <c r="C2" i="8"/>
  <c r="B3" i="8"/>
  <c r="S50" i="1"/>
  <c r="C3" i="8"/>
  <c r="B4" i="8"/>
  <c r="S51" i="1"/>
  <c r="C4" i="8"/>
  <c r="B5" i="8"/>
  <c r="S52" i="1"/>
  <c r="C5" i="8"/>
  <c r="B6" i="8"/>
  <c r="S53" i="1"/>
  <c r="C6" i="8"/>
  <c r="B7" i="8"/>
  <c r="S54" i="1"/>
  <c r="C7" i="8"/>
  <c r="B8" i="8"/>
  <c r="S55" i="1"/>
  <c r="C8" i="8"/>
  <c r="B9" i="8"/>
  <c r="S56" i="1"/>
  <c r="C9" i="8"/>
  <c r="B10" i="8"/>
  <c r="S57" i="1"/>
  <c r="C10" i="8"/>
  <c r="B11" i="8"/>
  <c r="S58" i="1"/>
  <c r="C11" i="8"/>
  <c r="B12" i="8"/>
  <c r="S59" i="1"/>
  <c r="C12" i="8"/>
  <c r="B13" i="8"/>
  <c r="S60" i="1"/>
  <c r="C13" i="8"/>
  <c r="A2" i="8"/>
  <c r="A3" i="8"/>
  <c r="A4" i="8"/>
  <c r="A5" i="8"/>
  <c r="A6" i="8"/>
  <c r="A7" i="8"/>
  <c r="A8" i="8"/>
  <c r="A9" i="8"/>
  <c r="A10" i="8"/>
  <c r="A11" i="8"/>
  <c r="A12" i="8"/>
  <c r="A13" i="8"/>
  <c r="A1" i="8"/>
  <c r="AA44" i="1"/>
  <c r="AA45" i="1"/>
  <c r="AA42" i="1"/>
  <c r="AA43" i="1"/>
  <c r="AA40" i="1"/>
  <c r="AA41" i="1"/>
  <c r="AA14" i="1"/>
  <c r="Z44" i="1"/>
  <c r="Z45" i="1"/>
  <c r="Z42" i="1"/>
  <c r="Z43" i="1"/>
  <c r="Z40" i="1"/>
  <c r="Z41" i="1"/>
  <c r="Z14" i="1"/>
  <c r="W44" i="1"/>
  <c r="W45" i="1"/>
  <c r="W42" i="1"/>
  <c r="W43" i="1"/>
  <c r="W40" i="1"/>
  <c r="W41" i="1"/>
  <c r="W14" i="1"/>
  <c r="T40" i="1"/>
  <c r="B17" i="1"/>
  <c r="AC4" i="1"/>
  <c r="T41" i="1"/>
  <c r="T42" i="1"/>
  <c r="T43" i="1"/>
  <c r="D1" i="7"/>
  <c r="D2" i="7"/>
  <c r="D3" i="7"/>
  <c r="D4" i="7"/>
  <c r="D5" i="7"/>
  <c r="D6" i="7"/>
  <c r="C1" i="7"/>
  <c r="A2" i="7"/>
  <c r="B2" i="7"/>
  <c r="S40" i="1"/>
  <c r="C2" i="7"/>
  <c r="A3" i="7"/>
  <c r="B3" i="7"/>
  <c r="S41" i="1"/>
  <c r="C3" i="7"/>
  <c r="A4" i="7"/>
  <c r="B4" i="7"/>
  <c r="S42" i="1"/>
  <c r="C4" i="7"/>
  <c r="A5" i="7"/>
  <c r="B5" i="7"/>
  <c r="S43" i="1"/>
  <c r="C5" i="7"/>
  <c r="A6" i="7"/>
  <c r="B6" i="7"/>
  <c r="C6" i="7"/>
  <c r="B1" i="7"/>
  <c r="A1" i="7"/>
  <c r="B5" i="6"/>
  <c r="C5" i="6"/>
  <c r="B6" i="6"/>
  <c r="C6" i="6"/>
  <c r="B7" i="6"/>
  <c r="C7" i="6"/>
  <c r="B8" i="6"/>
  <c r="C8" i="6"/>
  <c r="A8" i="6"/>
  <c r="A7" i="6"/>
  <c r="A6" i="6"/>
  <c r="A5" i="6"/>
  <c r="C2" i="6"/>
  <c r="D48" i="1"/>
  <c r="D50" i="1"/>
  <c r="D51" i="1"/>
  <c r="D53" i="1"/>
  <c r="C3" i="6"/>
  <c r="C4" i="6"/>
  <c r="B2" i="6"/>
  <c r="C31" i="1"/>
  <c r="C51" i="1"/>
  <c r="B18" i="1"/>
  <c r="C53" i="1"/>
  <c r="B3" i="6"/>
  <c r="B4" i="6"/>
  <c r="A3" i="6"/>
  <c r="A4" i="6"/>
  <c r="A2" i="6"/>
  <c r="S6" i="1"/>
  <c r="S4" i="1"/>
  <c r="T14" i="1"/>
  <c r="S14" i="1"/>
  <c r="B31" i="1"/>
  <c r="C36" i="1"/>
  <c r="D36" i="1"/>
  <c r="B36" i="1"/>
  <c r="B19" i="1"/>
  <c r="C65" i="4"/>
  <c r="C69" i="4"/>
  <c r="B60" i="4"/>
  <c r="C60" i="4"/>
  <c r="C62" i="4"/>
  <c r="B65" i="4"/>
  <c r="B69" i="4"/>
  <c r="B62" i="4"/>
  <c r="B70" i="4"/>
  <c r="C70" i="4"/>
  <c r="D63" i="1"/>
  <c r="D35" i="1"/>
  <c r="B12" i="1"/>
  <c r="B21" i="1"/>
  <c r="B20" i="1"/>
  <c r="C8" i="4"/>
  <c r="F8" i="4"/>
  <c r="G8" i="4"/>
  <c r="B8" i="4"/>
  <c r="J31" i="5"/>
  <c r="C6" i="4"/>
  <c r="D6" i="4"/>
  <c r="F6" i="4"/>
  <c r="B6" i="4"/>
  <c r="C31" i="4"/>
  <c r="D31" i="4"/>
  <c r="F31" i="4"/>
  <c r="G31" i="4"/>
  <c r="B31" i="4"/>
  <c r="C30" i="4"/>
  <c r="D30" i="4"/>
  <c r="F30" i="4"/>
  <c r="G30" i="4"/>
  <c r="B30" i="4"/>
  <c r="K32" i="5"/>
  <c r="J32" i="5"/>
  <c r="I30" i="5"/>
  <c r="I31" i="5"/>
  <c r="I32" i="5"/>
  <c r="H29" i="5"/>
  <c r="H30" i="5"/>
  <c r="H31" i="5"/>
  <c r="H32" i="5"/>
  <c r="G28" i="5"/>
  <c r="G29" i="5"/>
  <c r="G30" i="5"/>
  <c r="G31" i="5"/>
  <c r="G32" i="5"/>
  <c r="F27" i="5"/>
  <c r="F28" i="5"/>
  <c r="F29" i="5"/>
  <c r="F30" i="5"/>
  <c r="F31" i="5"/>
  <c r="F32" i="5"/>
  <c r="E26" i="5"/>
  <c r="E27" i="5"/>
  <c r="E28" i="5"/>
  <c r="E29" i="5"/>
  <c r="E30" i="5"/>
  <c r="E31" i="5"/>
  <c r="E32" i="5"/>
  <c r="D32" i="5"/>
  <c r="C24" i="5"/>
  <c r="C25" i="5"/>
  <c r="C26" i="5"/>
  <c r="C27" i="5"/>
  <c r="C28" i="5"/>
  <c r="C29" i="5"/>
  <c r="C30" i="5"/>
  <c r="C31" i="5"/>
  <c r="C32" i="5"/>
  <c r="D13" i="4"/>
  <c r="D14" i="4"/>
  <c r="E13" i="4"/>
  <c r="E14" i="4"/>
  <c r="E16" i="4"/>
  <c r="E17" i="4"/>
  <c r="C10" i="4"/>
  <c r="C11" i="4"/>
  <c r="D10" i="4"/>
  <c r="D11" i="4"/>
  <c r="E10" i="4"/>
  <c r="E11" i="4"/>
  <c r="B10" i="4"/>
  <c r="B11" i="4"/>
  <c r="E11" i="5"/>
  <c r="E12" i="5"/>
  <c r="E13" i="5"/>
  <c r="E14" i="5"/>
  <c r="E15" i="5"/>
  <c r="E16" i="5"/>
  <c r="E17" i="5"/>
  <c r="D10" i="5"/>
  <c r="D11" i="5"/>
  <c r="D12" i="5"/>
  <c r="D13" i="5"/>
  <c r="D14" i="5"/>
  <c r="D15" i="5"/>
  <c r="D16" i="5"/>
  <c r="D17" i="5"/>
  <c r="K17" i="5"/>
  <c r="J17" i="5"/>
  <c r="I15" i="5"/>
  <c r="I16" i="5"/>
  <c r="I17" i="5"/>
  <c r="H14" i="5"/>
  <c r="H15" i="5"/>
  <c r="H16" i="5"/>
  <c r="H17" i="5"/>
  <c r="G17" i="5"/>
  <c r="F12" i="5"/>
  <c r="F13" i="5"/>
  <c r="F14" i="5"/>
  <c r="F15" i="5"/>
  <c r="F16" i="5"/>
  <c r="F17" i="5"/>
  <c r="C9" i="5"/>
  <c r="C10" i="5"/>
  <c r="C11" i="5"/>
  <c r="C12" i="5"/>
  <c r="C13" i="5"/>
  <c r="C14" i="5"/>
  <c r="C15" i="5"/>
  <c r="C16" i="5"/>
  <c r="C17" i="5"/>
  <c r="B40" i="4"/>
  <c r="C40" i="4"/>
  <c r="D40" i="4"/>
  <c r="C38" i="4"/>
  <c r="B38" i="4"/>
  <c r="D38" i="4"/>
  <c r="B23" i="4"/>
  <c r="E23" i="4"/>
  <c r="C23" i="4"/>
  <c r="D23" i="4"/>
  <c r="D54" i="1"/>
  <c r="C42" i="1"/>
  <c r="G41" i="1"/>
  <c r="G40" i="1"/>
  <c r="B9" i="1"/>
  <c r="B10" i="1"/>
  <c r="B11" i="1"/>
  <c r="D42" i="1"/>
  <c r="D61" i="1"/>
  <c r="B51" i="1"/>
  <c r="D62" i="1"/>
  <c r="B52" i="1"/>
  <c r="B61" i="1"/>
  <c r="C52" i="1"/>
  <c r="C61" i="1"/>
  <c r="C54" i="1"/>
  <c r="C35" i="1"/>
  <c r="B42" i="1"/>
  <c r="B35" i="1"/>
  <c r="D52" i="1"/>
  <c r="B53" i="1"/>
  <c r="B54" i="1"/>
  <c r="B13" i="1"/>
  <c r="C62" i="1"/>
  <c r="B62" i="1"/>
  <c r="C55" i="1"/>
  <c r="C63" i="1"/>
  <c r="B56" i="1"/>
  <c r="B55" i="1"/>
  <c r="H52" i="1"/>
  <c r="H54" i="1"/>
  <c r="H55" i="1"/>
  <c r="B63" i="1"/>
  <c r="I52" i="1"/>
  <c r="I54" i="1"/>
  <c r="I55" i="1"/>
  <c r="J52" i="1"/>
  <c r="J54" i="1"/>
  <c r="J55" i="1"/>
  <c r="H33" i="1"/>
  <c r="H32" i="1"/>
  <c r="I32" i="1"/>
  <c r="J32" i="1"/>
  <c r="I33" i="1"/>
  <c r="J33" i="1"/>
  <c r="H31" i="1"/>
  <c r="J31" i="1"/>
  <c r="D43" i="1"/>
  <c r="D44" i="1"/>
  <c r="D45" i="1"/>
  <c r="C43" i="1"/>
  <c r="C44" i="1"/>
  <c r="C45" i="1"/>
  <c r="B43" i="1"/>
  <c r="B44" i="1"/>
  <c r="B45" i="1"/>
  <c r="I31" i="1"/>
</calcChain>
</file>

<file path=xl/comments1.xml><?xml version="1.0" encoding="utf-8"?>
<comments xmlns="http://schemas.openxmlformats.org/spreadsheetml/2006/main">
  <authors>
    <author>Ranjit</author>
    <author>Ranjit Deshmukh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For scenarios with different upfront costs like wind, solar, battery, there will be a common econ dispatch suffix.</t>
        </r>
      </text>
    </comment>
    <comment ref="D6" authorId="1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net load for high cost coal should be same as low cost coal.
</t>
        </r>
      </text>
    </comment>
  </commentList>
</comments>
</file>

<file path=xl/comments2.xml><?xml version="1.0" encoding="utf-8"?>
<comments xmlns="http://schemas.openxmlformats.org/spreadsheetml/2006/main">
  <authors>
    <author>Ranjit Deshmukh</author>
    <author>Ranjit</author>
  </authors>
  <commentList>
    <comment ref="AC5" authorId="0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Note that this is USD/MMBTU. It's an error. But USD/GJ is not tha different - 9.5.
</t>
        </r>
      </text>
    </comment>
    <comment ref="B6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A8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Sub-bituminous http://www.industry.gov.au/Office-of-the-Chief-Economist/Publications/Documents/Coal-in-India.pdf</t>
        </r>
      </text>
    </comment>
    <comment ref="B16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B18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multiple sources. See Data and Sources Worksheet.</t>
        </r>
      </text>
    </comment>
    <comment ref="D34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This B&amp;V number 
matched CERC 2014 numbers</t>
        </r>
      </text>
    </comment>
    <comment ref="B37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Key difference between CT vs CCGT/coal is that it can start stop during the day.</t>
        </r>
      </text>
    </comment>
    <comment ref="D37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India's regulation. B&amp;V 's was 40%.</t>
        </r>
      </text>
    </comment>
  </commentList>
</comments>
</file>

<file path=xl/comments3.xml><?xml version="1.0" encoding="utf-8"?>
<comments xmlns="http://schemas.openxmlformats.org/spreadsheetml/2006/main">
  <authors>
    <author>Ranjit</author>
  </authors>
  <commentList>
    <comment ref="B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Small gas turbine power gen 2016-17 costs
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CCGT 2016-17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for 2016-17 for supercritical 600 MW coal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72 500 MW subcritical coal. 2016-17 costs
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103; 500 MW plant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US wind installed cost in 2015 - $1690/kW - Wind report 2015 market data</t>
        </r>
      </text>
    </comment>
  </commentList>
</comments>
</file>

<file path=xl/sharedStrings.xml><?xml version="1.0" encoding="utf-8"?>
<sst xmlns="http://schemas.openxmlformats.org/spreadsheetml/2006/main" count="793" uniqueCount="444">
  <si>
    <t>Screening curves</t>
  </si>
  <si>
    <t>CT</t>
  </si>
  <si>
    <t>CCGT</t>
  </si>
  <si>
    <t>Coal</t>
  </si>
  <si>
    <t>Capital cost (USD/kW)</t>
  </si>
  <si>
    <t>Capital cost (INR/kW)</t>
  </si>
  <si>
    <t>Fixed O&amp;M (USD/kW-y)</t>
  </si>
  <si>
    <t>Variable O&amp;M (USD/MWh)</t>
  </si>
  <si>
    <t>Heat Rate (Btu/kWh)</t>
  </si>
  <si>
    <t>Minimum load</t>
  </si>
  <si>
    <t>Emissions CO2 (lbs/mmbtu)</t>
  </si>
  <si>
    <t>Emissions SO2 (lbs/mmbtu)</t>
  </si>
  <si>
    <t>Emissions Nox (lbs/mmbtu)</t>
  </si>
  <si>
    <t>PM10 (lbs/mmbtu)</t>
  </si>
  <si>
    <t>Fixed O&amp;M (INR/kW-y)</t>
  </si>
  <si>
    <t>Variable O&amp;M (INR/MWh)</t>
  </si>
  <si>
    <t>source: B&amp;V 2012</t>
  </si>
  <si>
    <t>Discount rate</t>
  </si>
  <si>
    <t>Plant life</t>
  </si>
  <si>
    <t>CRF</t>
  </si>
  <si>
    <t>Annualized fixed costs (USD/kW-y)</t>
  </si>
  <si>
    <t>Emissions CO2 (tonnes/MWh)</t>
  </si>
  <si>
    <t>Emissions SO2 (kg/MWh)</t>
  </si>
  <si>
    <t>Emissions Nox (kg/MWh)</t>
  </si>
  <si>
    <t>PM10 (kg/MWh)</t>
  </si>
  <si>
    <t>Fuel cost (Rangan's article)</t>
  </si>
  <si>
    <t>Coal (INR/GJ)</t>
  </si>
  <si>
    <t>NG (INR/GJ)</t>
  </si>
  <si>
    <t>Coal Calorific value (kcal/kg)</t>
  </si>
  <si>
    <t>Coal (INR/tonne)</t>
  </si>
  <si>
    <t>Coal Calorific value (GJ/tonne)</t>
  </si>
  <si>
    <t>Coal (USD/tonne)</t>
  </si>
  <si>
    <t>Variable cost (USD/MWh)</t>
  </si>
  <si>
    <t>Coal (USD/GJ)</t>
  </si>
  <si>
    <t>GJ per MMBTU</t>
  </si>
  <si>
    <t>lbs per kg</t>
  </si>
  <si>
    <t>INR per USD</t>
  </si>
  <si>
    <t>Variable cost (INR/MWh)</t>
  </si>
  <si>
    <t>NG (USD/GJ)</t>
  </si>
  <si>
    <t>Annualized fixed costs (INR/kW-y)</t>
  </si>
  <si>
    <t>Coal (kg/kWh)</t>
  </si>
  <si>
    <t>source</t>
  </si>
  <si>
    <t>CERC 2014</t>
  </si>
  <si>
    <t>source: http://cercind.gov.in/2014/regulation/reg21.pdf</t>
  </si>
  <si>
    <t>CERC</t>
  </si>
  <si>
    <t>B&amp;V</t>
  </si>
  <si>
    <t>Coal (kcal/kWh)</t>
  </si>
  <si>
    <t>NG heat rate - CT (kcal/kWh)</t>
  </si>
  <si>
    <t>CERC 2014 average</t>
  </si>
  <si>
    <t>NG heat rate - CCGT (kcal/kWh)</t>
  </si>
  <si>
    <t>Auxillary consumption</t>
  </si>
  <si>
    <t>B&amp;V average</t>
  </si>
  <si>
    <t>NG heat rate - CT (Btu/kWh)</t>
  </si>
  <si>
    <t>NG heat rate - CCGT (Btu/kWh)</t>
  </si>
  <si>
    <t>Btu per kcal</t>
  </si>
  <si>
    <t>gas_ct</t>
  </si>
  <si>
    <t>gas_ccgt</t>
  </si>
  <si>
    <t>coal</t>
  </si>
  <si>
    <t>gas_price</t>
  </si>
  <si>
    <t>0.61 - IESS coal and gas power stations GoI</t>
  </si>
  <si>
    <t>cap_cost_ct</t>
  </si>
  <si>
    <t>cap_cost_ccgt</t>
  </si>
  <si>
    <t>cap_cost_coal</t>
  </si>
  <si>
    <t>Expected PLF in hours</t>
  </si>
  <si>
    <t>See NEP Vol I page 241; page 309 shows gas as 0.49, coal as 1.01</t>
  </si>
  <si>
    <t>O&amp;M</t>
  </si>
  <si>
    <t>Coal SC</t>
  </si>
  <si>
    <t>Coal SubC</t>
  </si>
  <si>
    <t>Sources</t>
  </si>
  <si>
    <t>CERC (Terms and Conditions of Tariff) Regulations 2014</t>
  </si>
  <si>
    <t>Heat rates</t>
  </si>
  <si>
    <t>kcal/kWh</t>
  </si>
  <si>
    <t>CERC 2014 "Recommendations on Operation Norms for Thermal Power Stations Tariff Period 2014-19"</t>
  </si>
  <si>
    <t>CERC 2014 Operating norms for gas</t>
  </si>
  <si>
    <t>Heat Rate (kcal/kWh) (converted from Btu/kWh)</t>
  </si>
  <si>
    <t>See NEP Vol I page 151 for more estimates</t>
  </si>
  <si>
    <t>B&amp;V &amp; CERC 2014 operating norms</t>
  </si>
  <si>
    <t>CERC 2014 heat rate for super critical is 2375; NEP Vol I for coal is 2350; gas is 1850 (doesn't say which gas).</t>
  </si>
  <si>
    <t>Capital costs</t>
  </si>
  <si>
    <t>EIA Capital cost estimates for utility scale elec gen plants 2016; coal cost is only for ultra-supercritical; CT is advanced (regular one is 1101)</t>
  </si>
  <si>
    <t>Nuclear</t>
  </si>
  <si>
    <t>Hydro</t>
  </si>
  <si>
    <t xml:space="preserve">O&amp;M (USD/kW-y) </t>
  </si>
  <si>
    <t>Btu/kWh</t>
  </si>
  <si>
    <t>B&amp;V-NREL 2012</t>
  </si>
  <si>
    <t>USD/kW (2009$)</t>
  </si>
  <si>
    <t>B&amp;V (combine with variable)</t>
  </si>
  <si>
    <t>B&amp;V (combine with fixed)</t>
  </si>
  <si>
    <t>O&amp;M (USD/MWh)</t>
  </si>
  <si>
    <t>B&amp;V-NREL 2012; coal is pulverized coal plant</t>
  </si>
  <si>
    <t>EIA 2016</t>
  </si>
  <si>
    <t>EIA 2016 (combine with variable)</t>
  </si>
  <si>
    <t>EIA 2016 (combine with fixed)</t>
  </si>
  <si>
    <t>National Electricity Plan Draft - CEA 2016; page 152 coal 660 MW unit</t>
  </si>
  <si>
    <t>CERC Operating norms for thermal power generating plants 2014; Average of plants mentioned in order</t>
  </si>
  <si>
    <t>kcal/kWh (converted)</t>
  </si>
  <si>
    <t>Coal (kg/kWh) computed</t>
  </si>
  <si>
    <t>INR Rs lakhs/MW (2012)</t>
  </si>
  <si>
    <t>IESS 2047; first apply inflation rate and then convert to USD</t>
  </si>
  <si>
    <t>Data and sources</t>
  </si>
  <si>
    <t>IESS 2047; gas costs are not split into CCGT and CT. don't use</t>
  </si>
  <si>
    <t>Phadke et al 2016</t>
  </si>
  <si>
    <t>INR Rs lakhs/MW (2015)</t>
  </si>
  <si>
    <t>CERC 2012 Benchmark capital costs for thermal power stations with coal as fuel; average of costs of six units of 660 MW for SC and another six units of 500 MW for SubC</t>
  </si>
  <si>
    <t>India Inflation rates</t>
  </si>
  <si>
    <t>http://www.inflation.eu/inflation-rates/india/historic-inflation/cpi-inflation-india.aspx</t>
  </si>
  <si>
    <t>source: Consumer Price Index India</t>
  </si>
  <si>
    <t>Average annual inflation rate</t>
  </si>
  <si>
    <t>INR Rs lakhs/MW (2016)</t>
  </si>
  <si>
    <t>Cumulative inflation factors</t>
  </si>
  <si>
    <t>IESS 2047 adjusted for inflation</t>
  </si>
  <si>
    <t>USD/kW (2016 USD)</t>
  </si>
  <si>
    <t>CERC 2012 adjusted for inflation</t>
  </si>
  <si>
    <t>Phadke et al 2016 adjusted for inflation</t>
  </si>
  <si>
    <t>USD/kW (2016)</t>
  </si>
  <si>
    <t>USD/kW (2015 $)</t>
  </si>
  <si>
    <t>O&amp;M (USD/kW-y)(2016)</t>
  </si>
  <si>
    <t>CERC (Terms and Conditions of Tariff) Regulations 2014; values are for 2016-17, so no inflation rate applied</t>
  </si>
  <si>
    <t>O&amp;M (USD/kW-y) (2009$)</t>
  </si>
  <si>
    <t>O&amp;M (USD/MWh) (2009$)</t>
  </si>
  <si>
    <t>INDIA</t>
  </si>
  <si>
    <t>US</t>
  </si>
  <si>
    <t>O&amp;M (USD/kW-y) (2016$)</t>
  </si>
  <si>
    <t>O&amp;M (USD/MWh) (2016$)</t>
  </si>
  <si>
    <t xml:space="preserve">CERC (Terms and Conditions of Tariff) Regulations 2014 - not sure if these include variable O&amp;M as well. I am assuming not. Then gas O&amp;M make sense, but coal for India is much lower than US, which also makes sense. </t>
  </si>
  <si>
    <t>USD/kW (2016 $)</t>
  </si>
  <si>
    <t>B&amp;V-NREL 2012; adjusted for inflation</t>
  </si>
  <si>
    <t>EIA 2016 adjusted for inflation</t>
  </si>
  <si>
    <t>CERC 2014 assumed zero</t>
  </si>
  <si>
    <t>O&amp;M (INR/kW-y)(2016)</t>
  </si>
  <si>
    <t>O&amp;M (INR/MWh) (2016)</t>
  </si>
  <si>
    <t>O&amp;M (USD/MWh) (2016)</t>
  </si>
  <si>
    <t>NEP 2016</t>
  </si>
  <si>
    <t>NG heat rate - coal super critical (kcal/kWh)</t>
  </si>
  <si>
    <t>Aux consumption</t>
  </si>
  <si>
    <t>Discount rates</t>
  </si>
  <si>
    <t>%</t>
  </si>
  <si>
    <t>Central bank December 2016</t>
  </si>
  <si>
    <t>CERC regulations (I think this is nominal discount rate because it determines tariff over the lifetime of the plant)</t>
  </si>
  <si>
    <t>CERC - 10.8% is probably nominal, so using 7%</t>
  </si>
  <si>
    <t>LNG</t>
  </si>
  <si>
    <t>USD/MMBTU</t>
  </si>
  <si>
    <t>World Bank forecast (2017) for 2030 for Natural Gas LNG in Japan</t>
  </si>
  <si>
    <t>12.7 - Indonesian LNG in Japan - source IMF (2016) - Quarterly average from 2014 Q1 to 2016 Q2 ; 10.7 - Indonesian LNG in Japan - IMF - average of medium term commodity baseline that includes past baseline data from 2009 to 2016, and future projections till 2021</t>
  </si>
  <si>
    <t>IMF (2017) LNG forecast for 2017-2022 Indonesian gas in Japan</t>
  </si>
  <si>
    <t>World LNG Estimated Landed Prices June 2017 - Federal Energy Regulatory Commission (2017)</t>
  </si>
  <si>
    <t>Outage rates</t>
  </si>
  <si>
    <t>Hour</t>
  </si>
  <si>
    <t>Cutoff Hour</t>
  </si>
  <si>
    <t>For screening curve plots</t>
  </si>
  <si>
    <t>Solar and wind costs</t>
  </si>
  <si>
    <t>1USD to Rs</t>
  </si>
  <si>
    <t>Capital cost adjusted (USD/kW)</t>
  </si>
  <si>
    <t>LCOE (USD/MWh)</t>
  </si>
  <si>
    <t>Average capacity factor</t>
  </si>
  <si>
    <t>LCOE (INR/kWh)</t>
  </si>
  <si>
    <t>Plant Life (years)</t>
  </si>
  <si>
    <t>Fixed O&amp;M Costs (USD/kW)</t>
  </si>
  <si>
    <t>Variable O&amp;M Costs (USD/kWh)</t>
  </si>
  <si>
    <t>Wind</t>
  </si>
  <si>
    <t>Solar PV</t>
  </si>
  <si>
    <t>These are average capacity factors from S0W400 and S400W0 generation profiles</t>
  </si>
  <si>
    <t>Capital cost adjusted (INR/kW)</t>
  </si>
  <si>
    <t>LNG (USD/MMBTU)</t>
  </si>
  <si>
    <t>(FERC - 5.57 landed in India - https://www.ferc.gov/market-oversight/mkt-gas/overview/ngas-ovr-lng-wld-pr-est.pdf)</t>
  </si>
  <si>
    <t>LNG (USD/GJ)</t>
  </si>
  <si>
    <t>Heat Rate (MJ/kWh) converted from Btu/kWh)</t>
  </si>
  <si>
    <t>coallc</t>
  </si>
  <si>
    <t>Coal Capital Cost (USD/kW)</t>
  </si>
  <si>
    <t>coalhc</t>
  </si>
  <si>
    <t>Coal Fuel Cost (USD/GJ)</t>
  </si>
  <si>
    <t>coalhvc</t>
  </si>
  <si>
    <t>coallvc</t>
  </si>
  <si>
    <t>CT Capital Cost (USD/kW)</t>
  </si>
  <si>
    <t>Gas Fuel Cost USD/GJ)</t>
  </si>
  <si>
    <t>ctlc</t>
  </si>
  <si>
    <t>cthc</t>
  </si>
  <si>
    <t>ccgtlc</t>
  </si>
  <si>
    <t>ccgthc</t>
  </si>
  <si>
    <t>gaslvc</t>
  </si>
  <si>
    <t>CCGT Capital Cost (USD/kW)</t>
  </si>
  <si>
    <t>gashvc</t>
  </si>
  <si>
    <t>scenario</t>
  </si>
  <si>
    <t>fuel_cost_coal</t>
  </si>
  <si>
    <t>disc_rate</t>
  </si>
  <si>
    <t>Discount Rate</t>
  </si>
  <si>
    <t>discr7</t>
  </si>
  <si>
    <t>discr10</t>
  </si>
  <si>
    <t>discr4</t>
  </si>
  <si>
    <t>crf</t>
  </si>
  <si>
    <t>Crossover points</t>
  </si>
  <si>
    <t>Crossover points - only CT and coal</t>
  </si>
  <si>
    <t>Screening Curves</t>
  </si>
  <si>
    <t>technology</t>
  </si>
  <si>
    <t>hour</t>
  </si>
  <si>
    <t>CT-LNG</t>
  </si>
  <si>
    <t>CCGT-LNG</t>
  </si>
  <si>
    <t>generator_cost_all</t>
  </si>
  <si>
    <t>cost_type</t>
  </si>
  <si>
    <t>ct</t>
  </si>
  <si>
    <t>ccgt</t>
  </si>
  <si>
    <t>wind</t>
  </si>
  <si>
    <t>solarPV</t>
  </si>
  <si>
    <t>capital</t>
  </si>
  <si>
    <t>om</t>
  </si>
  <si>
    <t>Total cost INR per kWh</t>
  </si>
  <si>
    <t>Fixed cost INR per kWh</t>
  </si>
  <si>
    <t>USD/kW</t>
  </si>
  <si>
    <t>USD/GJ</t>
  </si>
  <si>
    <t>Wind Capital Cost (USD/kW)</t>
  </si>
  <si>
    <t>W10lc</t>
  </si>
  <si>
    <t>W20lc</t>
  </si>
  <si>
    <t>W30lc</t>
  </si>
  <si>
    <t>Solar PV Capital Cost (USD/kW)</t>
  </si>
  <si>
    <t>S10lc</t>
  </si>
  <si>
    <t>S20lc</t>
  </si>
  <si>
    <t>S30lc</t>
  </si>
  <si>
    <t>Solar O&amp;M Cost (USD/kW-y)</t>
  </si>
  <si>
    <t>Wind O&amp;M Cost(USD/kW-y)</t>
  </si>
  <si>
    <t>scenario_coal_gas</t>
  </si>
  <si>
    <t>scenario_wind (blank for base)</t>
  </si>
  <si>
    <t>scenario_solar (blank for base)</t>
  </si>
  <si>
    <t>base</t>
  </si>
  <si>
    <t>scenario_battery (blank for base)</t>
  </si>
  <si>
    <t>Battery Capital Cost (USD/kW)</t>
  </si>
  <si>
    <t>battery</t>
  </si>
  <si>
    <t>Battery O&amp;M Cost (USD/kW-y)</t>
  </si>
  <si>
    <t>MAIN COST DATA</t>
  </si>
  <si>
    <t>parameter</t>
  </si>
  <si>
    <t>comment</t>
  </si>
  <si>
    <t>high_cost_coal</t>
  </si>
  <si>
    <t>hydro_low25p</t>
  </si>
  <si>
    <t>hydro_high25p</t>
  </si>
  <si>
    <t>nuclear64</t>
  </si>
  <si>
    <t>battery15</t>
  </si>
  <si>
    <t>battery30</t>
  </si>
  <si>
    <t>wind10LC</t>
  </si>
  <si>
    <t>wind20LC</t>
  </si>
  <si>
    <t>wind30LC</t>
  </si>
  <si>
    <t>solar10LC</t>
  </si>
  <si>
    <t>solar20LC</t>
  </si>
  <si>
    <t>solar30LC</t>
  </si>
  <si>
    <t>wind30LC_solar30LC</t>
  </si>
  <si>
    <t>wind120HH</t>
  </si>
  <si>
    <t>solar1A</t>
  </si>
  <si>
    <t>solar90deg</t>
  </si>
  <si>
    <t>load_modified</t>
  </si>
  <si>
    <t>scenario_suffix</t>
  </si>
  <si>
    <t>input</t>
  </si>
  <si>
    <t>suggested_scenario_suffix</t>
  </si>
  <si>
    <t>new_conventional_capacity_folder_suffix</t>
  </si>
  <si>
    <t>net_load_folder_suffix</t>
  </si>
  <si>
    <t>REvalue_folder_suffix</t>
  </si>
  <si>
    <t>generator_cost_suffix</t>
  </si>
  <si>
    <t>coal_cost</t>
  </si>
  <si>
    <t>low, mid, or high. Low is base.</t>
  </si>
  <si>
    <t>low</t>
  </si>
  <si>
    <t>high</t>
  </si>
  <si>
    <t>coal_cost_suffix</t>
  </si>
  <si>
    <t>coal_cost_fkey</t>
  </si>
  <si>
    <t>coal_min_gen</t>
  </si>
  <si>
    <t>percentage, 70p is base</t>
  </si>
  <si>
    <t>coal_min_gen_suffix</t>
  </si>
  <si>
    <t>hydro_energy_mod</t>
  </si>
  <si>
    <t>percentage, 0 is base, pos or neg direction</t>
  </si>
  <si>
    <t>hydro_energy_mod_suffix</t>
  </si>
  <si>
    <t>nuclear_new_cap</t>
  </si>
  <si>
    <t>GW. 0 is base. 64 GW is India plan</t>
  </si>
  <si>
    <t>nuclear_new_cap_suffix</t>
  </si>
  <si>
    <t>battery_cap_gw</t>
  </si>
  <si>
    <t>gw capacity. 0 is base</t>
  </si>
  <si>
    <t>battery_cap_gw_suffix</t>
  </si>
  <si>
    <t>battery_cap_gw_fkey</t>
  </si>
  <si>
    <t>wind_cost</t>
  </si>
  <si>
    <t>percentage change</t>
  </si>
  <si>
    <t>wind_cost_direction</t>
  </si>
  <si>
    <t>low or high</t>
  </si>
  <si>
    <t>wind_cost_suffix</t>
  </si>
  <si>
    <t>wind_cost_fkey</t>
  </si>
  <si>
    <t>solar_cost</t>
  </si>
  <si>
    <t>solar_cost_direction</t>
  </si>
  <si>
    <t>solar_cost_suffix</t>
  </si>
  <si>
    <t>solar_cost_fkey</t>
  </si>
  <si>
    <t>wind_HH</t>
  </si>
  <si>
    <t>Hub height in meters. 80m is base</t>
  </si>
  <si>
    <t>wind_HH_suffix</t>
  </si>
  <si>
    <t>wind_HH_fkey</t>
  </si>
  <si>
    <t>solar_orient</t>
  </si>
  <si>
    <t>degrees to west 0d, 45d, 90d or 1A for 1 axis tracking</t>
  </si>
  <si>
    <t>0d</t>
  </si>
  <si>
    <t>1A</t>
  </si>
  <si>
    <t>90d</t>
  </si>
  <si>
    <t>solar_orient_suffix</t>
  </si>
  <si>
    <t>solar_orient_fkey</t>
  </si>
  <si>
    <t>load_year</t>
  </si>
  <si>
    <t>load_year_suffix</t>
  </si>
  <si>
    <t>load_modifier</t>
  </si>
  <si>
    <t>"none", "mod", "mod1".</t>
  </si>
  <si>
    <t>none</t>
  </si>
  <si>
    <t>mod</t>
  </si>
  <si>
    <t>load_modified_suffix</t>
  </si>
  <si>
    <t>dispatch_horizon</t>
  </si>
  <si>
    <t>RT or LA. If LA, include days</t>
  </si>
  <si>
    <t>RT</t>
  </si>
  <si>
    <t>LA_days</t>
  </si>
  <si>
    <t>dispatch_time_suffix</t>
  </si>
  <si>
    <t>nolookahead</t>
  </si>
  <si>
    <t>no battery</t>
  </si>
  <si>
    <t>S200W00</t>
  </si>
  <si>
    <t>lookahead</t>
  </si>
  <si>
    <t>mins</t>
  </si>
  <si>
    <t>estimated time for 16 mixes and targets</t>
  </si>
  <si>
    <t>hours</t>
  </si>
  <si>
    <t>minutes</t>
  </si>
  <si>
    <t>run</t>
  </si>
  <si>
    <t>econ dispatch net load script</t>
  </si>
  <si>
    <t>econ dispatch script</t>
  </si>
  <si>
    <t>Simulations</t>
  </si>
  <si>
    <t>70min/55min</t>
  </si>
  <si>
    <t>gasLC/HC</t>
  </si>
  <si>
    <t>coalLC/HC</t>
  </si>
  <si>
    <t>stoBat30/60</t>
  </si>
  <si>
    <t>loadMod</t>
  </si>
  <si>
    <t>nuc0/64</t>
  </si>
  <si>
    <t>hydro0/HE25/LE25</t>
  </si>
  <si>
    <t>solar0/45/90/1A</t>
  </si>
  <si>
    <t>windLC10p/20p/30p</t>
  </si>
  <si>
    <t>wind80/100/120</t>
  </si>
  <si>
    <t>solarLC10p/20p/30p</t>
  </si>
  <si>
    <t>Energy value</t>
  </si>
  <si>
    <t>Capacity value</t>
  </si>
  <si>
    <t>Cost</t>
  </si>
  <si>
    <t>cost summary R script</t>
  </si>
  <si>
    <t>screening curve script</t>
  </si>
  <si>
    <t>net load script</t>
  </si>
  <si>
    <t>Solar 90deg West</t>
  </si>
  <si>
    <t>solar45deg</t>
  </si>
  <si>
    <t>Solar 45deg Southwest</t>
  </si>
  <si>
    <t>Solar 1axis tracking</t>
  </si>
  <si>
    <t>wind120</t>
  </si>
  <si>
    <t>Wind 120m HH</t>
  </si>
  <si>
    <t>wind100</t>
  </si>
  <si>
    <t>Wind 100m HH</t>
  </si>
  <si>
    <t>maybe</t>
  </si>
  <si>
    <t>2013 load</t>
  </si>
  <si>
    <t>2012 load</t>
  </si>
  <si>
    <t>loadMod2014</t>
  </si>
  <si>
    <t>Load shape change</t>
  </si>
  <si>
    <t>CANCEL?</t>
  </si>
  <si>
    <t>Discount rate 10% VRE costs</t>
  </si>
  <si>
    <t>Discount rate 10%</t>
  </si>
  <si>
    <t>Discount rate 4% VRE costs</t>
  </si>
  <si>
    <t>Discount rate 4%</t>
  </si>
  <si>
    <t>CANCEL; just compare DR to storage in text. Storage efficiency, which leads to additional energy for charging is akin to DR rebound whre consumption may increase in non-peak hours.</t>
  </si>
  <si>
    <t>Demand response 10% daily energy</t>
  </si>
  <si>
    <t>Demand response 5% daily energy</t>
  </si>
  <si>
    <t>that's 30% of solar 200 GW target</t>
  </si>
  <si>
    <t>input file with extension</t>
  </si>
  <si>
    <t>stoBat60</t>
  </si>
  <si>
    <t>Battery Storage 20% peak ~ 60 GW</t>
  </si>
  <si>
    <t>stoBat45</t>
  </si>
  <si>
    <t>Battery Storage 15% peak ~ 45 GW</t>
  </si>
  <si>
    <t>that's 15% of solar 200 GW target</t>
  </si>
  <si>
    <t>stoBat30</t>
  </si>
  <si>
    <t>Battery Storage 10% peak ~ 30 GW</t>
  </si>
  <si>
    <t>stoBat15</t>
  </si>
  <si>
    <t>Battery Storage 5% peak ~ 15 GW</t>
  </si>
  <si>
    <t>I don't have capacity costs for nuclear. Can only determine energy value</t>
  </si>
  <si>
    <t>nuc64</t>
  </si>
  <si>
    <t>Nuclear 64 GW</t>
  </si>
  <si>
    <t>low energy</t>
  </si>
  <si>
    <t>hydroLE25p</t>
  </si>
  <si>
    <t>Hydro 25% higher</t>
  </si>
  <si>
    <t>high energy</t>
  </si>
  <si>
    <t>hydroHE25p</t>
  </si>
  <si>
    <t>Hydro 25% lower</t>
  </si>
  <si>
    <t>R script</t>
  </si>
  <si>
    <t>windLC20p</t>
  </si>
  <si>
    <t>Wind lower costs 20%</t>
  </si>
  <si>
    <t>windLC10p</t>
  </si>
  <si>
    <t>Wind lower costs 10%</t>
  </si>
  <si>
    <t>solarLC20p</t>
  </si>
  <si>
    <t>Solar lower costs 20%</t>
  </si>
  <si>
    <t>solarLC10p</t>
  </si>
  <si>
    <t>Solar lower costs 10%</t>
  </si>
  <si>
    <t>55min</t>
  </si>
  <si>
    <t>Minimum gen level 55%</t>
  </si>
  <si>
    <t>coalHC</t>
  </si>
  <si>
    <t>High Cost Coal</t>
  </si>
  <si>
    <t>coalLC</t>
  </si>
  <si>
    <t>Low Cost Coal</t>
  </si>
  <si>
    <t>Discount rate 7%, Min gen level 70%</t>
  </si>
  <si>
    <t>Base case</t>
  </si>
  <si>
    <t>Sensitivities</t>
  </si>
  <si>
    <t>S100 - W0</t>
  </si>
  <si>
    <t>S75 - W25</t>
  </si>
  <si>
    <t>S50 - W50</t>
  </si>
  <si>
    <t>S25 - W75</t>
  </si>
  <si>
    <t>S0 - W100</t>
  </si>
  <si>
    <t>S0 - W0</t>
  </si>
  <si>
    <t>Base</t>
  </si>
  <si>
    <t>method</t>
  </si>
  <si>
    <t>scenario abbreviation</t>
  </si>
  <si>
    <t>Exogenous to models</t>
  </si>
  <si>
    <t>System operations</t>
  </si>
  <si>
    <t>Capacity expansion</t>
  </si>
  <si>
    <t>VRE Buildout share</t>
  </si>
  <si>
    <t>VRE Buildout Capacity</t>
  </si>
  <si>
    <t>Scenarios</t>
  </si>
  <si>
    <t>Scenarios and sensitivities</t>
  </si>
  <si>
    <t>scenario (generator_cost_suffix)</t>
  </si>
  <si>
    <t>net load</t>
  </si>
  <si>
    <t>screening curves</t>
  </si>
  <si>
    <t>economic dispatch</t>
  </si>
  <si>
    <t>wind profiles</t>
  </si>
  <si>
    <t>solar profiles</t>
  </si>
  <si>
    <t>done</t>
  </si>
  <si>
    <t>coal_55mingen</t>
  </si>
  <si>
    <t>economic_dispatch_folder_suffix</t>
  </si>
  <si>
    <t>wind120HH_solar1A</t>
  </si>
  <si>
    <t>battery_cost</t>
  </si>
  <si>
    <t>battery_cost_direction</t>
  </si>
  <si>
    <t>battery_cost_suffix</t>
  </si>
  <si>
    <t>battery_cost_fkey</t>
  </si>
  <si>
    <t>battery15B25LC</t>
  </si>
  <si>
    <t>battery15B50LC</t>
  </si>
  <si>
    <t>battery30B25LC</t>
  </si>
  <si>
    <t>battery30B50LC</t>
  </si>
  <si>
    <t>B25lc</t>
  </si>
  <si>
    <t>B50lc</t>
  </si>
  <si>
    <t>Only fixed costs USD/kW-y. Variable costs accounted for in Econ dispatch.</t>
  </si>
  <si>
    <t>Renewable Energy LCOE</t>
  </si>
  <si>
    <t>Capital Cost (USD/kW)</t>
  </si>
  <si>
    <t>O&amp;M Cost(USD/kW-y)</t>
  </si>
  <si>
    <t>Auction Prices (INR/kWh)</t>
  </si>
  <si>
    <t>Capacity factor (Average 80m Revalue gen profiles)</t>
  </si>
  <si>
    <t>Prayas analysis forthcoming report - Rs 7 crore per MW from CEA data</t>
  </si>
  <si>
    <t>USD/kW (2018)</t>
  </si>
  <si>
    <t>Prayas analysis forthcoming report - Rs 7 crore per MW from CEA data + FGD cost of Rs 40 lakhs per MW from http://www.cercind.gov.in/2018/orders/104.pdf</t>
  </si>
  <si>
    <t xml:space="preserve">Coal High Cost (USD/GJ) </t>
  </si>
  <si>
    <t>backcalculated to get VC INR2.99/kWh (~3) as per Prayas forthcoming report.</t>
  </si>
  <si>
    <t>screening curve and econ dispatch</t>
  </si>
  <si>
    <t>add FGD and other adders from CEA report to FC and use INR 3 per kWh VC, change coal price accordingly</t>
  </si>
  <si>
    <t>coalHC_wind30LC_solar30LC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</si>
</sst>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000"/>
    <numFmt numFmtId="166" formatCode="0.0"/>
    <numFmt numFmtId="167" formatCode="0.0000"/>
    <numFmt numFmtId="168" formatCode="0.0%"/>
    <numFmt numFmtId="169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0" fontId="2" fillId="0" borderId="0" xfId="0" applyFont="1"/>
    <xf numFmtId="10" fontId="0" fillId="0" borderId="0" xfId="0" applyNumberFormat="1"/>
    <xf numFmtId="165" fontId="3" fillId="0" borderId="0" xfId="0" applyNumberFormat="1" applyFont="1" applyFill="1" applyBorder="1" applyAlignment="1">
      <alignment horizontal="right"/>
    </xf>
    <xf numFmtId="10" fontId="2" fillId="0" borderId="0" xfId="0" applyNumberFormat="1" applyFont="1"/>
    <xf numFmtId="9" fontId="0" fillId="0" borderId="0" xfId="1" applyFont="1"/>
    <xf numFmtId="168" fontId="0" fillId="0" borderId="0" xfId="1" applyNumberFormat="1" applyFont="1"/>
    <xf numFmtId="0" fontId="0" fillId="0" borderId="0" xfId="0" applyAlignment="1">
      <alignment wrapText="1"/>
    </xf>
    <xf numFmtId="1" fontId="2" fillId="0" borderId="0" xfId="0" applyNumberFormat="1" applyFont="1"/>
    <xf numFmtId="1" fontId="0" fillId="0" borderId="0" xfId="0" applyNumberFormat="1" applyFont="1"/>
    <xf numFmtId="169" fontId="3" fillId="0" borderId="0" xfId="2" applyNumberFormat="1" applyFont="1" applyFill="1" applyBorder="1" applyAlignment="1">
      <alignment horizontal="right"/>
    </xf>
    <xf numFmtId="169" fontId="0" fillId="0" borderId="0" xfId="2" applyNumberFormat="1" applyFont="1" applyBorder="1" applyAlignment="1">
      <alignment horizontal="right"/>
    </xf>
    <xf numFmtId="10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ont="1"/>
  </cellXfs>
  <cellStyles count="1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5"/>
  <sheetViews>
    <sheetView tabSelected="1" workbookViewId="0">
      <pane xSplit="1" ySplit="8" topLeftCell="B9" activePane="bottomRight" state="frozen"/>
      <selection pane="topRight" activeCell="B1" sqref="B1"/>
      <selection pane="bottomLeft" activeCell="A8" sqref="A8"/>
      <selection pane="bottomRight" activeCell="G15" sqref="G15"/>
    </sheetView>
  </sheetViews>
  <sheetFormatPr baseColWidth="10" defaultColWidth="8.83203125" defaultRowHeight="14" x14ac:dyDescent="0"/>
  <cols>
    <col min="1" max="1" width="39" bestFit="1" customWidth="1"/>
    <col min="2" max="2" width="39" customWidth="1"/>
    <col min="3" max="3" width="13.1640625" bestFit="1" customWidth="1"/>
    <col min="4" max="4" width="14.1640625" bestFit="1" customWidth="1"/>
    <col min="5" max="5" width="13.1640625" bestFit="1" customWidth="1"/>
    <col min="6" max="6" width="13.6640625" bestFit="1" customWidth="1"/>
    <col min="7" max="7" width="14.33203125" bestFit="1" customWidth="1"/>
    <col min="8" max="14" width="13.1640625" bestFit="1" customWidth="1"/>
    <col min="15" max="16" width="12.83203125" bestFit="1" customWidth="1"/>
    <col min="17" max="17" width="19" bestFit="1" customWidth="1"/>
    <col min="18" max="18" width="13.5" bestFit="1" customWidth="1"/>
    <col min="19" max="19" width="11.6640625" bestFit="1" customWidth="1"/>
    <col min="20" max="20" width="13.1640625" bestFit="1" customWidth="1"/>
    <col min="21" max="21" width="18.83203125" bestFit="1" customWidth="1"/>
    <col min="22" max="22" width="13.1640625" bestFit="1" customWidth="1"/>
    <col min="23" max="25" width="16.33203125" bestFit="1" customWidth="1"/>
    <col min="26" max="26" width="14.6640625" bestFit="1" customWidth="1"/>
    <col min="27" max="27" width="22.83203125" bestFit="1" customWidth="1"/>
  </cols>
  <sheetData>
    <row r="1" spans="1:27">
      <c r="A1" t="s">
        <v>228</v>
      </c>
      <c r="B1" t="s">
        <v>229</v>
      </c>
      <c r="C1" t="s">
        <v>222</v>
      </c>
      <c r="D1" t="s">
        <v>230</v>
      </c>
      <c r="E1" t="s">
        <v>417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  <c r="N1" t="s">
        <v>239</v>
      </c>
      <c r="O1" t="s">
        <v>240</v>
      </c>
      <c r="P1" t="s">
        <v>241</v>
      </c>
      <c r="Q1" t="s">
        <v>242</v>
      </c>
      <c r="R1" t="s">
        <v>243</v>
      </c>
      <c r="S1" t="s">
        <v>244</v>
      </c>
      <c r="T1" t="s">
        <v>245</v>
      </c>
      <c r="U1" t="s">
        <v>419</v>
      </c>
      <c r="V1" t="s">
        <v>246</v>
      </c>
      <c r="W1" t="s">
        <v>424</v>
      </c>
      <c r="X1" t="s">
        <v>425</v>
      </c>
      <c r="Y1" t="s">
        <v>426</v>
      </c>
      <c r="Z1" t="s">
        <v>427</v>
      </c>
      <c r="AA1" t="s">
        <v>443</v>
      </c>
    </row>
    <row r="2" spans="1:27">
      <c r="A2" s="21" t="s">
        <v>247</v>
      </c>
      <c r="B2" s="21" t="s">
        <v>248</v>
      </c>
      <c r="C2" s="21" t="str">
        <f>C3</f>
        <v>ClcC70m</v>
      </c>
      <c r="D2" s="21" t="str">
        <f>D3</f>
        <v>ChcC70m</v>
      </c>
      <c r="E2" s="21" t="str">
        <f t="shared" ref="E2:Z2" si="0">E3</f>
        <v>ClcC55m</v>
      </c>
      <c r="F2" s="21" t="str">
        <f t="shared" si="0"/>
        <v>ClcC70mH-25</v>
      </c>
      <c r="G2" s="21" t="str">
        <f t="shared" si="0"/>
        <v>ClcC70mH25</v>
      </c>
      <c r="H2" s="21" t="str">
        <f t="shared" si="0"/>
        <v>ClcC70mN64</v>
      </c>
      <c r="I2" s="21" t="str">
        <f t="shared" si="0"/>
        <v>ClcC70mB15</v>
      </c>
      <c r="J2" s="21" t="str">
        <f t="shared" si="0"/>
        <v>ClcC70mB30</v>
      </c>
      <c r="K2" s="21" t="str">
        <f t="shared" si="0"/>
        <v>ClcC70mW10lc</v>
      </c>
      <c r="L2" s="21" t="str">
        <f t="shared" si="0"/>
        <v>ClcC70mW20lc</v>
      </c>
      <c r="M2" s="21" t="str">
        <f t="shared" si="0"/>
        <v>ClcC70mW30lc</v>
      </c>
      <c r="N2" s="21" t="str">
        <f t="shared" si="0"/>
        <v>ClcC70mS10lc</v>
      </c>
      <c r="O2" s="21" t="str">
        <f t="shared" si="0"/>
        <v>ClcC70mS20lc</v>
      </c>
      <c r="P2" s="21" t="str">
        <f t="shared" si="0"/>
        <v>ClcC70mS30lc</v>
      </c>
      <c r="Q2" s="21" t="str">
        <f t="shared" si="0"/>
        <v>ClcC70mW30lcS30lc</v>
      </c>
      <c r="R2" s="21" t="str">
        <f t="shared" si="0"/>
        <v>ClcC70mW120</v>
      </c>
      <c r="S2" s="21" t="str">
        <f t="shared" si="0"/>
        <v>ClcC70mS1A</v>
      </c>
      <c r="T2" s="21" t="str">
        <f t="shared" si="0"/>
        <v>ClcC70mS90d</v>
      </c>
      <c r="U2" s="21" t="str">
        <f t="shared" si="0"/>
        <v>ClcC70mW120S1A</v>
      </c>
      <c r="V2" s="21" t="str">
        <f t="shared" si="0"/>
        <v>ClcC70mLmod</v>
      </c>
      <c r="W2" s="21" t="str">
        <f t="shared" si="0"/>
        <v>ClcC70mB15B25lc</v>
      </c>
      <c r="X2" s="21" t="str">
        <f t="shared" si="0"/>
        <v>ClcC70mB15B50lc</v>
      </c>
      <c r="Y2" s="21" t="str">
        <f t="shared" si="0"/>
        <v>ClcC70mB30B25lc</v>
      </c>
      <c r="Z2" s="21" t="str">
        <f t="shared" si="0"/>
        <v>ClcC70mB30B50lc</v>
      </c>
    </row>
    <row r="3" spans="1:27">
      <c r="A3" t="s">
        <v>249</v>
      </c>
      <c r="C3" t="str">
        <f>CONCATENATE(C10,C13,C15,C17,C19,C23,C27,C31,C34,C37,C40,C42,C45)</f>
        <v>ClcC70m</v>
      </c>
      <c r="D3" t="str">
        <f t="shared" ref="D3:Z3" si="1">CONCATENATE(D10,D13,D15,D17,D19,D23,D27,D31,D34,D37,D40,D42,D45)</f>
        <v>ChcC70m</v>
      </c>
      <c r="E3" t="str">
        <f t="shared" si="1"/>
        <v>ClcC55m</v>
      </c>
      <c r="F3" t="str">
        <f t="shared" si="1"/>
        <v>ClcC70mH-25</v>
      </c>
      <c r="G3" t="str">
        <f t="shared" si="1"/>
        <v>ClcC70mH25</v>
      </c>
      <c r="H3" t="str">
        <f t="shared" si="1"/>
        <v>ClcC70mN64</v>
      </c>
      <c r="I3" t="str">
        <f t="shared" si="1"/>
        <v>ClcC70mB15</v>
      </c>
      <c r="J3" t="str">
        <f t="shared" si="1"/>
        <v>ClcC70mB30</v>
      </c>
      <c r="K3" t="str">
        <f t="shared" si="1"/>
        <v>ClcC70mW10lc</v>
      </c>
      <c r="L3" t="str">
        <f t="shared" si="1"/>
        <v>ClcC70mW20lc</v>
      </c>
      <c r="M3" t="str">
        <f t="shared" si="1"/>
        <v>ClcC70mW30lc</v>
      </c>
      <c r="N3" t="str">
        <f t="shared" si="1"/>
        <v>ClcC70mS10lc</v>
      </c>
      <c r="O3" t="str">
        <f t="shared" si="1"/>
        <v>ClcC70mS20lc</v>
      </c>
      <c r="P3" t="str">
        <f t="shared" si="1"/>
        <v>ClcC70mS30lc</v>
      </c>
      <c r="Q3" t="str">
        <f t="shared" si="1"/>
        <v>ClcC70mW30lcS30lc</v>
      </c>
      <c r="R3" t="str">
        <f t="shared" si="1"/>
        <v>ClcC70mW120</v>
      </c>
      <c r="S3" t="str">
        <f t="shared" si="1"/>
        <v>ClcC70mS1A</v>
      </c>
      <c r="T3" t="str">
        <f t="shared" si="1"/>
        <v>ClcC70mS90d</v>
      </c>
      <c r="U3" t="str">
        <f t="shared" si="1"/>
        <v>ClcC70mW120S1A</v>
      </c>
      <c r="V3" t="str">
        <f t="shared" si="1"/>
        <v>ClcC70mLmod</v>
      </c>
      <c r="W3" t="str">
        <f t="shared" si="1"/>
        <v>ClcC70mB15B25lc</v>
      </c>
      <c r="X3" t="str">
        <f t="shared" si="1"/>
        <v>ClcC70mB15B50lc</v>
      </c>
      <c r="Y3" t="str">
        <f t="shared" si="1"/>
        <v>ClcC70mB30B25lc</v>
      </c>
      <c r="Z3" t="str">
        <f t="shared" si="1"/>
        <v>ClcC70mB30B50lc</v>
      </c>
    </row>
    <row r="4" spans="1:27">
      <c r="A4" t="s">
        <v>418</v>
      </c>
      <c r="C4" t="str">
        <f>CONCATENATE(C10,C13,C15,C17,C19,C34,C37,C40,C42,C45)</f>
        <v>ClcC70m</v>
      </c>
      <c r="D4" t="str">
        <f t="shared" ref="D4:V4" si="2">CONCATENATE(D10,D13,D15,D17,D19,D34,D37,D40,D42,D45)</f>
        <v>ChcC70m</v>
      </c>
      <c r="E4" t="str">
        <f t="shared" si="2"/>
        <v>ClcC55m</v>
      </c>
      <c r="F4" t="str">
        <f t="shared" si="2"/>
        <v>ClcC70mH-25</v>
      </c>
      <c r="G4" t="str">
        <f t="shared" si="2"/>
        <v>ClcC70mH25</v>
      </c>
      <c r="H4" t="str">
        <f t="shared" si="2"/>
        <v>ClcC70mN64</v>
      </c>
      <c r="I4" t="str">
        <f t="shared" si="2"/>
        <v>ClcC70mB15</v>
      </c>
      <c r="J4" t="str">
        <f t="shared" si="2"/>
        <v>ClcC70mB30</v>
      </c>
      <c r="K4" t="str">
        <f t="shared" si="2"/>
        <v>ClcC70m</v>
      </c>
      <c r="L4" t="str">
        <f t="shared" si="2"/>
        <v>ClcC70m</v>
      </c>
      <c r="M4" t="str">
        <f t="shared" si="2"/>
        <v>ClcC70m</v>
      </c>
      <c r="N4" t="str">
        <f t="shared" si="2"/>
        <v>ClcC70m</v>
      </c>
      <c r="O4" t="str">
        <f t="shared" si="2"/>
        <v>ClcC70m</v>
      </c>
      <c r="P4" t="str">
        <f t="shared" si="2"/>
        <v>ClcC70m</v>
      </c>
      <c r="Q4" t="str">
        <f t="shared" si="2"/>
        <v>ClcC70m</v>
      </c>
      <c r="R4" t="str">
        <f t="shared" si="2"/>
        <v>ClcC70mW120</v>
      </c>
      <c r="S4" t="str">
        <f t="shared" si="2"/>
        <v>ClcC70mS1A</v>
      </c>
      <c r="T4" t="str">
        <f t="shared" si="2"/>
        <v>ClcC70mS90d</v>
      </c>
      <c r="U4" t="str">
        <f>CONCATENATE(U10,U13,U15,U17,U19,U34,U37,U40,U42,U45)</f>
        <v>ClcC70mW120S1A</v>
      </c>
      <c r="V4" t="str">
        <f t="shared" si="2"/>
        <v>ClcC70mLmod</v>
      </c>
      <c r="W4" t="str">
        <f>CONCATENATE(W10,W13,W15,W17,W19,W34,W37,W40,W42,W45)</f>
        <v>ClcC70mB15</v>
      </c>
      <c r="X4" t="str">
        <f>CONCATENATE(X10,X13,X15,X17,X19,X34,X37,X40,X42,X45)</f>
        <v>ClcC70mB15</v>
      </c>
      <c r="Y4" t="str">
        <f>CONCATENATE(Y10,Y13,Y15,Y17,Y19,Y34,Y37,Y40,Y42,Y45)</f>
        <v>ClcC70mB30</v>
      </c>
      <c r="Z4" t="str">
        <f>CONCATENATE(Z10,Z13,Z15,Z17,Z19,Z34,Z37,Z40,Z42,Z45)</f>
        <v>ClcC70mB30</v>
      </c>
    </row>
    <row r="5" spans="1:27">
      <c r="A5" t="s">
        <v>250</v>
      </c>
      <c r="C5" t="str">
        <f t="shared" ref="C5:V5" si="3">CONCATENATE(C11,C15,C17,C19,C34,C37,C40,C42,C45)</f>
        <v>coallc</v>
      </c>
      <c r="D5" t="str">
        <f t="shared" si="3"/>
        <v>coalhc</v>
      </c>
      <c r="E5" t="str">
        <f t="shared" si="3"/>
        <v>coallc</v>
      </c>
      <c r="F5" t="str">
        <f t="shared" si="3"/>
        <v>coallcH-25</v>
      </c>
      <c r="G5" t="str">
        <f t="shared" si="3"/>
        <v>coallcH25</v>
      </c>
      <c r="H5" t="str">
        <f t="shared" si="3"/>
        <v>coallcN64</v>
      </c>
      <c r="I5" t="str">
        <f t="shared" si="3"/>
        <v>coallcB15</v>
      </c>
      <c r="J5" t="str">
        <f t="shared" si="3"/>
        <v>coallcB30</v>
      </c>
      <c r="K5" t="str">
        <f t="shared" si="3"/>
        <v>coallc</v>
      </c>
      <c r="L5" t="str">
        <f t="shared" si="3"/>
        <v>coallc</v>
      </c>
      <c r="M5" t="str">
        <f t="shared" si="3"/>
        <v>coallc</v>
      </c>
      <c r="N5" t="str">
        <f t="shared" si="3"/>
        <v>coallc</v>
      </c>
      <c r="O5" t="str">
        <f t="shared" si="3"/>
        <v>coallc</v>
      </c>
      <c r="P5" t="str">
        <f t="shared" si="3"/>
        <v>coallc</v>
      </c>
      <c r="Q5" t="str">
        <f t="shared" si="3"/>
        <v>coallc</v>
      </c>
      <c r="R5" t="str">
        <f t="shared" si="3"/>
        <v>coallcW120</v>
      </c>
      <c r="S5" t="str">
        <f t="shared" si="3"/>
        <v>coallcS1A</v>
      </c>
      <c r="T5" t="str">
        <f t="shared" si="3"/>
        <v>coallcS90d</v>
      </c>
      <c r="U5" t="str">
        <f>CONCATENATE(U11,U15,U17,U19,U34,U37,U40,U42,U45)</f>
        <v>coallcW120S1A</v>
      </c>
      <c r="V5" t="str">
        <f t="shared" si="3"/>
        <v>coallcLmod</v>
      </c>
      <c r="W5" t="str">
        <f>CONCATENATE(W11,W15,W17,W19,W34,W37,W40,W42,W45)</f>
        <v>coallcB15</v>
      </c>
      <c r="X5" t="str">
        <f>CONCATENATE(X11,X15,X17,X19,X34,X37,X40,X42,X45)</f>
        <v>coallcB15</v>
      </c>
      <c r="Y5" t="str">
        <f>CONCATENATE(Y11,Y15,Y17,Y19,Y34,Y37,Y40,Y42,Y45)</f>
        <v>coallcB30</v>
      </c>
      <c r="Z5" t="str">
        <f>CONCATENATE(Z11,Z15,Z17,Z19,Z34,Z37,Z40,Z42,Z45)</f>
        <v>coallcB30</v>
      </c>
    </row>
    <row r="6" spans="1:27">
      <c r="A6" t="s">
        <v>251</v>
      </c>
      <c r="C6" t="str">
        <f t="shared" ref="C6:V6" si="4">CONCATENATE(C11,C15,C17,C19,C34,C37,C40,C42,C45)</f>
        <v>coallc</v>
      </c>
      <c r="D6" t="str">
        <f>C6</f>
        <v>coallc</v>
      </c>
      <c r="E6" t="str">
        <f t="shared" si="4"/>
        <v>coallc</v>
      </c>
      <c r="F6" t="str">
        <f t="shared" si="4"/>
        <v>coallcH-25</v>
      </c>
      <c r="G6" t="str">
        <f t="shared" si="4"/>
        <v>coallcH25</v>
      </c>
      <c r="H6" t="str">
        <f t="shared" si="4"/>
        <v>coallcN64</v>
      </c>
      <c r="I6" t="str">
        <f t="shared" si="4"/>
        <v>coallcB15</v>
      </c>
      <c r="J6" t="str">
        <f t="shared" si="4"/>
        <v>coallcB30</v>
      </c>
      <c r="K6" t="str">
        <f t="shared" si="4"/>
        <v>coallc</v>
      </c>
      <c r="L6" t="str">
        <f t="shared" si="4"/>
        <v>coallc</v>
      </c>
      <c r="M6" t="str">
        <f t="shared" si="4"/>
        <v>coallc</v>
      </c>
      <c r="N6" t="str">
        <f t="shared" si="4"/>
        <v>coallc</v>
      </c>
      <c r="O6" t="str">
        <f t="shared" si="4"/>
        <v>coallc</v>
      </c>
      <c r="P6" t="str">
        <f t="shared" si="4"/>
        <v>coallc</v>
      </c>
      <c r="Q6" t="str">
        <f t="shared" si="4"/>
        <v>coallc</v>
      </c>
      <c r="R6" t="str">
        <f t="shared" si="4"/>
        <v>coallcW120</v>
      </c>
      <c r="S6" t="str">
        <f t="shared" si="4"/>
        <v>coallcS1A</v>
      </c>
      <c r="T6" t="str">
        <f t="shared" si="4"/>
        <v>coallcS90d</v>
      </c>
      <c r="U6" t="str">
        <f>CONCATENATE(U11,U15,U17,U19,U34,U37,U40,U42,U45)</f>
        <v>coallcW120S1A</v>
      </c>
      <c r="V6" t="str">
        <f t="shared" si="4"/>
        <v>coallcLmod</v>
      </c>
      <c r="W6" t="str">
        <f>CONCATENATE(W11,W15,W17,W19,W34,W37,W40,W42,W45)</f>
        <v>coallcB15</v>
      </c>
      <c r="X6" t="str">
        <f>CONCATENATE(X11,X15,X17,X19,X34,X37,X40,X42,X45)</f>
        <v>coallcB15</v>
      </c>
      <c r="Y6" t="str">
        <f>CONCATENATE(Y11,Y15,Y17,Y19,Y34,Y37,Y40,Y42,Y45)</f>
        <v>coallcB30</v>
      </c>
      <c r="Z6" t="str">
        <f>CONCATENATE(Z11,Z15,Z17,Z19,Z34,Z37,Z40,Z42,Z45)</f>
        <v>coallcB30</v>
      </c>
    </row>
    <row r="7" spans="1:27">
      <c r="A7" t="s">
        <v>252</v>
      </c>
      <c r="C7" t="str">
        <f t="shared" ref="C7:V7" si="5">CONCATENATE(C35,"_",C38)</f>
        <v>W80_S0d</v>
      </c>
      <c r="D7" t="str">
        <f t="shared" si="5"/>
        <v>W80_S0d</v>
      </c>
      <c r="E7" t="str">
        <f t="shared" si="5"/>
        <v>W80_S0d</v>
      </c>
      <c r="F7" t="str">
        <f t="shared" si="5"/>
        <v>W80_S0d</v>
      </c>
      <c r="G7" t="str">
        <f t="shared" si="5"/>
        <v>W80_S0d</v>
      </c>
      <c r="H7" t="str">
        <f t="shared" si="5"/>
        <v>W80_S0d</v>
      </c>
      <c r="I7" t="str">
        <f t="shared" si="5"/>
        <v>W80_S0d</v>
      </c>
      <c r="J7" t="str">
        <f t="shared" si="5"/>
        <v>W80_S0d</v>
      </c>
      <c r="K7" t="str">
        <f t="shared" si="5"/>
        <v>W80_S0d</v>
      </c>
      <c r="L7" t="str">
        <f t="shared" si="5"/>
        <v>W80_S0d</v>
      </c>
      <c r="M7" t="str">
        <f t="shared" si="5"/>
        <v>W80_S0d</v>
      </c>
      <c r="N7" t="str">
        <f t="shared" si="5"/>
        <v>W80_S0d</v>
      </c>
      <c r="O7" t="str">
        <f t="shared" si="5"/>
        <v>W80_S0d</v>
      </c>
      <c r="P7" t="str">
        <f t="shared" si="5"/>
        <v>W80_S0d</v>
      </c>
      <c r="Q7" t="str">
        <f t="shared" si="5"/>
        <v>W80_S0d</v>
      </c>
      <c r="R7" t="str">
        <f t="shared" si="5"/>
        <v>W120_S0d</v>
      </c>
      <c r="S7" t="str">
        <f t="shared" si="5"/>
        <v>W80_S1A</v>
      </c>
      <c r="T7" t="str">
        <f t="shared" si="5"/>
        <v>W80_S90d</v>
      </c>
      <c r="U7" t="str">
        <f>CONCATENATE(U35,"_",U38)</f>
        <v>W120_S1A</v>
      </c>
      <c r="V7" t="str">
        <f t="shared" si="5"/>
        <v>W80_S0d</v>
      </c>
      <c r="W7" t="str">
        <f>CONCATENATE(W35,"_",W38)</f>
        <v>W80_S0d</v>
      </c>
      <c r="X7" t="str">
        <f>CONCATENATE(X35,"_",X38)</f>
        <v>W80_S0d</v>
      </c>
      <c r="Y7" t="str">
        <f>CONCATENATE(Y35,"_",Y38)</f>
        <v>W80_S0d</v>
      </c>
      <c r="Z7" t="str">
        <f>CONCATENATE(Z35,"_",Z38)</f>
        <v>W80_S0d</v>
      </c>
    </row>
    <row r="8" spans="1:27">
      <c r="A8" t="s">
        <v>253</v>
      </c>
      <c r="C8" t="str">
        <f>CONCATENATE(C11,C27,C31,C23)</f>
        <v>coallc</v>
      </c>
      <c r="D8" t="str">
        <f t="shared" ref="D8:Z8" si="6">CONCATENATE(D11,D27,D31,D23)</f>
        <v>coalhc</v>
      </c>
      <c r="E8" t="str">
        <f t="shared" si="6"/>
        <v>coallc</v>
      </c>
      <c r="F8" t="str">
        <f t="shared" si="6"/>
        <v>coallc</v>
      </c>
      <c r="G8" t="str">
        <f t="shared" si="6"/>
        <v>coallc</v>
      </c>
      <c r="H8" t="str">
        <f t="shared" si="6"/>
        <v>coallc</v>
      </c>
      <c r="I8" t="str">
        <f t="shared" si="6"/>
        <v>coallc</v>
      </c>
      <c r="J8" t="str">
        <f t="shared" si="6"/>
        <v>coallc</v>
      </c>
      <c r="K8" t="str">
        <f t="shared" si="6"/>
        <v>coallcW10lc</v>
      </c>
      <c r="L8" t="str">
        <f t="shared" si="6"/>
        <v>coallcW20lc</v>
      </c>
      <c r="M8" t="str">
        <f t="shared" si="6"/>
        <v>coallcW30lc</v>
      </c>
      <c r="N8" t="str">
        <f t="shared" si="6"/>
        <v>coallcS10lc</v>
      </c>
      <c r="O8" t="str">
        <f t="shared" si="6"/>
        <v>coallcS20lc</v>
      </c>
      <c r="P8" t="str">
        <f t="shared" si="6"/>
        <v>coallcS30lc</v>
      </c>
      <c r="Q8" t="str">
        <f t="shared" si="6"/>
        <v>coallcW30lcS30lc</v>
      </c>
      <c r="R8" t="str">
        <f t="shared" si="6"/>
        <v>coallc</v>
      </c>
      <c r="S8" t="str">
        <f t="shared" si="6"/>
        <v>coallc</v>
      </c>
      <c r="T8" t="str">
        <f t="shared" si="6"/>
        <v>coallc</v>
      </c>
      <c r="U8" t="str">
        <f t="shared" si="6"/>
        <v>coallc</v>
      </c>
      <c r="V8" t="str">
        <f t="shared" si="6"/>
        <v>coallc</v>
      </c>
      <c r="W8" t="str">
        <f t="shared" si="6"/>
        <v>coallcB25lc</v>
      </c>
      <c r="X8" t="str">
        <f t="shared" si="6"/>
        <v>coallcB50lc</v>
      </c>
      <c r="Y8" t="str">
        <f t="shared" si="6"/>
        <v>coallcB25lc</v>
      </c>
      <c r="Z8" t="str">
        <f t="shared" si="6"/>
        <v>coallcB50lc</v>
      </c>
    </row>
    <row r="9" spans="1:27">
      <c r="A9" s="21" t="s">
        <v>254</v>
      </c>
      <c r="B9" s="21" t="s">
        <v>255</v>
      </c>
      <c r="C9" s="21" t="s">
        <v>256</v>
      </c>
      <c r="D9" s="21" t="s">
        <v>257</v>
      </c>
      <c r="E9" s="21" t="s">
        <v>256</v>
      </c>
      <c r="F9" s="21" t="s">
        <v>256</v>
      </c>
      <c r="G9" s="21" t="s">
        <v>256</v>
      </c>
      <c r="H9" s="21" t="s">
        <v>256</v>
      </c>
      <c r="I9" s="21" t="s">
        <v>256</v>
      </c>
      <c r="J9" s="21" t="s">
        <v>256</v>
      </c>
      <c r="K9" s="21" t="s">
        <v>256</v>
      </c>
      <c r="L9" s="21" t="s">
        <v>256</v>
      </c>
      <c r="M9" s="21" t="s">
        <v>256</v>
      </c>
      <c r="N9" s="21" t="s">
        <v>256</v>
      </c>
      <c r="O9" s="21" t="s">
        <v>256</v>
      </c>
      <c r="P9" s="21" t="s">
        <v>256</v>
      </c>
      <c r="Q9" s="21" t="s">
        <v>256</v>
      </c>
      <c r="R9" s="21" t="s">
        <v>256</v>
      </c>
      <c r="S9" s="21" t="s">
        <v>256</v>
      </c>
      <c r="T9" s="21" t="s">
        <v>256</v>
      </c>
      <c r="U9" s="21" t="s">
        <v>256</v>
      </c>
      <c r="V9" s="21" t="s">
        <v>256</v>
      </c>
      <c r="W9" s="21" t="s">
        <v>256</v>
      </c>
      <c r="X9" s="21" t="s">
        <v>256</v>
      </c>
      <c r="Y9" s="21" t="s">
        <v>256</v>
      </c>
      <c r="Z9" s="21" t="s">
        <v>256</v>
      </c>
    </row>
    <row r="10" spans="1:27">
      <c r="A10" t="s">
        <v>258</v>
      </c>
      <c r="C10" t="str">
        <f>CONCATENATE("C", LEFT(C9,1), "c")</f>
        <v>Clc</v>
      </c>
      <c r="D10" t="str">
        <f t="shared" ref="D10:V10" si="7">CONCATENATE("C", LEFT(D9,1), "c")</f>
        <v>Chc</v>
      </c>
      <c r="E10" t="str">
        <f t="shared" si="7"/>
        <v>Clc</v>
      </c>
      <c r="F10" t="str">
        <f t="shared" si="7"/>
        <v>Clc</v>
      </c>
      <c r="G10" t="str">
        <f t="shared" si="7"/>
        <v>Clc</v>
      </c>
      <c r="H10" t="str">
        <f t="shared" si="7"/>
        <v>Clc</v>
      </c>
      <c r="I10" t="str">
        <f t="shared" si="7"/>
        <v>Clc</v>
      </c>
      <c r="J10" t="str">
        <f t="shared" si="7"/>
        <v>Clc</v>
      </c>
      <c r="K10" t="str">
        <f t="shared" si="7"/>
        <v>Clc</v>
      </c>
      <c r="L10" t="str">
        <f t="shared" si="7"/>
        <v>Clc</v>
      </c>
      <c r="M10" t="str">
        <f t="shared" si="7"/>
        <v>Clc</v>
      </c>
      <c r="N10" t="str">
        <f t="shared" si="7"/>
        <v>Clc</v>
      </c>
      <c r="O10" t="str">
        <f t="shared" si="7"/>
        <v>Clc</v>
      </c>
      <c r="P10" t="str">
        <f t="shared" si="7"/>
        <v>Clc</v>
      </c>
      <c r="Q10" t="str">
        <f t="shared" si="7"/>
        <v>Clc</v>
      </c>
      <c r="R10" t="str">
        <f t="shared" si="7"/>
        <v>Clc</v>
      </c>
      <c r="S10" t="str">
        <f t="shared" si="7"/>
        <v>Clc</v>
      </c>
      <c r="T10" t="str">
        <f t="shared" si="7"/>
        <v>Clc</v>
      </c>
      <c r="U10" t="str">
        <f>CONCATENATE("C", LEFT(U9,1), "c")</f>
        <v>Clc</v>
      </c>
      <c r="V10" t="str">
        <f t="shared" si="7"/>
        <v>Clc</v>
      </c>
      <c r="W10" t="str">
        <f>CONCATENATE("C", LEFT(W9,1), "c")</f>
        <v>Clc</v>
      </c>
      <c r="X10" t="str">
        <f>CONCATENATE("C", LEFT(X9,1), "c")</f>
        <v>Clc</v>
      </c>
      <c r="Y10" t="str">
        <f>CONCATENATE("C", LEFT(Y9,1), "c")</f>
        <v>Clc</v>
      </c>
      <c r="Z10" t="str">
        <f>CONCATENATE("C", LEFT(Z9,1), "c")</f>
        <v>Clc</v>
      </c>
    </row>
    <row r="11" spans="1:27">
      <c r="A11" t="s">
        <v>259</v>
      </c>
      <c r="C11" t="str">
        <f t="shared" ref="C11:V11" si="8">CONCATENATE("coal",LEFT(C9,1), "c")</f>
        <v>coallc</v>
      </c>
      <c r="D11" t="str">
        <f t="shared" si="8"/>
        <v>coalhc</v>
      </c>
      <c r="E11" t="str">
        <f t="shared" si="8"/>
        <v>coallc</v>
      </c>
      <c r="F11" t="str">
        <f t="shared" si="8"/>
        <v>coallc</v>
      </c>
      <c r="G11" t="str">
        <f t="shared" si="8"/>
        <v>coallc</v>
      </c>
      <c r="H11" t="str">
        <f t="shared" si="8"/>
        <v>coallc</v>
      </c>
      <c r="I11" t="str">
        <f t="shared" si="8"/>
        <v>coallc</v>
      </c>
      <c r="J11" t="str">
        <f t="shared" si="8"/>
        <v>coallc</v>
      </c>
      <c r="K11" t="str">
        <f t="shared" si="8"/>
        <v>coallc</v>
      </c>
      <c r="L11" t="str">
        <f t="shared" si="8"/>
        <v>coallc</v>
      </c>
      <c r="M11" t="str">
        <f t="shared" si="8"/>
        <v>coallc</v>
      </c>
      <c r="N11" t="str">
        <f t="shared" si="8"/>
        <v>coallc</v>
      </c>
      <c r="O11" t="str">
        <f t="shared" si="8"/>
        <v>coallc</v>
      </c>
      <c r="P11" t="str">
        <f t="shared" si="8"/>
        <v>coallc</v>
      </c>
      <c r="Q11" t="str">
        <f t="shared" si="8"/>
        <v>coallc</v>
      </c>
      <c r="R11" t="str">
        <f t="shared" si="8"/>
        <v>coallc</v>
      </c>
      <c r="S11" t="str">
        <f t="shared" si="8"/>
        <v>coallc</v>
      </c>
      <c r="T11" t="str">
        <f t="shared" si="8"/>
        <v>coallc</v>
      </c>
      <c r="U11" t="str">
        <f>CONCATENATE("coal",LEFT(U9,1), "c")</f>
        <v>coallc</v>
      </c>
      <c r="V11" t="str">
        <f t="shared" si="8"/>
        <v>coallc</v>
      </c>
      <c r="W11" t="str">
        <f>CONCATENATE("coal",LEFT(W9,1), "c")</f>
        <v>coallc</v>
      </c>
      <c r="X11" t="str">
        <f>CONCATENATE("coal",LEFT(X9,1), "c")</f>
        <v>coallc</v>
      </c>
      <c r="Y11" t="str">
        <f>CONCATENATE("coal",LEFT(Y9,1), "c")</f>
        <v>coallc</v>
      </c>
      <c r="Z11" t="str">
        <f>CONCATENATE("coal",LEFT(Z9,1), "c")</f>
        <v>coallc</v>
      </c>
    </row>
    <row r="12" spans="1:27">
      <c r="A12" s="21" t="s">
        <v>260</v>
      </c>
      <c r="B12" s="21" t="s">
        <v>261</v>
      </c>
      <c r="C12" s="21">
        <v>70</v>
      </c>
      <c r="D12" s="21">
        <v>70</v>
      </c>
      <c r="E12" s="21">
        <v>55</v>
      </c>
      <c r="F12" s="21">
        <v>70</v>
      </c>
      <c r="G12" s="21">
        <v>70</v>
      </c>
      <c r="H12" s="21">
        <v>70</v>
      </c>
      <c r="I12" s="21">
        <v>70</v>
      </c>
      <c r="J12" s="21">
        <v>70</v>
      </c>
      <c r="K12" s="21">
        <v>70</v>
      </c>
      <c r="L12" s="21">
        <v>70</v>
      </c>
      <c r="M12" s="21">
        <v>70</v>
      </c>
      <c r="N12" s="21">
        <v>70</v>
      </c>
      <c r="O12" s="21">
        <v>70</v>
      </c>
      <c r="P12" s="21">
        <v>70</v>
      </c>
      <c r="Q12" s="21">
        <v>70</v>
      </c>
      <c r="R12" s="21">
        <v>70</v>
      </c>
      <c r="S12" s="21">
        <v>70</v>
      </c>
      <c r="T12" s="21">
        <v>70</v>
      </c>
      <c r="U12" s="21">
        <v>70</v>
      </c>
      <c r="V12" s="21">
        <v>70</v>
      </c>
      <c r="W12" s="21">
        <v>70</v>
      </c>
      <c r="X12" s="21">
        <v>70</v>
      </c>
      <c r="Y12" s="21">
        <v>70</v>
      </c>
      <c r="Z12" s="21">
        <v>70</v>
      </c>
    </row>
    <row r="13" spans="1:27">
      <c r="A13" t="s">
        <v>262</v>
      </c>
      <c r="C13" t="str">
        <f>CONCATENATE("C",C12,"m")</f>
        <v>C70m</v>
      </c>
      <c r="D13" t="str">
        <f t="shared" ref="D13:V13" si="9">CONCATENATE("C",D12,"m")</f>
        <v>C70m</v>
      </c>
      <c r="E13" t="str">
        <f t="shared" si="9"/>
        <v>C55m</v>
      </c>
      <c r="F13" t="str">
        <f t="shared" si="9"/>
        <v>C70m</v>
      </c>
      <c r="G13" t="str">
        <f t="shared" si="9"/>
        <v>C70m</v>
      </c>
      <c r="H13" t="str">
        <f t="shared" si="9"/>
        <v>C70m</v>
      </c>
      <c r="I13" t="str">
        <f t="shared" si="9"/>
        <v>C70m</v>
      </c>
      <c r="J13" t="str">
        <f t="shared" si="9"/>
        <v>C70m</v>
      </c>
      <c r="K13" t="str">
        <f t="shared" si="9"/>
        <v>C70m</v>
      </c>
      <c r="L13" t="str">
        <f t="shared" si="9"/>
        <v>C70m</v>
      </c>
      <c r="M13" t="str">
        <f t="shared" si="9"/>
        <v>C70m</v>
      </c>
      <c r="N13" t="str">
        <f t="shared" si="9"/>
        <v>C70m</v>
      </c>
      <c r="O13" t="str">
        <f t="shared" si="9"/>
        <v>C70m</v>
      </c>
      <c r="P13" t="str">
        <f t="shared" si="9"/>
        <v>C70m</v>
      </c>
      <c r="Q13" t="str">
        <f t="shared" si="9"/>
        <v>C70m</v>
      </c>
      <c r="R13" t="str">
        <f t="shared" si="9"/>
        <v>C70m</v>
      </c>
      <c r="S13" t="str">
        <f t="shared" si="9"/>
        <v>C70m</v>
      </c>
      <c r="T13" t="str">
        <f t="shared" si="9"/>
        <v>C70m</v>
      </c>
      <c r="U13" t="str">
        <f>CONCATENATE("C",U12,"m")</f>
        <v>C70m</v>
      </c>
      <c r="V13" t="str">
        <f t="shared" si="9"/>
        <v>C70m</v>
      </c>
      <c r="W13" t="str">
        <f>CONCATENATE("C",W12,"m")</f>
        <v>C70m</v>
      </c>
      <c r="X13" t="str">
        <f>CONCATENATE("C",X12,"m")</f>
        <v>C70m</v>
      </c>
      <c r="Y13" t="str">
        <f>CONCATENATE("C",Y12,"m")</f>
        <v>C70m</v>
      </c>
      <c r="Z13" t="str">
        <f>CONCATENATE("C",Z12,"m")</f>
        <v>C70m</v>
      </c>
    </row>
    <row r="14" spans="1:27">
      <c r="A14" s="21" t="s">
        <v>263</v>
      </c>
      <c r="B14" s="21" t="s">
        <v>264</v>
      </c>
      <c r="C14" s="21">
        <v>0</v>
      </c>
      <c r="D14" s="21">
        <v>0</v>
      </c>
      <c r="E14" s="21">
        <v>0</v>
      </c>
      <c r="F14" s="21">
        <v>-25</v>
      </c>
      <c r="G14" s="21">
        <v>25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</row>
    <row r="15" spans="1:27">
      <c r="A15" t="s">
        <v>265</v>
      </c>
      <c r="C15" t="str">
        <f t="shared" ref="C15:V15" si="10">IF(C14=0,"",CONCATENATE("H",C14))</f>
        <v/>
      </c>
      <c r="D15" t="str">
        <f t="shared" si="10"/>
        <v/>
      </c>
      <c r="E15" t="str">
        <f t="shared" si="10"/>
        <v/>
      </c>
      <c r="F15" t="str">
        <f t="shared" si="10"/>
        <v>H-25</v>
      </c>
      <c r="G15" t="str">
        <f t="shared" si="10"/>
        <v>H25</v>
      </c>
      <c r="H15" t="str">
        <f t="shared" si="10"/>
        <v/>
      </c>
      <c r="I15" t="str">
        <f t="shared" si="10"/>
        <v/>
      </c>
      <c r="J15" t="str">
        <f t="shared" si="10"/>
        <v/>
      </c>
      <c r="K15" t="str">
        <f t="shared" si="10"/>
        <v/>
      </c>
      <c r="L15" t="str">
        <f t="shared" si="10"/>
        <v/>
      </c>
      <c r="M15" t="str">
        <f t="shared" si="10"/>
        <v/>
      </c>
      <c r="N15" t="str">
        <f t="shared" si="10"/>
        <v/>
      </c>
      <c r="O15" t="str">
        <f t="shared" si="10"/>
        <v/>
      </c>
      <c r="P15" t="str">
        <f t="shared" si="10"/>
        <v/>
      </c>
      <c r="Q15" t="str">
        <f t="shared" si="10"/>
        <v/>
      </c>
      <c r="R15" t="str">
        <f t="shared" si="10"/>
        <v/>
      </c>
      <c r="S15" t="str">
        <f t="shared" si="10"/>
        <v/>
      </c>
      <c r="T15" t="str">
        <f t="shared" si="10"/>
        <v/>
      </c>
      <c r="U15" t="str">
        <f>IF(U14=0,"",CONCATENATE("H",U14))</f>
        <v/>
      </c>
      <c r="V15" t="str">
        <f t="shared" si="10"/>
        <v/>
      </c>
      <c r="W15" t="str">
        <f>IF(W14=0,"",CONCATENATE("H",W14))</f>
        <v/>
      </c>
      <c r="X15" t="str">
        <f>IF(X14=0,"",CONCATENATE("H",X14))</f>
        <v/>
      </c>
      <c r="Y15" t="str">
        <f>IF(Y14=0,"",CONCATENATE("H",Y14))</f>
        <v/>
      </c>
      <c r="Z15" t="str">
        <f>IF(Z14=0,"",CONCATENATE("H",Z14))</f>
        <v/>
      </c>
    </row>
    <row r="16" spans="1:27">
      <c r="A16" s="21" t="s">
        <v>266</v>
      </c>
      <c r="B16" s="21" t="s">
        <v>267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64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</row>
    <row r="17" spans="1:26">
      <c r="A17" t="s">
        <v>268</v>
      </c>
      <c r="C17" t="str">
        <f t="shared" ref="C17:V17" si="11">IF(C16=0,"",CONCATENATE("N",C16))</f>
        <v/>
      </c>
      <c r="D17" t="str">
        <f t="shared" si="11"/>
        <v/>
      </c>
      <c r="E17" t="str">
        <f t="shared" si="11"/>
        <v/>
      </c>
      <c r="F17" t="str">
        <f t="shared" si="11"/>
        <v/>
      </c>
      <c r="G17" t="str">
        <f t="shared" si="11"/>
        <v/>
      </c>
      <c r="H17" t="str">
        <f t="shared" si="11"/>
        <v>N64</v>
      </c>
      <c r="I17" t="str">
        <f t="shared" si="11"/>
        <v/>
      </c>
      <c r="J17" t="str">
        <f t="shared" si="11"/>
        <v/>
      </c>
      <c r="K17" t="str">
        <f t="shared" si="11"/>
        <v/>
      </c>
      <c r="L17" t="str">
        <f t="shared" si="11"/>
        <v/>
      </c>
      <c r="M17" t="str">
        <f t="shared" si="11"/>
        <v/>
      </c>
      <c r="N17" t="str">
        <f t="shared" si="11"/>
        <v/>
      </c>
      <c r="O17" t="str">
        <f t="shared" si="11"/>
        <v/>
      </c>
      <c r="P17" t="str">
        <f t="shared" si="11"/>
        <v/>
      </c>
      <c r="Q17" t="str">
        <f t="shared" si="11"/>
        <v/>
      </c>
      <c r="R17" t="str">
        <f t="shared" si="11"/>
        <v/>
      </c>
      <c r="S17" t="str">
        <f t="shared" si="11"/>
        <v/>
      </c>
      <c r="T17" t="str">
        <f t="shared" si="11"/>
        <v/>
      </c>
      <c r="U17" t="str">
        <f>IF(U16=0,"",CONCATENATE("N",U16))</f>
        <v/>
      </c>
      <c r="V17" t="str">
        <f t="shared" si="11"/>
        <v/>
      </c>
      <c r="W17" t="str">
        <f>IF(W16=0,"",CONCATENATE("N",W16))</f>
        <v/>
      </c>
      <c r="X17" t="str">
        <f>IF(X16=0,"",CONCATENATE("N",X16))</f>
        <v/>
      </c>
      <c r="Y17" t="str">
        <f>IF(Y16=0,"",CONCATENATE("N",Y16))</f>
        <v/>
      </c>
      <c r="Z17" t="str">
        <f>IF(Z16=0,"",CONCATENATE("N",Z16))</f>
        <v/>
      </c>
    </row>
    <row r="18" spans="1:26">
      <c r="A18" s="21" t="s">
        <v>269</v>
      </c>
      <c r="B18" s="21" t="s">
        <v>270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15</v>
      </c>
      <c r="J18" s="21">
        <v>30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15</v>
      </c>
      <c r="X18" s="21">
        <v>15</v>
      </c>
      <c r="Y18" s="21">
        <v>30</v>
      </c>
      <c r="Z18" s="21">
        <v>30</v>
      </c>
    </row>
    <row r="19" spans="1:26">
      <c r="A19" t="s">
        <v>271</v>
      </c>
      <c r="C19" t="str">
        <f t="shared" ref="C19:V19" si="12">IF(C18=0,"",CONCATENATE("B",C18))</f>
        <v/>
      </c>
      <c r="D19" t="str">
        <f t="shared" si="12"/>
        <v/>
      </c>
      <c r="E19" t="str">
        <f t="shared" si="12"/>
        <v/>
      </c>
      <c r="F19" t="str">
        <f t="shared" si="12"/>
        <v/>
      </c>
      <c r="G19" t="str">
        <f t="shared" si="12"/>
        <v/>
      </c>
      <c r="H19" t="str">
        <f t="shared" si="12"/>
        <v/>
      </c>
      <c r="I19" t="str">
        <f t="shared" si="12"/>
        <v>B15</v>
      </c>
      <c r="J19" t="str">
        <f t="shared" si="12"/>
        <v>B30</v>
      </c>
      <c r="K19" t="str">
        <f t="shared" si="12"/>
        <v/>
      </c>
      <c r="L19" t="str">
        <f t="shared" si="12"/>
        <v/>
      </c>
      <c r="M19" t="str">
        <f t="shared" si="12"/>
        <v/>
      </c>
      <c r="N19" t="str">
        <f t="shared" si="12"/>
        <v/>
      </c>
      <c r="O19" t="str">
        <f t="shared" si="12"/>
        <v/>
      </c>
      <c r="P19" t="str">
        <f t="shared" si="12"/>
        <v/>
      </c>
      <c r="Q19" t="str">
        <f t="shared" si="12"/>
        <v/>
      </c>
      <c r="R19" t="str">
        <f t="shared" si="12"/>
        <v/>
      </c>
      <c r="S19" t="str">
        <f t="shared" si="12"/>
        <v/>
      </c>
      <c r="T19" t="str">
        <f t="shared" si="12"/>
        <v/>
      </c>
      <c r="U19" t="str">
        <f>IF(U18=0,"",CONCATENATE("B",U18))</f>
        <v/>
      </c>
      <c r="V19" t="str">
        <f t="shared" si="12"/>
        <v/>
      </c>
      <c r="W19" t="str">
        <f>IF(W18=0,"",CONCATENATE("B",W18))</f>
        <v>B15</v>
      </c>
      <c r="X19" t="str">
        <f>IF(X18=0,"",CONCATENATE("B",X18))</f>
        <v>B15</v>
      </c>
      <c r="Y19" t="str">
        <f>IF(Y18=0,"",CONCATENATE("B",Y18))</f>
        <v>B30</v>
      </c>
      <c r="Z19" t="str">
        <f>IF(Z18=0,"",CONCATENATE("B",Z18))</f>
        <v>B30</v>
      </c>
    </row>
    <row r="20" spans="1:26">
      <c r="A20" t="s">
        <v>272</v>
      </c>
      <c r="C20" t="str">
        <f t="shared" ref="C20:V20" si="13">CONCATENATE("bat", C18)</f>
        <v>bat0</v>
      </c>
      <c r="D20" t="str">
        <f t="shared" si="13"/>
        <v>bat0</v>
      </c>
      <c r="E20" t="str">
        <f t="shared" si="13"/>
        <v>bat0</v>
      </c>
      <c r="F20" t="str">
        <f t="shared" si="13"/>
        <v>bat0</v>
      </c>
      <c r="G20" t="str">
        <f t="shared" si="13"/>
        <v>bat0</v>
      </c>
      <c r="H20" t="str">
        <f t="shared" si="13"/>
        <v>bat0</v>
      </c>
      <c r="I20" t="str">
        <f t="shared" si="13"/>
        <v>bat15</v>
      </c>
      <c r="J20" t="str">
        <f t="shared" si="13"/>
        <v>bat30</v>
      </c>
      <c r="K20" t="str">
        <f t="shared" si="13"/>
        <v>bat0</v>
      </c>
      <c r="L20" t="str">
        <f t="shared" si="13"/>
        <v>bat0</v>
      </c>
      <c r="M20" t="str">
        <f t="shared" si="13"/>
        <v>bat0</v>
      </c>
      <c r="N20" t="str">
        <f t="shared" si="13"/>
        <v>bat0</v>
      </c>
      <c r="O20" t="str">
        <f t="shared" si="13"/>
        <v>bat0</v>
      </c>
      <c r="P20" t="str">
        <f t="shared" si="13"/>
        <v>bat0</v>
      </c>
      <c r="Q20" t="str">
        <f t="shared" si="13"/>
        <v>bat0</v>
      </c>
      <c r="R20" t="str">
        <f t="shared" si="13"/>
        <v>bat0</v>
      </c>
      <c r="S20" t="str">
        <f t="shared" si="13"/>
        <v>bat0</v>
      </c>
      <c r="T20" t="str">
        <f t="shared" si="13"/>
        <v>bat0</v>
      </c>
      <c r="U20" t="str">
        <f>CONCATENATE("bat", U18)</f>
        <v>bat0</v>
      </c>
      <c r="V20" t="str">
        <f t="shared" si="13"/>
        <v>bat0</v>
      </c>
      <c r="W20" t="str">
        <f>CONCATENATE("bat", W18)</f>
        <v>bat15</v>
      </c>
      <c r="X20" t="str">
        <f>CONCATENATE("bat", X18)</f>
        <v>bat15</v>
      </c>
      <c r="Y20" t="str">
        <f>CONCATENATE("bat", Y18)</f>
        <v>bat30</v>
      </c>
      <c r="Z20" t="str">
        <f>CONCATENATE("bat", Z18)</f>
        <v>bat30</v>
      </c>
    </row>
    <row r="21" spans="1:26">
      <c r="A21" s="21" t="s">
        <v>420</v>
      </c>
      <c r="B21" s="21" t="s">
        <v>274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25</v>
      </c>
      <c r="X21" s="21">
        <v>50</v>
      </c>
      <c r="Y21" s="21">
        <v>25</v>
      </c>
      <c r="Z21" s="21">
        <v>50</v>
      </c>
    </row>
    <row r="22" spans="1:26">
      <c r="A22" t="s">
        <v>421</v>
      </c>
      <c r="B22" t="s">
        <v>276</v>
      </c>
      <c r="C22" t="s">
        <v>256</v>
      </c>
      <c r="D22" t="s">
        <v>256</v>
      </c>
      <c r="E22" t="s">
        <v>256</v>
      </c>
      <c r="F22" t="s">
        <v>256</v>
      </c>
      <c r="G22" t="s">
        <v>256</v>
      </c>
      <c r="H22" t="s">
        <v>256</v>
      </c>
      <c r="I22" t="s">
        <v>256</v>
      </c>
      <c r="J22" t="s">
        <v>256</v>
      </c>
      <c r="K22" t="s">
        <v>256</v>
      </c>
      <c r="L22" t="s">
        <v>256</v>
      </c>
      <c r="M22" t="s">
        <v>256</v>
      </c>
      <c r="N22" t="s">
        <v>256</v>
      </c>
      <c r="O22" t="s">
        <v>256</v>
      </c>
      <c r="P22" t="s">
        <v>256</v>
      </c>
      <c r="Q22" t="s">
        <v>256</v>
      </c>
      <c r="R22" t="s">
        <v>256</v>
      </c>
      <c r="S22" t="s">
        <v>256</v>
      </c>
      <c r="T22" t="s">
        <v>256</v>
      </c>
      <c r="U22" t="s">
        <v>256</v>
      </c>
      <c r="V22" t="s">
        <v>256</v>
      </c>
      <c r="W22" t="s">
        <v>256</v>
      </c>
      <c r="X22" t="s">
        <v>256</v>
      </c>
      <c r="Y22" t="s">
        <v>256</v>
      </c>
      <c r="Z22" t="s">
        <v>256</v>
      </c>
    </row>
    <row r="23" spans="1:26">
      <c r="A23" t="s">
        <v>422</v>
      </c>
      <c r="C23" t="str">
        <f>IF(C21=0,"",CONCATENATE("B",C21,LEFT(C22,1),"c"))</f>
        <v/>
      </c>
      <c r="D23" t="str">
        <f t="shared" ref="D23:V23" si="14">IF(D21=0,"",CONCATENATE("B",D21,LEFT(D22,1),"c"))</f>
        <v/>
      </c>
      <c r="E23" t="str">
        <f t="shared" si="14"/>
        <v/>
      </c>
      <c r="F23" t="str">
        <f t="shared" si="14"/>
        <v/>
      </c>
      <c r="G23" t="str">
        <f t="shared" si="14"/>
        <v/>
      </c>
      <c r="H23" t="str">
        <f t="shared" si="14"/>
        <v/>
      </c>
      <c r="I23" t="str">
        <f t="shared" si="14"/>
        <v/>
      </c>
      <c r="J23" t="str">
        <f t="shared" si="14"/>
        <v/>
      </c>
      <c r="K23" t="str">
        <f t="shared" si="14"/>
        <v/>
      </c>
      <c r="L23" t="str">
        <f t="shared" si="14"/>
        <v/>
      </c>
      <c r="M23" t="str">
        <f t="shared" si="14"/>
        <v/>
      </c>
      <c r="N23" t="str">
        <f t="shared" si="14"/>
        <v/>
      </c>
      <c r="O23" t="str">
        <f t="shared" si="14"/>
        <v/>
      </c>
      <c r="P23" t="str">
        <f t="shared" si="14"/>
        <v/>
      </c>
      <c r="Q23" t="str">
        <f t="shared" si="14"/>
        <v/>
      </c>
      <c r="R23" t="str">
        <f t="shared" si="14"/>
        <v/>
      </c>
      <c r="S23" t="str">
        <f t="shared" si="14"/>
        <v/>
      </c>
      <c r="T23" t="str">
        <f t="shared" si="14"/>
        <v/>
      </c>
      <c r="U23" t="str">
        <f t="shared" si="14"/>
        <v/>
      </c>
      <c r="V23" t="str">
        <f t="shared" si="14"/>
        <v/>
      </c>
      <c r="W23" t="str">
        <f>IF(W21=0,"",CONCATENATE("B",W21,LEFT(W22,1),"c"))</f>
        <v>B25lc</v>
      </c>
      <c r="X23" t="str">
        <f>IF(X21=0,"",CONCATENATE("B",X21,LEFT(X22,1),"c"))</f>
        <v>B50lc</v>
      </c>
      <c r="Y23" t="str">
        <f>IF(Y21=0,"",CONCATENATE("B",Y21,LEFT(Y22,1),"c"))</f>
        <v>B25lc</v>
      </c>
      <c r="Z23" t="str">
        <f>IF(Z21=0,"",CONCATENATE("B",Z21,LEFT(Z22,1),"c"))</f>
        <v>B50lc</v>
      </c>
    </row>
    <row r="24" spans="1:26">
      <c r="A24" t="s">
        <v>423</v>
      </c>
      <c r="C24" t="str">
        <f>CONCATENATE("battery",UPPER(LEFT(C22,1)), "C",C21)</f>
        <v>batteryLC0</v>
      </c>
      <c r="D24" t="str">
        <f t="shared" ref="D24:V24" si="15">CONCATENATE("battery",UPPER(LEFT(D22,1)), "C",D21)</f>
        <v>batteryLC0</v>
      </c>
      <c r="E24" t="str">
        <f t="shared" si="15"/>
        <v>batteryLC0</v>
      </c>
      <c r="F24" t="str">
        <f t="shared" si="15"/>
        <v>batteryLC0</v>
      </c>
      <c r="G24" t="str">
        <f t="shared" si="15"/>
        <v>batteryLC0</v>
      </c>
      <c r="H24" t="str">
        <f t="shared" si="15"/>
        <v>batteryLC0</v>
      </c>
      <c r="I24" t="str">
        <f t="shared" si="15"/>
        <v>batteryLC0</v>
      </c>
      <c r="J24" t="str">
        <f t="shared" si="15"/>
        <v>batteryLC0</v>
      </c>
      <c r="K24" t="str">
        <f t="shared" si="15"/>
        <v>batteryLC0</v>
      </c>
      <c r="L24" t="str">
        <f t="shared" si="15"/>
        <v>batteryLC0</v>
      </c>
      <c r="M24" t="str">
        <f t="shared" si="15"/>
        <v>batteryLC0</v>
      </c>
      <c r="N24" t="str">
        <f t="shared" si="15"/>
        <v>batteryLC0</v>
      </c>
      <c r="O24" t="str">
        <f t="shared" si="15"/>
        <v>batteryLC0</v>
      </c>
      <c r="P24" t="str">
        <f t="shared" si="15"/>
        <v>batteryLC0</v>
      </c>
      <c r="Q24" t="str">
        <f t="shared" si="15"/>
        <v>batteryLC0</v>
      </c>
      <c r="R24" t="str">
        <f t="shared" si="15"/>
        <v>batteryLC0</v>
      </c>
      <c r="S24" t="str">
        <f t="shared" si="15"/>
        <v>batteryLC0</v>
      </c>
      <c r="T24" t="str">
        <f t="shared" si="15"/>
        <v>batteryLC0</v>
      </c>
      <c r="U24" t="str">
        <f t="shared" si="15"/>
        <v>batteryLC0</v>
      </c>
      <c r="V24" t="str">
        <f t="shared" si="15"/>
        <v>batteryLC0</v>
      </c>
      <c r="W24" t="str">
        <f>CONCATENATE("battery",UPPER(LEFT(W22,1)), "C",W21)</f>
        <v>batteryLC25</v>
      </c>
      <c r="X24" t="str">
        <f>CONCATENATE("battery",UPPER(LEFT(X22,1)), "C",X21)</f>
        <v>batteryLC50</v>
      </c>
      <c r="Y24" t="str">
        <f>CONCATENATE("battery",UPPER(LEFT(Y22,1)), "C",Y21)</f>
        <v>batteryLC25</v>
      </c>
      <c r="Z24" t="str">
        <f>CONCATENATE("battery",UPPER(LEFT(Z22,1)), "C",Z21)</f>
        <v>batteryLC50</v>
      </c>
    </row>
    <row r="25" spans="1:26">
      <c r="A25" s="21" t="s">
        <v>273</v>
      </c>
      <c r="B25" s="21" t="s">
        <v>274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10</v>
      </c>
      <c r="L25" s="21">
        <v>20</v>
      </c>
      <c r="M25" s="21">
        <v>30</v>
      </c>
      <c r="N25" s="21">
        <v>0</v>
      </c>
      <c r="O25" s="21">
        <v>0</v>
      </c>
      <c r="P25" s="21">
        <v>0</v>
      </c>
      <c r="Q25" s="21">
        <v>30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</row>
    <row r="26" spans="1:26">
      <c r="A26" t="s">
        <v>275</v>
      </c>
      <c r="B26" t="s">
        <v>276</v>
      </c>
      <c r="C26" t="s">
        <v>256</v>
      </c>
      <c r="D26" t="s">
        <v>256</v>
      </c>
      <c r="E26" t="s">
        <v>256</v>
      </c>
      <c r="F26" t="s">
        <v>256</v>
      </c>
      <c r="G26" t="s">
        <v>256</v>
      </c>
      <c r="H26" t="s">
        <v>256</v>
      </c>
      <c r="I26" t="s">
        <v>256</v>
      </c>
      <c r="J26" t="s">
        <v>256</v>
      </c>
      <c r="K26" t="s">
        <v>256</v>
      </c>
      <c r="L26" t="s">
        <v>256</v>
      </c>
      <c r="M26" t="s">
        <v>256</v>
      </c>
      <c r="N26" t="s">
        <v>256</v>
      </c>
      <c r="O26" t="s">
        <v>256</v>
      </c>
      <c r="P26" t="s">
        <v>256</v>
      </c>
      <c r="Q26" t="s">
        <v>256</v>
      </c>
      <c r="R26" t="s">
        <v>256</v>
      </c>
      <c r="S26" t="s">
        <v>256</v>
      </c>
      <c r="T26" t="s">
        <v>256</v>
      </c>
      <c r="U26" t="s">
        <v>256</v>
      </c>
      <c r="V26" t="s">
        <v>256</v>
      </c>
      <c r="W26" t="s">
        <v>256</v>
      </c>
      <c r="X26" t="s">
        <v>256</v>
      </c>
      <c r="Y26" t="s">
        <v>256</v>
      </c>
      <c r="Z26" t="s">
        <v>256</v>
      </c>
    </row>
    <row r="27" spans="1:26">
      <c r="A27" t="s">
        <v>277</v>
      </c>
      <c r="C27" t="str">
        <f t="shared" ref="C27:V27" si="16">IF(C25=0,"",CONCATENATE("W",C25,LEFT(C26,1),"c"))</f>
        <v/>
      </c>
      <c r="D27" t="str">
        <f t="shared" si="16"/>
        <v/>
      </c>
      <c r="E27" t="str">
        <f t="shared" si="16"/>
        <v/>
      </c>
      <c r="F27" t="str">
        <f t="shared" si="16"/>
        <v/>
      </c>
      <c r="G27" t="str">
        <f t="shared" si="16"/>
        <v/>
      </c>
      <c r="H27" t="str">
        <f t="shared" si="16"/>
        <v/>
      </c>
      <c r="I27" t="str">
        <f t="shared" si="16"/>
        <v/>
      </c>
      <c r="J27" t="str">
        <f t="shared" si="16"/>
        <v/>
      </c>
      <c r="K27" t="str">
        <f t="shared" si="16"/>
        <v>W10lc</v>
      </c>
      <c r="L27" t="str">
        <f t="shared" si="16"/>
        <v>W20lc</v>
      </c>
      <c r="M27" t="str">
        <f t="shared" si="16"/>
        <v>W30lc</v>
      </c>
      <c r="N27" t="str">
        <f t="shared" si="16"/>
        <v/>
      </c>
      <c r="O27" t="str">
        <f t="shared" si="16"/>
        <v/>
      </c>
      <c r="P27" t="str">
        <f t="shared" si="16"/>
        <v/>
      </c>
      <c r="Q27" t="str">
        <f t="shared" si="16"/>
        <v>W30lc</v>
      </c>
      <c r="R27" t="str">
        <f t="shared" si="16"/>
        <v/>
      </c>
      <c r="S27" t="str">
        <f t="shared" si="16"/>
        <v/>
      </c>
      <c r="T27" t="str">
        <f t="shared" si="16"/>
        <v/>
      </c>
      <c r="U27" t="str">
        <f>IF(U25=0,"",CONCATENATE("W",U25,LEFT(U26,1),"c"))</f>
        <v/>
      </c>
      <c r="V27" t="str">
        <f t="shared" si="16"/>
        <v/>
      </c>
      <c r="W27" t="str">
        <f>IF(W25=0,"",CONCATENATE("W",W25,LEFT(W26,1),"c"))</f>
        <v/>
      </c>
      <c r="X27" t="str">
        <f>IF(X25=0,"",CONCATENATE("W",X25,LEFT(X26,1),"c"))</f>
        <v/>
      </c>
      <c r="Y27" t="str">
        <f>IF(Y25=0,"",CONCATENATE("W",Y25,LEFT(Y26,1),"c"))</f>
        <v/>
      </c>
      <c r="Z27" t="str">
        <f>IF(Z25=0,"",CONCATENATE("W",Z25,LEFT(Z26,1),"c"))</f>
        <v/>
      </c>
    </row>
    <row r="28" spans="1:26">
      <c r="A28" t="s">
        <v>278</v>
      </c>
      <c r="C28" t="str">
        <f t="shared" ref="C28:V28" si="17">CONCATENATE("wind",UPPER(LEFT(C26,1)), "C",C25)</f>
        <v>windLC0</v>
      </c>
      <c r="D28" t="str">
        <f t="shared" si="17"/>
        <v>windLC0</v>
      </c>
      <c r="E28" t="str">
        <f t="shared" si="17"/>
        <v>windLC0</v>
      </c>
      <c r="F28" t="str">
        <f t="shared" si="17"/>
        <v>windLC0</v>
      </c>
      <c r="G28" t="str">
        <f t="shared" si="17"/>
        <v>windLC0</v>
      </c>
      <c r="H28" t="str">
        <f t="shared" si="17"/>
        <v>windLC0</v>
      </c>
      <c r="I28" t="str">
        <f t="shared" si="17"/>
        <v>windLC0</v>
      </c>
      <c r="J28" t="str">
        <f t="shared" si="17"/>
        <v>windLC0</v>
      </c>
      <c r="K28" t="str">
        <f t="shared" si="17"/>
        <v>windLC10</v>
      </c>
      <c r="L28" t="str">
        <f t="shared" si="17"/>
        <v>windLC20</v>
      </c>
      <c r="M28" t="str">
        <f t="shared" si="17"/>
        <v>windLC30</v>
      </c>
      <c r="N28" t="str">
        <f t="shared" si="17"/>
        <v>windLC0</v>
      </c>
      <c r="O28" t="str">
        <f t="shared" si="17"/>
        <v>windLC0</v>
      </c>
      <c r="P28" t="str">
        <f t="shared" si="17"/>
        <v>windLC0</v>
      </c>
      <c r="Q28" t="str">
        <f t="shared" si="17"/>
        <v>windLC30</v>
      </c>
      <c r="R28" t="str">
        <f t="shared" si="17"/>
        <v>windLC0</v>
      </c>
      <c r="S28" t="str">
        <f t="shared" si="17"/>
        <v>windLC0</v>
      </c>
      <c r="T28" t="str">
        <f t="shared" si="17"/>
        <v>windLC0</v>
      </c>
      <c r="U28" t="str">
        <f>CONCATENATE("wind",UPPER(LEFT(U26,1)), "C",U25)</f>
        <v>windLC0</v>
      </c>
      <c r="V28" t="str">
        <f t="shared" si="17"/>
        <v>windLC0</v>
      </c>
      <c r="W28" t="str">
        <f>CONCATENATE("wind",UPPER(LEFT(W26,1)), "C",W25)</f>
        <v>windLC0</v>
      </c>
      <c r="X28" t="str">
        <f>CONCATENATE("wind",UPPER(LEFT(X26,1)), "C",X25)</f>
        <v>windLC0</v>
      </c>
      <c r="Y28" t="str">
        <f>CONCATENATE("wind",UPPER(LEFT(Y26,1)), "C",Y25)</f>
        <v>windLC0</v>
      </c>
      <c r="Z28" t="str">
        <f>CONCATENATE("wind",UPPER(LEFT(Z26,1)), "C",Z25)</f>
        <v>windLC0</v>
      </c>
    </row>
    <row r="29" spans="1:26">
      <c r="A29" s="21" t="s">
        <v>279</v>
      </c>
      <c r="B29" s="21" t="s">
        <v>274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10</v>
      </c>
      <c r="O29" s="21">
        <v>20</v>
      </c>
      <c r="P29" s="21">
        <v>30</v>
      </c>
      <c r="Q29" s="21">
        <v>30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</row>
    <row r="30" spans="1:26">
      <c r="A30" t="s">
        <v>280</v>
      </c>
      <c r="B30" t="s">
        <v>276</v>
      </c>
      <c r="C30" t="s">
        <v>256</v>
      </c>
      <c r="D30" t="s">
        <v>256</v>
      </c>
      <c r="E30" t="s">
        <v>256</v>
      </c>
      <c r="F30" t="s">
        <v>256</v>
      </c>
      <c r="G30" t="s">
        <v>256</v>
      </c>
      <c r="H30" t="s">
        <v>256</v>
      </c>
      <c r="I30" t="s">
        <v>256</v>
      </c>
      <c r="J30" t="s">
        <v>256</v>
      </c>
      <c r="K30" t="s">
        <v>256</v>
      </c>
      <c r="L30" t="s">
        <v>256</v>
      </c>
      <c r="M30" t="s">
        <v>256</v>
      </c>
      <c r="N30" t="s">
        <v>256</v>
      </c>
      <c r="O30" t="s">
        <v>256</v>
      </c>
      <c r="P30" t="s">
        <v>256</v>
      </c>
      <c r="Q30" t="s">
        <v>256</v>
      </c>
      <c r="R30" t="s">
        <v>256</v>
      </c>
      <c r="S30" t="s">
        <v>256</v>
      </c>
      <c r="T30" t="s">
        <v>256</v>
      </c>
      <c r="U30" t="s">
        <v>256</v>
      </c>
      <c r="V30" t="s">
        <v>256</v>
      </c>
      <c r="W30" t="s">
        <v>256</v>
      </c>
      <c r="X30" t="s">
        <v>256</v>
      </c>
      <c r="Y30" t="s">
        <v>256</v>
      </c>
      <c r="Z30" t="s">
        <v>256</v>
      </c>
    </row>
    <row r="31" spans="1:26">
      <c r="A31" t="s">
        <v>281</v>
      </c>
      <c r="C31" t="str">
        <f t="shared" ref="C31:M31" si="18">IF(C29=0,"",CONCATENATE("W",C29,LEFT(C30,1),"c"))</f>
        <v/>
      </c>
      <c r="D31" t="str">
        <f t="shared" si="18"/>
        <v/>
      </c>
      <c r="E31" t="str">
        <f t="shared" si="18"/>
        <v/>
      </c>
      <c r="F31" t="str">
        <f t="shared" si="18"/>
        <v/>
      </c>
      <c r="G31" t="str">
        <f t="shared" si="18"/>
        <v/>
      </c>
      <c r="H31" t="str">
        <f t="shared" si="18"/>
        <v/>
      </c>
      <c r="I31" t="str">
        <f t="shared" si="18"/>
        <v/>
      </c>
      <c r="J31" t="str">
        <f t="shared" si="18"/>
        <v/>
      </c>
      <c r="K31" t="str">
        <f t="shared" si="18"/>
        <v/>
      </c>
      <c r="L31" t="str">
        <f t="shared" si="18"/>
        <v/>
      </c>
      <c r="M31" t="str">
        <f t="shared" si="18"/>
        <v/>
      </c>
      <c r="N31" t="str">
        <f t="shared" ref="N31:V31" si="19">IF(N29=0,"",CONCATENATE("S",N29,LEFT(N30,1),"c"))</f>
        <v>S10lc</v>
      </c>
      <c r="O31" t="str">
        <f t="shared" si="19"/>
        <v>S20lc</v>
      </c>
      <c r="P31" t="str">
        <f t="shared" si="19"/>
        <v>S30lc</v>
      </c>
      <c r="Q31" t="str">
        <f t="shared" si="19"/>
        <v>S30lc</v>
      </c>
      <c r="R31" t="str">
        <f t="shared" si="19"/>
        <v/>
      </c>
      <c r="S31" t="str">
        <f t="shared" si="19"/>
        <v/>
      </c>
      <c r="T31" t="str">
        <f t="shared" si="19"/>
        <v/>
      </c>
      <c r="U31" t="str">
        <f>IF(U29=0,"",CONCATENATE("S",U29,LEFT(U30,1),"c"))</f>
        <v/>
      </c>
      <c r="V31" t="str">
        <f t="shared" si="19"/>
        <v/>
      </c>
      <c r="W31" t="str">
        <f>IF(W29=0,"",CONCATENATE("W",W29,LEFT(W30,1),"c"))</f>
        <v/>
      </c>
      <c r="X31" t="str">
        <f>IF(X29=0,"",CONCATENATE("W",X29,LEFT(X30,1),"c"))</f>
        <v/>
      </c>
      <c r="Y31" t="str">
        <f>IF(Y29=0,"",CONCATENATE("W",Y29,LEFT(Y30,1),"c"))</f>
        <v/>
      </c>
      <c r="Z31" t="str">
        <f>IF(Z29=0,"",CONCATENATE("W",Z29,LEFT(Z30,1),"c"))</f>
        <v/>
      </c>
    </row>
    <row r="32" spans="1:26">
      <c r="A32" t="s">
        <v>282</v>
      </c>
      <c r="C32" t="str">
        <f t="shared" ref="C32:V32" si="20">CONCATENATE("solar",UPPER(LEFT(C30,1)), "C",C29)</f>
        <v>solarLC0</v>
      </c>
      <c r="D32" t="str">
        <f t="shared" si="20"/>
        <v>solarLC0</v>
      </c>
      <c r="E32" t="str">
        <f t="shared" si="20"/>
        <v>solarLC0</v>
      </c>
      <c r="F32" t="str">
        <f t="shared" si="20"/>
        <v>solarLC0</v>
      </c>
      <c r="G32" t="str">
        <f t="shared" si="20"/>
        <v>solarLC0</v>
      </c>
      <c r="H32" t="str">
        <f t="shared" si="20"/>
        <v>solarLC0</v>
      </c>
      <c r="I32" t="str">
        <f t="shared" si="20"/>
        <v>solarLC0</v>
      </c>
      <c r="J32" t="str">
        <f t="shared" si="20"/>
        <v>solarLC0</v>
      </c>
      <c r="K32" t="str">
        <f t="shared" si="20"/>
        <v>solarLC0</v>
      </c>
      <c r="L32" t="str">
        <f t="shared" si="20"/>
        <v>solarLC0</v>
      </c>
      <c r="M32" t="str">
        <f t="shared" si="20"/>
        <v>solarLC0</v>
      </c>
      <c r="N32" t="str">
        <f t="shared" si="20"/>
        <v>solarLC10</v>
      </c>
      <c r="O32" t="str">
        <f t="shared" si="20"/>
        <v>solarLC20</v>
      </c>
      <c r="P32" t="str">
        <f t="shared" si="20"/>
        <v>solarLC30</v>
      </c>
      <c r="Q32" t="str">
        <f t="shared" si="20"/>
        <v>solarLC30</v>
      </c>
      <c r="R32" t="str">
        <f t="shared" si="20"/>
        <v>solarLC0</v>
      </c>
      <c r="S32" t="str">
        <f t="shared" si="20"/>
        <v>solarLC0</v>
      </c>
      <c r="T32" t="str">
        <f t="shared" si="20"/>
        <v>solarLC0</v>
      </c>
      <c r="U32" t="str">
        <f>CONCATENATE("solar",UPPER(LEFT(U30,1)), "C",U29)</f>
        <v>solarLC0</v>
      </c>
      <c r="V32" t="str">
        <f t="shared" si="20"/>
        <v>solarLC0</v>
      </c>
      <c r="W32" t="str">
        <f>CONCATENATE("solar",UPPER(LEFT(W30,1)), "C",W29)</f>
        <v>solarLC0</v>
      </c>
      <c r="X32" t="str">
        <f>CONCATENATE("solar",UPPER(LEFT(X30,1)), "C",X29)</f>
        <v>solarLC0</v>
      </c>
      <c r="Y32" t="str">
        <f>CONCATENATE("solar",UPPER(LEFT(Y30,1)), "C",Y29)</f>
        <v>solarLC0</v>
      </c>
      <c r="Z32" t="str">
        <f>CONCATENATE("solar",UPPER(LEFT(Z30,1)), "C",Z29)</f>
        <v>solarLC0</v>
      </c>
    </row>
    <row r="33" spans="1:26">
      <c r="A33" s="21" t="s">
        <v>283</v>
      </c>
      <c r="B33" s="21" t="s">
        <v>284</v>
      </c>
      <c r="C33" s="21">
        <v>80</v>
      </c>
      <c r="D33" s="21">
        <v>80</v>
      </c>
      <c r="E33" s="21">
        <v>80</v>
      </c>
      <c r="F33" s="21">
        <v>80</v>
      </c>
      <c r="G33" s="21">
        <v>80</v>
      </c>
      <c r="H33" s="21">
        <v>80</v>
      </c>
      <c r="I33" s="21">
        <v>80</v>
      </c>
      <c r="J33" s="21">
        <v>80</v>
      </c>
      <c r="K33" s="21">
        <v>80</v>
      </c>
      <c r="L33" s="21">
        <v>80</v>
      </c>
      <c r="M33" s="21">
        <v>80</v>
      </c>
      <c r="N33" s="21">
        <v>80</v>
      </c>
      <c r="O33" s="21">
        <v>80</v>
      </c>
      <c r="P33" s="21">
        <v>80</v>
      </c>
      <c r="Q33" s="21">
        <v>80</v>
      </c>
      <c r="R33" s="21">
        <v>120</v>
      </c>
      <c r="S33" s="21">
        <v>80</v>
      </c>
      <c r="T33" s="21">
        <v>80</v>
      </c>
      <c r="U33" s="21">
        <v>120</v>
      </c>
      <c r="V33" s="21">
        <v>80</v>
      </c>
      <c r="W33" s="21">
        <v>80</v>
      </c>
      <c r="X33" s="21">
        <v>80</v>
      </c>
      <c r="Y33" s="21">
        <v>80</v>
      </c>
      <c r="Z33" s="21">
        <v>80</v>
      </c>
    </row>
    <row r="34" spans="1:26">
      <c r="A34" t="s">
        <v>285</v>
      </c>
      <c r="C34" t="str">
        <f t="shared" ref="C34:V34" si="21">IF(C33=80,"", CONCATENATE("W",C33))</f>
        <v/>
      </c>
      <c r="D34" t="str">
        <f t="shared" si="21"/>
        <v/>
      </c>
      <c r="E34" t="str">
        <f t="shared" si="21"/>
        <v/>
      </c>
      <c r="F34" t="str">
        <f t="shared" si="21"/>
        <v/>
      </c>
      <c r="G34" t="str">
        <f t="shared" si="21"/>
        <v/>
      </c>
      <c r="H34" t="str">
        <f t="shared" si="21"/>
        <v/>
      </c>
      <c r="I34" t="str">
        <f t="shared" si="21"/>
        <v/>
      </c>
      <c r="J34" t="str">
        <f t="shared" si="21"/>
        <v/>
      </c>
      <c r="K34" t="str">
        <f t="shared" si="21"/>
        <v/>
      </c>
      <c r="L34" t="str">
        <f t="shared" si="21"/>
        <v/>
      </c>
      <c r="M34" t="str">
        <f t="shared" si="21"/>
        <v/>
      </c>
      <c r="N34" t="str">
        <f t="shared" si="21"/>
        <v/>
      </c>
      <c r="O34" t="str">
        <f t="shared" si="21"/>
        <v/>
      </c>
      <c r="P34" t="str">
        <f t="shared" si="21"/>
        <v/>
      </c>
      <c r="Q34" t="str">
        <f t="shared" si="21"/>
        <v/>
      </c>
      <c r="R34" t="str">
        <f t="shared" si="21"/>
        <v>W120</v>
      </c>
      <c r="S34" t="str">
        <f t="shared" si="21"/>
        <v/>
      </c>
      <c r="T34" t="str">
        <f t="shared" si="21"/>
        <v/>
      </c>
      <c r="U34" t="str">
        <f>IF(U33=80,"", CONCATENATE("W",U33))</f>
        <v>W120</v>
      </c>
      <c r="V34" t="str">
        <f t="shared" si="21"/>
        <v/>
      </c>
      <c r="W34" t="str">
        <f>IF(W33=80,"", CONCATENATE("W",W33))</f>
        <v/>
      </c>
      <c r="X34" t="str">
        <f>IF(X33=80,"", CONCATENATE("W",X33))</f>
        <v/>
      </c>
      <c r="Y34" t="str">
        <f>IF(Y33=80,"", CONCATENATE("W",Y33))</f>
        <v/>
      </c>
      <c r="Z34" t="str">
        <f>IF(Z33=80,"", CONCATENATE("W",Z33))</f>
        <v/>
      </c>
    </row>
    <row r="35" spans="1:26">
      <c r="A35" t="s">
        <v>286</v>
      </c>
      <c r="C35" t="str">
        <f t="shared" ref="C35:V35" si="22">CONCATENATE("W",C33)</f>
        <v>W80</v>
      </c>
      <c r="D35" t="str">
        <f t="shared" si="22"/>
        <v>W80</v>
      </c>
      <c r="E35" t="str">
        <f t="shared" si="22"/>
        <v>W80</v>
      </c>
      <c r="F35" t="str">
        <f t="shared" si="22"/>
        <v>W80</v>
      </c>
      <c r="G35" t="str">
        <f t="shared" si="22"/>
        <v>W80</v>
      </c>
      <c r="H35" t="str">
        <f t="shared" si="22"/>
        <v>W80</v>
      </c>
      <c r="I35" t="str">
        <f t="shared" si="22"/>
        <v>W80</v>
      </c>
      <c r="J35" t="str">
        <f t="shared" si="22"/>
        <v>W80</v>
      </c>
      <c r="K35" t="str">
        <f t="shared" si="22"/>
        <v>W80</v>
      </c>
      <c r="L35" t="str">
        <f t="shared" si="22"/>
        <v>W80</v>
      </c>
      <c r="M35" t="str">
        <f t="shared" si="22"/>
        <v>W80</v>
      </c>
      <c r="N35" t="str">
        <f t="shared" si="22"/>
        <v>W80</v>
      </c>
      <c r="O35" t="str">
        <f t="shared" si="22"/>
        <v>W80</v>
      </c>
      <c r="P35" t="str">
        <f t="shared" si="22"/>
        <v>W80</v>
      </c>
      <c r="Q35" t="str">
        <f t="shared" si="22"/>
        <v>W80</v>
      </c>
      <c r="R35" t="str">
        <f t="shared" si="22"/>
        <v>W120</v>
      </c>
      <c r="S35" t="str">
        <f t="shared" si="22"/>
        <v>W80</v>
      </c>
      <c r="T35" t="str">
        <f t="shared" si="22"/>
        <v>W80</v>
      </c>
      <c r="U35" t="str">
        <f>CONCATENATE("W",U33)</f>
        <v>W120</v>
      </c>
      <c r="V35" t="str">
        <f t="shared" si="22"/>
        <v>W80</v>
      </c>
      <c r="W35" t="str">
        <f>CONCATENATE("W",W33)</f>
        <v>W80</v>
      </c>
      <c r="X35" t="str">
        <f>CONCATENATE("W",X33)</f>
        <v>W80</v>
      </c>
      <c r="Y35" t="str">
        <f>CONCATENATE("W",Y33)</f>
        <v>W80</v>
      </c>
      <c r="Z35" t="str">
        <f>CONCATENATE("W",Z33)</f>
        <v>W80</v>
      </c>
    </row>
    <row r="36" spans="1:26">
      <c r="A36" s="21" t="s">
        <v>287</v>
      </c>
      <c r="B36" s="21" t="s">
        <v>288</v>
      </c>
      <c r="C36" s="21" t="s">
        <v>289</v>
      </c>
      <c r="D36" s="21" t="s">
        <v>289</v>
      </c>
      <c r="E36" s="21" t="s">
        <v>289</v>
      </c>
      <c r="F36" s="21" t="s">
        <v>289</v>
      </c>
      <c r="G36" s="21" t="s">
        <v>289</v>
      </c>
      <c r="H36" s="21" t="s">
        <v>289</v>
      </c>
      <c r="I36" s="21" t="s">
        <v>289</v>
      </c>
      <c r="J36" s="21" t="s">
        <v>289</v>
      </c>
      <c r="K36" s="21" t="s">
        <v>289</v>
      </c>
      <c r="L36" s="21" t="s">
        <v>289</v>
      </c>
      <c r="M36" s="21" t="s">
        <v>289</v>
      </c>
      <c r="N36" s="21" t="s">
        <v>289</v>
      </c>
      <c r="O36" s="21" t="s">
        <v>289</v>
      </c>
      <c r="P36" s="21" t="s">
        <v>289</v>
      </c>
      <c r="Q36" s="21" t="s">
        <v>289</v>
      </c>
      <c r="R36" s="21" t="s">
        <v>289</v>
      </c>
      <c r="S36" s="21" t="s">
        <v>290</v>
      </c>
      <c r="T36" s="21" t="s">
        <v>291</v>
      </c>
      <c r="U36" s="21" t="s">
        <v>290</v>
      </c>
      <c r="V36" s="21" t="s">
        <v>289</v>
      </c>
      <c r="W36" s="21" t="s">
        <v>289</v>
      </c>
      <c r="X36" s="21" t="s">
        <v>289</v>
      </c>
      <c r="Y36" s="21" t="s">
        <v>289</v>
      </c>
      <c r="Z36" s="21" t="s">
        <v>289</v>
      </c>
    </row>
    <row r="37" spans="1:26">
      <c r="A37" t="s">
        <v>292</v>
      </c>
      <c r="C37" t="str">
        <f t="shared" ref="C37:V37" si="23">IF(C36="0d", "", CONCATENATE("S",C36))</f>
        <v/>
      </c>
      <c r="D37" t="str">
        <f t="shared" si="23"/>
        <v/>
      </c>
      <c r="E37" t="str">
        <f t="shared" si="23"/>
        <v/>
      </c>
      <c r="F37" t="str">
        <f t="shared" si="23"/>
        <v/>
      </c>
      <c r="G37" t="str">
        <f t="shared" si="23"/>
        <v/>
      </c>
      <c r="H37" t="str">
        <f t="shared" si="23"/>
        <v/>
      </c>
      <c r="I37" t="str">
        <f t="shared" si="23"/>
        <v/>
      </c>
      <c r="J37" t="str">
        <f t="shared" si="23"/>
        <v/>
      </c>
      <c r="K37" t="str">
        <f t="shared" si="23"/>
        <v/>
      </c>
      <c r="L37" t="str">
        <f t="shared" si="23"/>
        <v/>
      </c>
      <c r="M37" t="str">
        <f t="shared" si="23"/>
        <v/>
      </c>
      <c r="N37" t="str">
        <f t="shared" si="23"/>
        <v/>
      </c>
      <c r="O37" t="str">
        <f t="shared" si="23"/>
        <v/>
      </c>
      <c r="P37" t="str">
        <f t="shared" si="23"/>
        <v/>
      </c>
      <c r="Q37" t="str">
        <f t="shared" si="23"/>
        <v/>
      </c>
      <c r="R37" t="str">
        <f t="shared" si="23"/>
        <v/>
      </c>
      <c r="S37" t="str">
        <f t="shared" si="23"/>
        <v>S1A</v>
      </c>
      <c r="T37" t="str">
        <f t="shared" si="23"/>
        <v>S90d</v>
      </c>
      <c r="U37" t="str">
        <f>IF(U36="0d", "", CONCATENATE("S",U36))</f>
        <v>S1A</v>
      </c>
      <c r="V37" t="str">
        <f t="shared" si="23"/>
        <v/>
      </c>
      <c r="W37" t="str">
        <f>IF(W36="0d", "", CONCATENATE("S",W36))</f>
        <v/>
      </c>
      <c r="X37" t="str">
        <f>IF(X36="0d", "", CONCATENATE("S",X36))</f>
        <v/>
      </c>
      <c r="Y37" t="str">
        <f>IF(Y36="0d", "", CONCATENATE("S",Y36))</f>
        <v/>
      </c>
      <c r="Z37" t="str">
        <f>IF(Z36="0d", "", CONCATENATE("S",Z36))</f>
        <v/>
      </c>
    </row>
    <row r="38" spans="1:26">
      <c r="A38" t="s">
        <v>293</v>
      </c>
      <c r="C38" t="str">
        <f t="shared" ref="C38:V38" si="24">CONCATENATE("S",C36)</f>
        <v>S0d</v>
      </c>
      <c r="D38" t="str">
        <f t="shared" si="24"/>
        <v>S0d</v>
      </c>
      <c r="E38" t="str">
        <f t="shared" si="24"/>
        <v>S0d</v>
      </c>
      <c r="F38" t="str">
        <f t="shared" si="24"/>
        <v>S0d</v>
      </c>
      <c r="G38" t="str">
        <f t="shared" si="24"/>
        <v>S0d</v>
      </c>
      <c r="H38" t="str">
        <f t="shared" si="24"/>
        <v>S0d</v>
      </c>
      <c r="I38" t="str">
        <f t="shared" si="24"/>
        <v>S0d</v>
      </c>
      <c r="J38" t="str">
        <f t="shared" si="24"/>
        <v>S0d</v>
      </c>
      <c r="K38" t="str">
        <f t="shared" si="24"/>
        <v>S0d</v>
      </c>
      <c r="L38" t="str">
        <f t="shared" si="24"/>
        <v>S0d</v>
      </c>
      <c r="M38" t="str">
        <f t="shared" si="24"/>
        <v>S0d</v>
      </c>
      <c r="N38" t="str">
        <f t="shared" si="24"/>
        <v>S0d</v>
      </c>
      <c r="O38" t="str">
        <f t="shared" si="24"/>
        <v>S0d</v>
      </c>
      <c r="P38" t="str">
        <f t="shared" si="24"/>
        <v>S0d</v>
      </c>
      <c r="Q38" t="str">
        <f t="shared" si="24"/>
        <v>S0d</v>
      </c>
      <c r="R38" t="str">
        <f t="shared" si="24"/>
        <v>S0d</v>
      </c>
      <c r="S38" t="str">
        <f t="shared" si="24"/>
        <v>S1A</v>
      </c>
      <c r="T38" t="str">
        <f t="shared" si="24"/>
        <v>S90d</v>
      </c>
      <c r="U38" t="str">
        <f>CONCATENATE("S",U36)</f>
        <v>S1A</v>
      </c>
      <c r="V38" t="str">
        <f t="shared" si="24"/>
        <v>S0d</v>
      </c>
      <c r="W38" t="str">
        <f>CONCATENATE("S",W36)</f>
        <v>S0d</v>
      </c>
      <c r="X38" t="str">
        <f>CONCATENATE("S",X36)</f>
        <v>S0d</v>
      </c>
      <c r="Y38" t="str">
        <f>CONCATENATE("S",Y36)</f>
        <v>S0d</v>
      </c>
      <c r="Z38" t="str">
        <f>CONCATENATE("S",Z36)</f>
        <v>S0d</v>
      </c>
    </row>
    <row r="39" spans="1:26">
      <c r="A39" s="21" t="s">
        <v>294</v>
      </c>
      <c r="B39" s="21"/>
      <c r="C39" s="21">
        <v>2014</v>
      </c>
      <c r="D39" s="21">
        <v>2014</v>
      </c>
      <c r="E39" s="21">
        <v>2014</v>
      </c>
      <c r="F39" s="21">
        <v>2014</v>
      </c>
      <c r="G39" s="21">
        <v>2014</v>
      </c>
      <c r="H39" s="21">
        <v>2014</v>
      </c>
      <c r="I39" s="21">
        <v>2014</v>
      </c>
      <c r="J39" s="21">
        <v>2014</v>
      </c>
      <c r="K39" s="21">
        <v>2014</v>
      </c>
      <c r="L39" s="21">
        <v>2014</v>
      </c>
      <c r="M39" s="21">
        <v>2014</v>
      </c>
      <c r="N39" s="21">
        <v>2014</v>
      </c>
      <c r="O39" s="21">
        <v>2014</v>
      </c>
      <c r="P39" s="21">
        <v>2014</v>
      </c>
      <c r="Q39" s="21">
        <v>2014</v>
      </c>
      <c r="R39" s="21">
        <v>2014</v>
      </c>
      <c r="S39" s="21">
        <v>2014</v>
      </c>
      <c r="T39" s="21">
        <v>2014</v>
      </c>
      <c r="U39" s="21">
        <v>2014</v>
      </c>
      <c r="V39" s="21">
        <v>2014</v>
      </c>
      <c r="W39" s="21">
        <v>2014</v>
      </c>
      <c r="X39" s="21">
        <v>2014</v>
      </c>
      <c r="Y39" s="21">
        <v>2014</v>
      </c>
      <c r="Z39" s="21">
        <v>2014</v>
      </c>
    </row>
    <row r="40" spans="1:26">
      <c r="A40" t="s">
        <v>295</v>
      </c>
      <c r="C40" t="str">
        <f t="shared" ref="C40:V40" si="25">IF(C39=2014,"",CONCATENATE("L",C39))</f>
        <v/>
      </c>
      <c r="D40" t="str">
        <f t="shared" si="25"/>
        <v/>
      </c>
      <c r="E40" t="str">
        <f t="shared" si="25"/>
        <v/>
      </c>
      <c r="F40" t="str">
        <f t="shared" si="25"/>
        <v/>
      </c>
      <c r="G40" t="str">
        <f t="shared" si="25"/>
        <v/>
      </c>
      <c r="H40" t="str">
        <f t="shared" si="25"/>
        <v/>
      </c>
      <c r="I40" t="str">
        <f t="shared" si="25"/>
        <v/>
      </c>
      <c r="J40" t="str">
        <f t="shared" si="25"/>
        <v/>
      </c>
      <c r="K40" t="str">
        <f t="shared" si="25"/>
        <v/>
      </c>
      <c r="L40" t="str">
        <f t="shared" si="25"/>
        <v/>
      </c>
      <c r="M40" t="str">
        <f t="shared" si="25"/>
        <v/>
      </c>
      <c r="N40" t="str">
        <f t="shared" si="25"/>
        <v/>
      </c>
      <c r="O40" t="str">
        <f t="shared" si="25"/>
        <v/>
      </c>
      <c r="P40" t="str">
        <f t="shared" si="25"/>
        <v/>
      </c>
      <c r="Q40" t="str">
        <f t="shared" si="25"/>
        <v/>
      </c>
      <c r="R40" t="str">
        <f t="shared" si="25"/>
        <v/>
      </c>
      <c r="S40" t="str">
        <f t="shared" si="25"/>
        <v/>
      </c>
      <c r="T40" t="str">
        <f t="shared" si="25"/>
        <v/>
      </c>
      <c r="U40" t="str">
        <f>IF(U39=2014,"",CONCATENATE("L",U39))</f>
        <v/>
      </c>
      <c r="V40" t="str">
        <f t="shared" si="25"/>
        <v/>
      </c>
      <c r="W40" t="str">
        <f>IF(W39=2014,"",CONCATENATE("L",W39))</f>
        <v/>
      </c>
      <c r="X40" t="str">
        <f>IF(X39=2014,"",CONCATENATE("L",X39))</f>
        <v/>
      </c>
      <c r="Y40" t="str">
        <f>IF(Y39=2014,"",CONCATENATE("L",Y39))</f>
        <v/>
      </c>
      <c r="Z40" t="str">
        <f>IF(Z39=2014,"",CONCATENATE("L",Z39))</f>
        <v/>
      </c>
    </row>
    <row r="41" spans="1:26">
      <c r="A41" s="21" t="s">
        <v>296</v>
      </c>
      <c r="B41" s="21" t="s">
        <v>297</v>
      </c>
      <c r="C41" s="21" t="s">
        <v>298</v>
      </c>
      <c r="D41" s="21" t="s">
        <v>298</v>
      </c>
      <c r="E41" s="21" t="s">
        <v>298</v>
      </c>
      <c r="F41" s="21" t="s">
        <v>298</v>
      </c>
      <c r="G41" s="21" t="s">
        <v>298</v>
      </c>
      <c r="H41" s="21" t="s">
        <v>298</v>
      </c>
      <c r="I41" s="21" t="s">
        <v>298</v>
      </c>
      <c r="J41" s="21" t="s">
        <v>298</v>
      </c>
      <c r="K41" s="21" t="s">
        <v>298</v>
      </c>
      <c r="L41" s="21" t="s">
        <v>298</v>
      </c>
      <c r="M41" s="21" t="s">
        <v>298</v>
      </c>
      <c r="N41" s="21" t="s">
        <v>298</v>
      </c>
      <c r="O41" s="21" t="s">
        <v>298</v>
      </c>
      <c r="P41" s="21" t="s">
        <v>298</v>
      </c>
      <c r="Q41" s="21" t="s">
        <v>298</v>
      </c>
      <c r="R41" s="21" t="s">
        <v>298</v>
      </c>
      <c r="S41" s="21" t="s">
        <v>298</v>
      </c>
      <c r="T41" s="21" t="s">
        <v>298</v>
      </c>
      <c r="U41" s="21" t="s">
        <v>298</v>
      </c>
      <c r="V41" s="21" t="s">
        <v>299</v>
      </c>
      <c r="W41" s="21" t="s">
        <v>298</v>
      </c>
      <c r="X41" s="21" t="s">
        <v>298</v>
      </c>
      <c r="Y41" s="21" t="s">
        <v>298</v>
      </c>
      <c r="Z41" s="21" t="s">
        <v>298</v>
      </c>
    </row>
    <row r="42" spans="1:26">
      <c r="A42" t="s">
        <v>300</v>
      </c>
      <c r="C42" t="str">
        <f t="shared" ref="C42:V42" si="26">IF(C41="none","",CONCATENATE("L",C41))</f>
        <v/>
      </c>
      <c r="D42" t="str">
        <f t="shared" si="26"/>
        <v/>
      </c>
      <c r="E42" t="str">
        <f t="shared" si="26"/>
        <v/>
      </c>
      <c r="F42" t="str">
        <f t="shared" si="26"/>
        <v/>
      </c>
      <c r="G42" t="str">
        <f t="shared" si="26"/>
        <v/>
      </c>
      <c r="H42" t="str">
        <f t="shared" si="26"/>
        <v/>
      </c>
      <c r="I42" t="str">
        <f t="shared" si="26"/>
        <v/>
      </c>
      <c r="J42" t="str">
        <f t="shared" si="26"/>
        <v/>
      </c>
      <c r="K42" t="str">
        <f t="shared" si="26"/>
        <v/>
      </c>
      <c r="L42" t="str">
        <f t="shared" si="26"/>
        <v/>
      </c>
      <c r="M42" t="str">
        <f t="shared" si="26"/>
        <v/>
      </c>
      <c r="N42" t="str">
        <f t="shared" si="26"/>
        <v/>
      </c>
      <c r="O42" t="str">
        <f t="shared" si="26"/>
        <v/>
      </c>
      <c r="P42" t="str">
        <f t="shared" si="26"/>
        <v/>
      </c>
      <c r="Q42" t="str">
        <f t="shared" si="26"/>
        <v/>
      </c>
      <c r="R42" t="str">
        <f t="shared" si="26"/>
        <v/>
      </c>
      <c r="S42" t="str">
        <f t="shared" si="26"/>
        <v/>
      </c>
      <c r="T42" t="str">
        <f t="shared" si="26"/>
        <v/>
      </c>
      <c r="U42" t="str">
        <f>IF(U41="none","",CONCATENATE("L",U41))</f>
        <v/>
      </c>
      <c r="V42" t="str">
        <f t="shared" si="26"/>
        <v>Lmod</v>
      </c>
      <c r="W42" t="str">
        <f>IF(W41="none","",CONCATENATE("L",W41))</f>
        <v/>
      </c>
      <c r="X42" t="str">
        <f>IF(X41="none","",CONCATENATE("L",X41))</f>
        <v/>
      </c>
      <c r="Y42" t="str">
        <f>IF(Y41="none","",CONCATENATE("L",Y41))</f>
        <v/>
      </c>
      <c r="Z42" t="str">
        <f>IF(Z41="none","",CONCATENATE("L",Z41))</f>
        <v/>
      </c>
    </row>
    <row r="43" spans="1:26">
      <c r="A43" s="21" t="s">
        <v>301</v>
      </c>
      <c r="B43" s="21" t="s">
        <v>302</v>
      </c>
      <c r="C43" s="21" t="s">
        <v>303</v>
      </c>
      <c r="D43" s="21" t="s">
        <v>303</v>
      </c>
      <c r="E43" s="21" t="s">
        <v>303</v>
      </c>
      <c r="F43" s="21" t="s">
        <v>303</v>
      </c>
      <c r="G43" s="21" t="s">
        <v>303</v>
      </c>
      <c r="H43" s="21" t="s">
        <v>303</v>
      </c>
      <c r="I43" s="21" t="s">
        <v>303</v>
      </c>
      <c r="J43" s="21" t="s">
        <v>303</v>
      </c>
      <c r="K43" s="21" t="s">
        <v>303</v>
      </c>
      <c r="L43" s="21" t="s">
        <v>303</v>
      </c>
      <c r="M43" s="21" t="s">
        <v>303</v>
      </c>
      <c r="N43" s="21" t="s">
        <v>303</v>
      </c>
      <c r="O43" s="21" t="s">
        <v>303</v>
      </c>
      <c r="P43" s="21" t="s">
        <v>303</v>
      </c>
      <c r="Q43" s="21" t="s">
        <v>303</v>
      </c>
      <c r="R43" s="21" t="s">
        <v>303</v>
      </c>
      <c r="S43" s="21" t="s">
        <v>303</v>
      </c>
      <c r="T43" s="21" t="s">
        <v>303</v>
      </c>
      <c r="U43" s="21" t="s">
        <v>303</v>
      </c>
      <c r="V43" s="21" t="s">
        <v>303</v>
      </c>
      <c r="W43" s="21" t="s">
        <v>303</v>
      </c>
      <c r="X43" s="21" t="s">
        <v>303</v>
      </c>
      <c r="Y43" s="21" t="s">
        <v>303</v>
      </c>
      <c r="Z43" s="21" t="s">
        <v>303</v>
      </c>
    </row>
    <row r="44" spans="1:26">
      <c r="A44" t="s">
        <v>304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>
      <c r="A45" t="s">
        <v>305</v>
      </c>
      <c r="C45" t="str">
        <f t="shared" ref="C45:V45" si="27">IF(C43="RT","",CONCATENATE(C43,C44))</f>
        <v/>
      </c>
      <c r="D45" t="str">
        <f t="shared" si="27"/>
        <v/>
      </c>
      <c r="E45" t="str">
        <f t="shared" si="27"/>
        <v/>
      </c>
      <c r="F45" t="str">
        <f t="shared" si="27"/>
        <v/>
      </c>
      <c r="G45" t="str">
        <f t="shared" si="27"/>
        <v/>
      </c>
      <c r="H45" t="str">
        <f t="shared" si="27"/>
        <v/>
      </c>
      <c r="I45" t="str">
        <f t="shared" si="27"/>
        <v/>
      </c>
      <c r="J45" t="str">
        <f t="shared" si="27"/>
        <v/>
      </c>
      <c r="K45" t="str">
        <f t="shared" si="27"/>
        <v/>
      </c>
      <c r="L45" t="str">
        <f t="shared" si="27"/>
        <v/>
      </c>
      <c r="M45" t="str">
        <f t="shared" si="27"/>
        <v/>
      </c>
      <c r="N45" t="str">
        <f t="shared" si="27"/>
        <v/>
      </c>
      <c r="O45" t="str">
        <f t="shared" si="27"/>
        <v/>
      </c>
      <c r="P45" t="str">
        <f t="shared" si="27"/>
        <v/>
      </c>
      <c r="Q45" t="str">
        <f t="shared" si="27"/>
        <v/>
      </c>
      <c r="R45" t="str">
        <f t="shared" si="27"/>
        <v/>
      </c>
      <c r="S45" t="str">
        <f t="shared" si="27"/>
        <v/>
      </c>
      <c r="T45" t="str">
        <f t="shared" si="27"/>
        <v/>
      </c>
      <c r="U45" t="str">
        <f>IF(U43="RT","",CONCATENATE(U43,U44))</f>
        <v/>
      </c>
      <c r="V45" t="str">
        <f t="shared" si="27"/>
        <v/>
      </c>
      <c r="W45" t="str">
        <f>IF(W43="RT","",CONCATENATE(W43,W44))</f>
        <v/>
      </c>
      <c r="X45" t="str">
        <f>IF(X43="RT","",CONCATENATE(X43,X44))</f>
        <v/>
      </c>
      <c r="Y45" t="str">
        <f>IF(Y43="RT","",CONCATENATE(Y43,Y44))</f>
        <v/>
      </c>
      <c r="Z45" t="str">
        <f>IF(Z43="RT","",CONCATENATE(Z43,Z44))</f>
        <v/>
      </c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3" sqref="F3"/>
    </sheetView>
  </sheetViews>
  <sheetFormatPr baseColWidth="10" defaultColWidth="8.83203125" defaultRowHeight="14" x14ac:dyDescent="0"/>
  <cols>
    <col min="6" max="6" width="36.83203125" bestFit="1" customWidth="1"/>
    <col min="7" max="7" width="36.83203125" customWidth="1"/>
  </cols>
  <sheetData>
    <row r="1" spans="1:8">
      <c r="A1" t="s">
        <v>317</v>
      </c>
      <c r="D1" t="s">
        <v>316</v>
      </c>
      <c r="H1" t="s">
        <v>315</v>
      </c>
    </row>
    <row r="2" spans="1:8">
      <c r="A2" t="s">
        <v>314</v>
      </c>
      <c r="D2" t="s">
        <v>313</v>
      </c>
      <c r="E2" t="s">
        <v>312</v>
      </c>
      <c r="F2" t="s">
        <v>311</v>
      </c>
      <c r="H2" t="s">
        <v>310</v>
      </c>
    </row>
    <row r="3" spans="1:8">
      <c r="A3" t="s">
        <v>308</v>
      </c>
      <c r="B3" t="s">
        <v>235</v>
      </c>
      <c r="C3" t="s">
        <v>309</v>
      </c>
      <c r="D3">
        <v>216</v>
      </c>
      <c r="E3">
        <f>D3/60</f>
        <v>3.6</v>
      </c>
      <c r="F3">
        <f>E3*15</f>
        <v>54</v>
      </c>
      <c r="H3">
        <v>3</v>
      </c>
    </row>
    <row r="4" spans="1:8">
      <c r="A4" t="s">
        <v>308</v>
      </c>
      <c r="B4" t="s">
        <v>235</v>
      </c>
      <c r="C4" t="s">
        <v>306</v>
      </c>
      <c r="D4">
        <v>88</v>
      </c>
      <c r="E4">
        <f>D4/60</f>
        <v>1.4666666666666666</v>
      </c>
      <c r="F4">
        <f>E4*15</f>
        <v>22</v>
      </c>
      <c r="H4">
        <v>3</v>
      </c>
    </row>
    <row r="5" spans="1:8">
      <c r="A5" t="s">
        <v>308</v>
      </c>
      <c r="B5" t="s">
        <v>307</v>
      </c>
      <c r="E5">
        <f>D5/60</f>
        <v>0</v>
      </c>
      <c r="F5">
        <f>E5*15</f>
        <v>0</v>
      </c>
      <c r="H5">
        <v>3</v>
      </c>
    </row>
    <row r="6" spans="1:8">
      <c r="A6" t="s">
        <v>308</v>
      </c>
      <c r="B6" t="s">
        <v>307</v>
      </c>
      <c r="C6" t="s">
        <v>306</v>
      </c>
      <c r="D6">
        <v>89</v>
      </c>
      <c r="E6">
        <f>D6/60</f>
        <v>1.4833333333333334</v>
      </c>
      <c r="F6">
        <f>E6*15</f>
        <v>22.25</v>
      </c>
      <c r="H6">
        <v>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" sqref="E1"/>
    </sheetView>
  </sheetViews>
  <sheetFormatPr baseColWidth="10" defaultColWidth="8.83203125" defaultRowHeight="14" x14ac:dyDescent="0"/>
  <cols>
    <col min="1" max="1" width="17.6640625" bestFit="1" customWidth="1"/>
    <col min="3" max="3" width="14.1640625" bestFit="1" customWidth="1"/>
    <col min="4" max="4" width="12.6640625" bestFit="1" customWidth="1"/>
  </cols>
  <sheetData>
    <row r="1" spans="1:4">
      <c r="B1" t="str">
        <f>REvalue_input_csv!C1</f>
        <v>base</v>
      </c>
      <c r="C1" t="str">
        <f>REvalue_input_csv!D1</f>
        <v>high_cost_coal</v>
      </c>
      <c r="D1" t="str">
        <f>REvalue_input_csv!E1</f>
        <v>coal_55mingen</v>
      </c>
    </row>
    <row r="2" spans="1:4">
      <c r="B2" t="str">
        <f>REvalue_input_csv!C2</f>
        <v>ClcC70m</v>
      </c>
      <c r="C2" t="str">
        <f>REvalue_input_csv!D2</f>
        <v>ChcC70m</v>
      </c>
      <c r="D2" t="str">
        <f>REvalue_input_csv!E2</f>
        <v>ClcC55m</v>
      </c>
    </row>
    <row r="3" spans="1:4">
      <c r="A3" t="s">
        <v>414</v>
      </c>
      <c r="B3" t="s">
        <v>416</v>
      </c>
    </row>
    <row r="4" spans="1:4">
      <c r="A4" t="s">
        <v>415</v>
      </c>
      <c r="B4" t="s">
        <v>416</v>
      </c>
    </row>
    <row r="5" spans="1:4">
      <c r="A5" t="s">
        <v>411</v>
      </c>
      <c r="B5" t="s">
        <v>416</v>
      </c>
    </row>
    <row r="6" spans="1:4">
      <c r="A6" t="s">
        <v>412</v>
      </c>
      <c r="B6" t="s">
        <v>416</v>
      </c>
    </row>
    <row r="7" spans="1:4">
      <c r="A7" t="s">
        <v>413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3"/>
  <sheetViews>
    <sheetView topLeftCell="K15" workbookViewId="0">
      <selection activeCell="R55" sqref="R55"/>
    </sheetView>
  </sheetViews>
  <sheetFormatPr baseColWidth="10" defaultColWidth="8.83203125" defaultRowHeight="14" x14ac:dyDescent="0"/>
  <cols>
    <col min="1" max="1" width="44.5" customWidth="1"/>
    <col min="4" max="4" width="11.1640625" customWidth="1"/>
    <col min="5" max="5" width="17.33203125" customWidth="1"/>
    <col min="7" max="7" width="24.5" bestFit="1" customWidth="1"/>
    <col min="18" max="18" width="32.5" bestFit="1" customWidth="1"/>
    <col min="19" max="19" width="14" customWidth="1"/>
    <col min="20" max="20" width="11.5" customWidth="1"/>
    <col min="21" max="21" width="24.5" customWidth="1"/>
    <col min="22" max="22" width="12" customWidth="1"/>
    <col min="23" max="23" width="22.1640625" bestFit="1" customWidth="1"/>
    <col min="24" max="24" width="13.33203125" customWidth="1"/>
    <col min="25" max="25" width="23.5" bestFit="1" customWidth="1"/>
    <col min="26" max="26" width="13.5" customWidth="1"/>
    <col min="27" max="27" width="26.1640625" bestFit="1" customWidth="1"/>
    <col min="28" max="28" width="15.83203125" bestFit="1" customWidth="1"/>
    <col min="29" max="29" width="20.5" bestFit="1" customWidth="1"/>
    <col min="31" max="31" width="26.33203125" bestFit="1" customWidth="1"/>
    <col min="32" max="32" width="24.1640625" bestFit="1" customWidth="1"/>
    <col min="33" max="33" width="26.33203125" bestFit="1" customWidth="1"/>
    <col min="34" max="34" width="28.83203125" bestFit="1" customWidth="1"/>
    <col min="35" max="35" width="26.1640625" bestFit="1" customWidth="1"/>
    <col min="36" max="36" width="5.5" bestFit="1" customWidth="1"/>
    <col min="37" max="37" width="28" bestFit="1" customWidth="1"/>
    <col min="38" max="38" width="28.1640625" bestFit="1" customWidth="1"/>
  </cols>
  <sheetData>
    <row r="1" spans="1:38">
      <c r="A1" s="7" t="s">
        <v>0</v>
      </c>
      <c r="D1" t="s">
        <v>36</v>
      </c>
      <c r="E1">
        <v>65</v>
      </c>
      <c r="Q1" s="7" t="s">
        <v>227</v>
      </c>
    </row>
    <row r="2" spans="1:38">
      <c r="D2" t="s">
        <v>35</v>
      </c>
      <c r="E2">
        <v>2.2000000000000002</v>
      </c>
    </row>
    <row r="3" spans="1:38">
      <c r="D3" t="s">
        <v>34</v>
      </c>
      <c r="E3">
        <v>1.0549999999999999</v>
      </c>
      <c r="R3" t="s">
        <v>185</v>
      </c>
      <c r="S3" t="s">
        <v>19</v>
      </c>
      <c r="U3" t="s">
        <v>168</v>
      </c>
      <c r="W3" t="s">
        <v>170</v>
      </c>
      <c r="Y3" t="s">
        <v>173</v>
      </c>
      <c r="AA3" t="s">
        <v>180</v>
      </c>
      <c r="AC3" t="s">
        <v>174</v>
      </c>
      <c r="AE3" t="s">
        <v>209</v>
      </c>
      <c r="AF3" t="s">
        <v>218</v>
      </c>
      <c r="AH3" t="s">
        <v>213</v>
      </c>
      <c r="AI3" t="s">
        <v>217</v>
      </c>
      <c r="AK3" t="s">
        <v>224</v>
      </c>
      <c r="AL3" t="s">
        <v>226</v>
      </c>
    </row>
    <row r="4" spans="1:38">
      <c r="D4" t="s">
        <v>54</v>
      </c>
      <c r="E4">
        <v>3.9656699999999998</v>
      </c>
      <c r="Q4" t="s">
        <v>188</v>
      </c>
      <c r="R4" s="11">
        <v>0.04</v>
      </c>
      <c r="S4" s="2">
        <f>(R4*(1+R4)^$D$49)/(((1+R4)^$D$49)-1)</f>
        <v>6.4011962786454574E-2</v>
      </c>
      <c r="T4" t="s">
        <v>169</v>
      </c>
      <c r="U4" s="5">
        <f>'Data and sources'!D19</f>
        <v>1140</v>
      </c>
      <c r="V4" t="s">
        <v>172</v>
      </c>
      <c r="W4" s="4">
        <f>B7</f>
        <v>2.6153846153846154</v>
      </c>
      <c r="X4" t="s">
        <v>175</v>
      </c>
      <c r="Y4" s="5">
        <f>'Data and sources'!B14</f>
        <v>678.26769230769241</v>
      </c>
      <c r="Z4" t="s">
        <v>177</v>
      </c>
      <c r="AA4" s="5">
        <f>'Data and sources'!C14</f>
        <v>775.16307692307703</v>
      </c>
      <c r="AB4" t="s">
        <v>179</v>
      </c>
      <c r="AC4" s="4">
        <f>B17</f>
        <v>3.6923076923076925</v>
      </c>
      <c r="AD4" t="s">
        <v>222</v>
      </c>
      <c r="AE4">
        <f>B68</f>
        <v>1100</v>
      </c>
      <c r="AF4">
        <f>B69</f>
        <v>15</v>
      </c>
      <c r="AG4" t="s">
        <v>222</v>
      </c>
      <c r="AH4">
        <f>C68</f>
        <v>800</v>
      </c>
      <c r="AI4">
        <f>C69</f>
        <v>10</v>
      </c>
      <c r="AJ4" t="s">
        <v>222</v>
      </c>
      <c r="AK4">
        <v>2800</v>
      </c>
      <c r="AL4">
        <v>24</v>
      </c>
    </row>
    <row r="5" spans="1:38">
      <c r="A5" t="s">
        <v>25</v>
      </c>
      <c r="Q5" t="s">
        <v>186</v>
      </c>
      <c r="R5" s="11">
        <v>7.0000000000000007E-2</v>
      </c>
      <c r="S5" s="2">
        <f>(R5*(1+R5)^$D$49)/(((1+R5)^$D$49)-1)</f>
        <v>8.5810517220665614E-2</v>
      </c>
      <c r="T5" t="s">
        <v>167</v>
      </c>
      <c r="U5" s="5">
        <f>'Data and sources'!D17</f>
        <v>976.42784318082204</v>
      </c>
      <c r="V5" t="s">
        <v>171</v>
      </c>
      <c r="W5">
        <f>$B$15</f>
        <v>3.9</v>
      </c>
      <c r="X5" t="s">
        <v>176</v>
      </c>
      <c r="Z5" t="s">
        <v>178</v>
      </c>
      <c r="AB5" t="s">
        <v>181</v>
      </c>
      <c r="AC5">
        <f>'Data and sources'!B52</f>
        <v>10</v>
      </c>
      <c r="AD5" t="s">
        <v>210</v>
      </c>
      <c r="AE5">
        <f>AE$4*0.9</f>
        <v>990</v>
      </c>
      <c r="AF5">
        <f>AF4</f>
        <v>15</v>
      </c>
      <c r="AG5" t="s">
        <v>214</v>
      </c>
      <c r="AH5">
        <f>AH$4*0.9</f>
        <v>720</v>
      </c>
      <c r="AI5">
        <f>AI4</f>
        <v>10</v>
      </c>
      <c r="AJ5" t="s">
        <v>428</v>
      </c>
      <c r="AK5">
        <f>$AK$4*0.75</f>
        <v>2100</v>
      </c>
      <c r="AL5">
        <v>18</v>
      </c>
    </row>
    <row r="6" spans="1:38">
      <c r="A6" t="s">
        <v>26</v>
      </c>
      <c r="B6">
        <v>170</v>
      </c>
      <c r="Q6" t="s">
        <v>187</v>
      </c>
      <c r="R6" s="11">
        <v>0.1</v>
      </c>
      <c r="S6" s="2">
        <f>(R6*(1+R6)^$D$49)/(((1+R6)^$D$49)-1)</f>
        <v>0.11016807219002084</v>
      </c>
      <c r="AD6" t="s">
        <v>211</v>
      </c>
      <c r="AE6">
        <f>AE$4*0.8</f>
        <v>880</v>
      </c>
      <c r="AF6">
        <f>AF5</f>
        <v>15</v>
      </c>
      <c r="AG6" t="s">
        <v>215</v>
      </c>
      <c r="AH6">
        <f>AH$4*0.8</f>
        <v>640</v>
      </c>
      <c r="AI6">
        <f>AI5</f>
        <v>10</v>
      </c>
      <c r="AJ6" t="s">
        <v>429</v>
      </c>
      <c r="AK6">
        <f>$AK$4*0.5</f>
        <v>1400</v>
      </c>
      <c r="AL6">
        <v>12</v>
      </c>
    </row>
    <row r="7" spans="1:38">
      <c r="A7" t="s">
        <v>33</v>
      </c>
      <c r="B7" s="4">
        <f>B6/E1</f>
        <v>2.6153846153846154</v>
      </c>
      <c r="AD7" t="s">
        <v>212</v>
      </c>
      <c r="AE7">
        <f>AE$4*0.7</f>
        <v>770</v>
      </c>
      <c r="AF7">
        <f>AF6</f>
        <v>15</v>
      </c>
      <c r="AG7" t="s">
        <v>216</v>
      </c>
      <c r="AH7">
        <f>AH$4*0.7</f>
        <v>560</v>
      </c>
      <c r="AI7">
        <f>AI6</f>
        <v>10</v>
      </c>
    </row>
    <row r="8" spans="1:38">
      <c r="A8" t="s">
        <v>28</v>
      </c>
      <c r="B8">
        <v>3900</v>
      </c>
      <c r="R8" s="7" t="s">
        <v>410</v>
      </c>
    </row>
    <row r="9" spans="1:38">
      <c r="A9" t="s">
        <v>30</v>
      </c>
      <c r="B9" s="3">
        <f>B8*4.184*10^-3</f>
        <v>16.317600000000002</v>
      </c>
      <c r="R9" t="s">
        <v>182</v>
      </c>
      <c r="S9" t="str">
        <f t="shared" ref="S9:AC9" si="0">CONCATENATE(S10,IF(S11="base", "", S11),IF(S12="base", "", S12), IF(S13="base", "", S13))</f>
        <v>coallc</v>
      </c>
      <c r="T9" t="str">
        <f t="shared" si="0"/>
        <v>coalhc</v>
      </c>
      <c r="U9" t="str">
        <f t="shared" si="0"/>
        <v>coallcW10lc</v>
      </c>
      <c r="V9" t="str">
        <f t="shared" si="0"/>
        <v>coallcW20lc</v>
      </c>
      <c r="W9" t="str">
        <f t="shared" si="0"/>
        <v>coallcW30lc</v>
      </c>
      <c r="X9" t="str">
        <f t="shared" si="0"/>
        <v>coallcS10lc</v>
      </c>
      <c r="Y9" t="str">
        <f t="shared" si="0"/>
        <v>coallcS20lc</v>
      </c>
      <c r="Z9" t="str">
        <f t="shared" si="0"/>
        <v>coallcS30lc</v>
      </c>
      <c r="AA9" t="str">
        <f t="shared" si="0"/>
        <v>coallcW30lcS30lc</v>
      </c>
      <c r="AB9" t="str">
        <f t="shared" si="0"/>
        <v>coallcB25lc</v>
      </c>
      <c r="AC9" t="str">
        <f t="shared" si="0"/>
        <v>coallcB50lc</v>
      </c>
    </row>
    <row r="10" spans="1:38">
      <c r="A10" t="s">
        <v>29</v>
      </c>
      <c r="B10" s="5">
        <f>B6*B9</f>
        <v>2773.9920000000002</v>
      </c>
      <c r="R10" t="s">
        <v>219</v>
      </c>
      <c r="S10" t="s">
        <v>167</v>
      </c>
      <c r="T10" t="s">
        <v>169</v>
      </c>
      <c r="U10" t="s">
        <v>167</v>
      </c>
      <c r="V10" t="s">
        <v>167</v>
      </c>
      <c r="W10" t="s">
        <v>167</v>
      </c>
      <c r="X10" t="s">
        <v>167</v>
      </c>
      <c r="Y10" t="s">
        <v>167</v>
      </c>
      <c r="Z10" t="s">
        <v>167</v>
      </c>
      <c r="AA10" t="s">
        <v>167</v>
      </c>
      <c r="AB10" t="s">
        <v>167</v>
      </c>
      <c r="AC10" t="s">
        <v>167</v>
      </c>
    </row>
    <row r="11" spans="1:38">
      <c r="A11" t="s">
        <v>31</v>
      </c>
      <c r="B11" s="4">
        <f>B10/E1</f>
        <v>42.6768</v>
      </c>
      <c r="R11" t="s">
        <v>220</v>
      </c>
      <c r="S11" t="s">
        <v>222</v>
      </c>
      <c r="T11" t="s">
        <v>222</v>
      </c>
      <c r="U11" t="s">
        <v>210</v>
      </c>
      <c r="V11" t="s">
        <v>211</v>
      </c>
      <c r="W11" t="s">
        <v>212</v>
      </c>
      <c r="X11" t="s">
        <v>222</v>
      </c>
      <c r="Y11" t="s">
        <v>222</v>
      </c>
      <c r="Z11" t="s">
        <v>222</v>
      </c>
      <c r="AA11" t="s">
        <v>212</v>
      </c>
      <c r="AB11" t="s">
        <v>222</v>
      </c>
      <c r="AC11" t="s">
        <v>222</v>
      </c>
    </row>
    <row r="12" spans="1:38">
      <c r="A12" t="s">
        <v>96</v>
      </c>
      <c r="B12" s="4">
        <f>D35/B8</f>
        <v>0.57692307692307687</v>
      </c>
      <c r="R12" t="s">
        <v>221</v>
      </c>
      <c r="S12" t="s">
        <v>222</v>
      </c>
      <c r="T12" t="s">
        <v>222</v>
      </c>
      <c r="U12" t="s">
        <v>222</v>
      </c>
      <c r="V12" t="s">
        <v>222</v>
      </c>
      <c r="W12" t="s">
        <v>222</v>
      </c>
      <c r="X12" t="s">
        <v>214</v>
      </c>
      <c r="Y12" t="s">
        <v>215</v>
      </c>
      <c r="Z12" t="s">
        <v>216</v>
      </c>
      <c r="AA12" t="s">
        <v>216</v>
      </c>
      <c r="AB12" t="s">
        <v>222</v>
      </c>
      <c r="AC12" t="s">
        <v>222</v>
      </c>
    </row>
    <row r="13" spans="1:38">
      <c r="A13" t="s">
        <v>40</v>
      </c>
      <c r="B13" s="3">
        <f>D34*E3/B9/10^3</f>
        <v>0.57689299667230454</v>
      </c>
      <c r="C13" t="s">
        <v>59</v>
      </c>
      <c r="R13" t="s">
        <v>223</v>
      </c>
      <c r="S13" t="s">
        <v>222</v>
      </c>
      <c r="T13" t="s">
        <v>222</v>
      </c>
      <c r="U13" t="s">
        <v>222</v>
      </c>
      <c r="V13" t="s">
        <v>222</v>
      </c>
      <c r="W13" t="s">
        <v>222</v>
      </c>
      <c r="X13" t="s">
        <v>222</v>
      </c>
      <c r="Y13" t="s">
        <v>222</v>
      </c>
      <c r="Z13" t="s">
        <v>222</v>
      </c>
      <c r="AA13" t="s">
        <v>222</v>
      </c>
      <c r="AB13" t="s">
        <v>428</v>
      </c>
      <c r="AC13" t="s">
        <v>429</v>
      </c>
    </row>
    <row r="14" spans="1:38">
      <c r="A14" t="s">
        <v>46</v>
      </c>
      <c r="B14" s="5">
        <v>2375</v>
      </c>
      <c r="C14" t="s">
        <v>72</v>
      </c>
      <c r="R14" t="s">
        <v>184</v>
      </c>
      <c r="S14" s="1">
        <f t="shared" ref="S14:AC14" si="1">$R$5</f>
        <v>7.0000000000000007E-2</v>
      </c>
      <c r="T14" s="1">
        <f t="shared" si="1"/>
        <v>7.0000000000000007E-2</v>
      </c>
      <c r="U14" s="1">
        <f t="shared" si="1"/>
        <v>7.0000000000000007E-2</v>
      </c>
      <c r="V14" s="1">
        <f t="shared" si="1"/>
        <v>7.0000000000000007E-2</v>
      </c>
      <c r="W14" s="1">
        <f t="shared" si="1"/>
        <v>7.0000000000000007E-2</v>
      </c>
      <c r="X14" s="1">
        <f t="shared" si="1"/>
        <v>7.0000000000000007E-2</v>
      </c>
      <c r="Y14" s="1">
        <f t="shared" si="1"/>
        <v>7.0000000000000007E-2</v>
      </c>
      <c r="Z14" s="1">
        <f t="shared" si="1"/>
        <v>7.0000000000000007E-2</v>
      </c>
      <c r="AA14" s="1">
        <f t="shared" si="1"/>
        <v>7.0000000000000007E-2</v>
      </c>
      <c r="AB14" s="1">
        <f t="shared" si="1"/>
        <v>7.0000000000000007E-2</v>
      </c>
      <c r="AC14" s="1">
        <f t="shared" si="1"/>
        <v>7.0000000000000007E-2</v>
      </c>
    </row>
    <row r="15" spans="1:38">
      <c r="A15" t="s">
        <v>439</v>
      </c>
      <c r="B15">
        <v>3.9</v>
      </c>
      <c r="C15" t="s">
        <v>440</v>
      </c>
      <c r="R15" t="s">
        <v>189</v>
      </c>
      <c r="S15" s="2">
        <f t="shared" ref="S15:AC15" si="2">$S$5</f>
        <v>8.5810517220665614E-2</v>
      </c>
      <c r="T15" s="2">
        <f t="shared" si="2"/>
        <v>8.5810517220665614E-2</v>
      </c>
      <c r="U15" s="2">
        <f t="shared" si="2"/>
        <v>8.5810517220665614E-2</v>
      </c>
      <c r="V15" s="2">
        <f t="shared" si="2"/>
        <v>8.5810517220665614E-2</v>
      </c>
      <c r="W15" s="2">
        <f t="shared" si="2"/>
        <v>8.5810517220665614E-2</v>
      </c>
      <c r="X15" s="2">
        <f t="shared" si="2"/>
        <v>8.5810517220665614E-2</v>
      </c>
      <c r="Y15" s="2">
        <f t="shared" si="2"/>
        <v>8.5810517220665614E-2</v>
      </c>
      <c r="Z15" s="2">
        <f t="shared" si="2"/>
        <v>8.5810517220665614E-2</v>
      </c>
      <c r="AA15" s="2">
        <f t="shared" si="2"/>
        <v>8.5810517220665614E-2</v>
      </c>
      <c r="AB15" s="2">
        <f t="shared" si="2"/>
        <v>8.5810517220665614E-2</v>
      </c>
      <c r="AC15" s="2">
        <f t="shared" si="2"/>
        <v>8.5810517220665614E-2</v>
      </c>
    </row>
    <row r="16" spans="1:38">
      <c r="A16" t="s">
        <v>27</v>
      </c>
      <c r="B16">
        <v>240</v>
      </c>
      <c r="R16" s="7" t="s">
        <v>1</v>
      </c>
    </row>
    <row r="17" spans="1:29">
      <c r="A17" t="s">
        <v>38</v>
      </c>
      <c r="B17" s="4">
        <f>B16/E1</f>
        <v>3.6923076923076925</v>
      </c>
      <c r="Q17" t="s">
        <v>207</v>
      </c>
      <c r="R17" t="s">
        <v>60</v>
      </c>
      <c r="S17" s="5">
        <f t="shared" ref="S17:AC17" si="3">$Y$4</f>
        <v>678.26769230769241</v>
      </c>
      <c r="T17" s="5">
        <f t="shared" si="3"/>
        <v>678.26769230769241</v>
      </c>
      <c r="U17" s="5">
        <f t="shared" si="3"/>
        <v>678.26769230769241</v>
      </c>
      <c r="V17" s="5">
        <f t="shared" si="3"/>
        <v>678.26769230769241</v>
      </c>
      <c r="W17" s="5">
        <f t="shared" si="3"/>
        <v>678.26769230769241</v>
      </c>
      <c r="X17" s="5">
        <f t="shared" si="3"/>
        <v>678.26769230769241</v>
      </c>
      <c r="Y17" s="5">
        <f t="shared" si="3"/>
        <v>678.26769230769241</v>
      </c>
      <c r="Z17" s="5">
        <f t="shared" si="3"/>
        <v>678.26769230769241</v>
      </c>
      <c r="AA17" s="5">
        <f t="shared" si="3"/>
        <v>678.26769230769241</v>
      </c>
      <c r="AB17" s="5">
        <f t="shared" si="3"/>
        <v>678.26769230769241</v>
      </c>
      <c r="AC17" s="5">
        <f t="shared" si="3"/>
        <v>678.26769230769241</v>
      </c>
    </row>
    <row r="18" spans="1:29">
      <c r="A18" t="s">
        <v>163</v>
      </c>
      <c r="B18">
        <f>'Data and sources'!B52</f>
        <v>10</v>
      </c>
      <c r="Q18" t="s">
        <v>208</v>
      </c>
      <c r="R18" t="s">
        <v>58</v>
      </c>
      <c r="S18">
        <f t="shared" ref="S18:AC18" si="4">$AC$5</f>
        <v>10</v>
      </c>
      <c r="T18">
        <f t="shared" si="4"/>
        <v>10</v>
      </c>
      <c r="U18">
        <f t="shared" si="4"/>
        <v>10</v>
      </c>
      <c r="V18">
        <f t="shared" si="4"/>
        <v>10</v>
      </c>
      <c r="W18">
        <f t="shared" si="4"/>
        <v>10</v>
      </c>
      <c r="X18">
        <f t="shared" si="4"/>
        <v>10</v>
      </c>
      <c r="Y18">
        <f t="shared" si="4"/>
        <v>10</v>
      </c>
      <c r="Z18">
        <f t="shared" si="4"/>
        <v>10</v>
      </c>
      <c r="AA18">
        <f t="shared" si="4"/>
        <v>10</v>
      </c>
      <c r="AB18">
        <f t="shared" si="4"/>
        <v>10</v>
      </c>
      <c r="AC18">
        <f t="shared" si="4"/>
        <v>10</v>
      </c>
    </row>
    <row r="19" spans="1:29">
      <c r="A19" t="s">
        <v>165</v>
      </c>
      <c r="B19" s="4">
        <f>B18/E3</f>
        <v>9.4786729857819907</v>
      </c>
      <c r="R19" t="s">
        <v>20</v>
      </c>
      <c r="S19" s="5">
        <f t="shared" ref="S19:AC19" si="5">S$17*S$15+$B$32</f>
        <v>65.002501490990369</v>
      </c>
      <c r="T19" s="5">
        <f t="shared" si="5"/>
        <v>65.002501490990369</v>
      </c>
      <c r="U19" s="5">
        <f t="shared" si="5"/>
        <v>65.002501490990369</v>
      </c>
      <c r="V19" s="5">
        <f t="shared" si="5"/>
        <v>65.002501490990369</v>
      </c>
      <c r="W19" s="5">
        <f t="shared" si="5"/>
        <v>65.002501490990369</v>
      </c>
      <c r="X19" s="5">
        <f t="shared" si="5"/>
        <v>65.002501490990369</v>
      </c>
      <c r="Y19" s="5">
        <f t="shared" si="5"/>
        <v>65.002501490990369</v>
      </c>
      <c r="Z19" s="5">
        <f t="shared" si="5"/>
        <v>65.002501490990369</v>
      </c>
      <c r="AA19" s="5">
        <f t="shared" si="5"/>
        <v>65.002501490990369</v>
      </c>
      <c r="AB19" s="5">
        <f t="shared" si="5"/>
        <v>65.002501490990369</v>
      </c>
      <c r="AC19" s="5">
        <f t="shared" si="5"/>
        <v>65.002501490990369</v>
      </c>
    </row>
    <row r="20" spans="1:29">
      <c r="A20" t="s">
        <v>47</v>
      </c>
      <c r="B20">
        <f>'Data and sources'!B35</f>
        <v>3065</v>
      </c>
      <c r="C20" t="s">
        <v>48</v>
      </c>
      <c r="R20" t="s">
        <v>32</v>
      </c>
      <c r="S20" s="5">
        <f t="shared" ref="S20:AC20" si="6">($B$34*S$18*10^-3 + $B$33)/(1-$B$46)</f>
        <v>126.97417171717171</v>
      </c>
      <c r="T20" s="5">
        <f t="shared" si="6"/>
        <v>126.97417171717171</v>
      </c>
      <c r="U20" s="5">
        <f t="shared" si="6"/>
        <v>126.97417171717171</v>
      </c>
      <c r="V20" s="5">
        <f t="shared" si="6"/>
        <v>126.97417171717171</v>
      </c>
      <c r="W20" s="5">
        <f t="shared" si="6"/>
        <v>126.97417171717171</v>
      </c>
      <c r="X20" s="5">
        <f t="shared" si="6"/>
        <v>126.97417171717171</v>
      </c>
      <c r="Y20" s="5">
        <f t="shared" si="6"/>
        <v>126.97417171717171</v>
      </c>
      <c r="Z20" s="5">
        <f t="shared" si="6"/>
        <v>126.97417171717171</v>
      </c>
      <c r="AA20" s="5">
        <f t="shared" si="6"/>
        <v>126.97417171717171</v>
      </c>
      <c r="AB20" s="5">
        <f t="shared" si="6"/>
        <v>126.97417171717171</v>
      </c>
      <c r="AC20" s="5">
        <f t="shared" si="6"/>
        <v>126.97417171717171</v>
      </c>
    </row>
    <row r="21" spans="1:29">
      <c r="A21" t="s">
        <v>49</v>
      </c>
      <c r="B21">
        <f>'Data and sources'!C35</f>
        <v>2071</v>
      </c>
      <c r="C21" t="s">
        <v>48</v>
      </c>
    </row>
    <row r="22" spans="1:29">
      <c r="A22" t="s">
        <v>47</v>
      </c>
      <c r="B22">
        <f>'Data and sources'!B36</f>
        <v>2900</v>
      </c>
      <c r="C22" t="s">
        <v>132</v>
      </c>
      <c r="R22" s="7" t="s">
        <v>2</v>
      </c>
    </row>
    <row r="23" spans="1:29">
      <c r="A23" t="s">
        <v>49</v>
      </c>
      <c r="B23">
        <f>'Data and sources'!C36</f>
        <v>2000</v>
      </c>
      <c r="C23" t="s">
        <v>132</v>
      </c>
      <c r="Q23" t="s">
        <v>207</v>
      </c>
      <c r="R23" t="s">
        <v>61</v>
      </c>
      <c r="S23" s="5">
        <f t="shared" ref="S23:AC23" si="7">$AA$4</f>
        <v>775.16307692307703</v>
      </c>
      <c r="T23" s="5">
        <f t="shared" si="7"/>
        <v>775.16307692307703</v>
      </c>
      <c r="U23" s="5">
        <f t="shared" si="7"/>
        <v>775.16307692307703</v>
      </c>
      <c r="V23" s="5">
        <f t="shared" si="7"/>
        <v>775.16307692307703</v>
      </c>
      <c r="W23" s="5">
        <f t="shared" si="7"/>
        <v>775.16307692307703</v>
      </c>
      <c r="X23" s="5">
        <f t="shared" si="7"/>
        <v>775.16307692307703</v>
      </c>
      <c r="Y23" s="5">
        <f t="shared" si="7"/>
        <v>775.16307692307703</v>
      </c>
      <c r="Z23" s="5">
        <f t="shared" si="7"/>
        <v>775.16307692307703</v>
      </c>
      <c r="AA23" s="5">
        <f t="shared" si="7"/>
        <v>775.16307692307703</v>
      </c>
      <c r="AB23" s="5">
        <f t="shared" si="7"/>
        <v>775.16307692307703</v>
      </c>
      <c r="AC23" s="5">
        <f t="shared" si="7"/>
        <v>775.16307692307703</v>
      </c>
    </row>
    <row r="24" spans="1:29">
      <c r="A24" t="s">
        <v>133</v>
      </c>
      <c r="B24">
        <f>'Data and sources'!D36</f>
        <v>2250</v>
      </c>
      <c r="C24" t="s">
        <v>132</v>
      </c>
      <c r="R24" t="s">
        <v>20</v>
      </c>
      <c r="S24" s="5">
        <f t="shared" ref="S24:AC24" si="8">S$23*S$15+$C$32</f>
        <v>77.517144561131843</v>
      </c>
      <c r="T24" s="5">
        <f t="shared" si="8"/>
        <v>77.517144561131843</v>
      </c>
      <c r="U24" s="5">
        <f t="shared" si="8"/>
        <v>77.517144561131843</v>
      </c>
      <c r="V24" s="5">
        <f t="shared" si="8"/>
        <v>77.517144561131843</v>
      </c>
      <c r="W24" s="5">
        <f t="shared" si="8"/>
        <v>77.517144561131843</v>
      </c>
      <c r="X24" s="5">
        <f t="shared" si="8"/>
        <v>77.517144561131843</v>
      </c>
      <c r="Y24" s="5">
        <f t="shared" si="8"/>
        <v>77.517144561131843</v>
      </c>
      <c r="Z24" s="5">
        <f t="shared" si="8"/>
        <v>77.517144561131843</v>
      </c>
      <c r="AA24" s="5">
        <f t="shared" si="8"/>
        <v>77.517144561131843</v>
      </c>
      <c r="AB24" s="5">
        <f t="shared" si="8"/>
        <v>77.517144561131843</v>
      </c>
      <c r="AC24" s="5">
        <f t="shared" si="8"/>
        <v>77.517144561131843</v>
      </c>
    </row>
    <row r="25" spans="1:29">
      <c r="A25" t="s">
        <v>52</v>
      </c>
      <c r="B25">
        <v>10390</v>
      </c>
      <c r="C25" t="s">
        <v>51</v>
      </c>
      <c r="R25" t="s">
        <v>32</v>
      </c>
      <c r="S25" s="5">
        <f t="shared" ref="S25:AC25" si="9">($C$34*S$18*10^-3 + $C$33)/(1-$C$46)</f>
        <v>84.936820512820518</v>
      </c>
      <c r="T25" s="5">
        <f t="shared" si="9"/>
        <v>84.936820512820518</v>
      </c>
      <c r="U25" s="5">
        <f t="shared" si="9"/>
        <v>84.936820512820518</v>
      </c>
      <c r="V25" s="5">
        <f t="shared" si="9"/>
        <v>84.936820512820518</v>
      </c>
      <c r="W25" s="5">
        <f t="shared" si="9"/>
        <v>84.936820512820518</v>
      </c>
      <c r="X25" s="5">
        <f t="shared" si="9"/>
        <v>84.936820512820518</v>
      </c>
      <c r="Y25" s="5">
        <f t="shared" si="9"/>
        <v>84.936820512820518</v>
      </c>
      <c r="Z25" s="5">
        <f t="shared" si="9"/>
        <v>84.936820512820518</v>
      </c>
      <c r="AA25" s="5">
        <f t="shared" si="9"/>
        <v>84.936820512820518</v>
      </c>
      <c r="AB25" s="5">
        <f t="shared" si="9"/>
        <v>84.936820512820518</v>
      </c>
      <c r="AC25" s="5">
        <f t="shared" si="9"/>
        <v>84.936820512820518</v>
      </c>
    </row>
    <row r="26" spans="1:29">
      <c r="A26" t="s">
        <v>53</v>
      </c>
      <c r="B26">
        <v>6705</v>
      </c>
      <c r="C26" t="s">
        <v>51</v>
      </c>
    </row>
    <row r="27" spans="1:29">
      <c r="R27" s="7" t="s">
        <v>3</v>
      </c>
    </row>
    <row r="28" spans="1:29">
      <c r="A28" t="s">
        <v>43</v>
      </c>
      <c r="Q28" t="s">
        <v>207</v>
      </c>
      <c r="R28" t="s">
        <v>62</v>
      </c>
      <c r="S28" s="5">
        <f>INDEX($T$4:$U$5, MATCH(S10,$T$4:$T$5),2)</f>
        <v>976.42784318082204</v>
      </c>
      <c r="T28" s="5">
        <f t="shared" ref="T28:AA28" si="10">INDEX($T$4:$U$5, MATCH(T10,$T$4:$T$5),2)</f>
        <v>1140</v>
      </c>
      <c r="U28" s="5">
        <f t="shared" si="10"/>
        <v>976.42784318082204</v>
      </c>
      <c r="V28" s="5">
        <f t="shared" si="10"/>
        <v>976.42784318082204</v>
      </c>
      <c r="W28" s="5">
        <f t="shared" si="10"/>
        <v>976.42784318082204</v>
      </c>
      <c r="X28" s="5">
        <f t="shared" si="10"/>
        <v>976.42784318082204</v>
      </c>
      <c r="Y28" s="5">
        <f t="shared" si="10"/>
        <v>976.42784318082204</v>
      </c>
      <c r="Z28" s="5">
        <f t="shared" si="10"/>
        <v>976.42784318082204</v>
      </c>
      <c r="AA28" s="5">
        <f t="shared" si="10"/>
        <v>976.42784318082204</v>
      </c>
      <c r="AB28" s="5">
        <f>INDEX($T$4:$U$5, MATCH(AB10,$T$4:$T$5),2)</f>
        <v>976.42784318082204</v>
      </c>
      <c r="AC28" s="5">
        <f>INDEX($T$4:$U$5, MATCH(AC10,$T$4:$T$5),2)</f>
        <v>976.42784318082204</v>
      </c>
    </row>
    <row r="29" spans="1:29">
      <c r="A29" s="7" t="s">
        <v>16</v>
      </c>
      <c r="Q29" t="s">
        <v>208</v>
      </c>
      <c r="R29" t="s">
        <v>183</v>
      </c>
      <c r="S29" s="4">
        <f t="shared" ref="S29:AC29" si="11">$W$4</f>
        <v>2.6153846153846154</v>
      </c>
      <c r="T29" s="4">
        <f>$W$5</f>
        <v>3.9</v>
      </c>
      <c r="U29" s="4">
        <f t="shared" si="11"/>
        <v>2.6153846153846154</v>
      </c>
      <c r="V29" s="4">
        <f t="shared" si="11"/>
        <v>2.6153846153846154</v>
      </c>
      <c r="W29" s="4">
        <f t="shared" si="11"/>
        <v>2.6153846153846154</v>
      </c>
      <c r="X29" s="4">
        <f t="shared" si="11"/>
        <v>2.6153846153846154</v>
      </c>
      <c r="Y29" s="4">
        <f t="shared" si="11"/>
        <v>2.6153846153846154</v>
      </c>
      <c r="Z29" s="4">
        <f t="shared" si="11"/>
        <v>2.6153846153846154</v>
      </c>
      <c r="AA29" s="4">
        <f t="shared" si="11"/>
        <v>2.6153846153846154</v>
      </c>
      <c r="AB29" s="4">
        <f t="shared" si="11"/>
        <v>2.6153846153846154</v>
      </c>
      <c r="AC29" s="4">
        <f t="shared" si="11"/>
        <v>2.6153846153846154</v>
      </c>
    </row>
    <row r="30" spans="1:29">
      <c r="B30" t="s">
        <v>1</v>
      </c>
      <c r="C30" t="s">
        <v>2</v>
      </c>
      <c r="D30" t="s">
        <v>3</v>
      </c>
      <c r="E30" t="s">
        <v>41</v>
      </c>
      <c r="H30" t="s">
        <v>1</v>
      </c>
      <c r="I30" t="s">
        <v>2</v>
      </c>
      <c r="J30" t="s">
        <v>3</v>
      </c>
      <c r="R30" t="s">
        <v>20</v>
      </c>
      <c r="S30" s="5">
        <f t="shared" ref="S30:AC30" si="12">S$28*S$15+$D$32</f>
        <v>125.88777825200532</v>
      </c>
      <c r="T30" s="5">
        <f t="shared" si="12"/>
        <v>139.92398963155881</v>
      </c>
      <c r="U30" s="5">
        <f t="shared" si="12"/>
        <v>125.88777825200532</v>
      </c>
      <c r="V30" s="5">
        <f t="shared" si="12"/>
        <v>125.88777825200532</v>
      </c>
      <c r="W30" s="5">
        <f t="shared" si="12"/>
        <v>125.88777825200532</v>
      </c>
      <c r="X30" s="5">
        <f t="shared" si="12"/>
        <v>125.88777825200532</v>
      </c>
      <c r="Y30" s="5">
        <f t="shared" si="12"/>
        <v>125.88777825200532</v>
      </c>
      <c r="Z30" s="5">
        <f t="shared" si="12"/>
        <v>125.88777825200532</v>
      </c>
      <c r="AA30" s="5">
        <f t="shared" si="12"/>
        <v>125.88777825200532</v>
      </c>
      <c r="AB30" s="5">
        <f t="shared" si="12"/>
        <v>125.88777825200532</v>
      </c>
      <c r="AC30" s="5">
        <f t="shared" si="12"/>
        <v>125.88777825200532</v>
      </c>
    </row>
    <row r="31" spans="1:29">
      <c r="A31" t="s">
        <v>4</v>
      </c>
      <c r="B31" s="5">
        <f>'Data and sources'!B14</f>
        <v>678.26769230769241</v>
      </c>
      <c r="C31" s="5">
        <f>'Data and sources'!C14</f>
        <v>775.16307692307703</v>
      </c>
      <c r="D31" s="5">
        <f>'Data and sources'!D17</f>
        <v>976.42784318082204</v>
      </c>
      <c r="G31" t="s">
        <v>5</v>
      </c>
      <c r="H31">
        <f t="shared" ref="H31:J33" si="13">B31*$E$1</f>
        <v>44087.400000000009</v>
      </c>
      <c r="I31">
        <f t="shared" si="13"/>
        <v>50385.600000000006</v>
      </c>
      <c r="J31">
        <f t="shared" si="13"/>
        <v>63467.80980675343</v>
      </c>
      <c r="R31" t="s">
        <v>32</v>
      </c>
      <c r="S31" s="5">
        <f t="shared" ref="S31:AC31" si="14">($D$34*S$29*$E$3*10^-3 + $D$33)/(1-$D$46)</f>
        <v>32.466607822649564</v>
      </c>
      <c r="T31" s="5">
        <f t="shared" si="14"/>
        <v>45.902984148611111</v>
      </c>
      <c r="U31" s="5">
        <f t="shared" si="14"/>
        <v>32.466607822649564</v>
      </c>
      <c r="V31" s="5">
        <f t="shared" si="14"/>
        <v>32.466607822649564</v>
      </c>
      <c r="W31" s="5">
        <f t="shared" si="14"/>
        <v>32.466607822649564</v>
      </c>
      <c r="X31" s="5">
        <f t="shared" si="14"/>
        <v>32.466607822649564</v>
      </c>
      <c r="Y31" s="5">
        <f t="shared" si="14"/>
        <v>32.466607822649564</v>
      </c>
      <c r="Z31" s="5">
        <f t="shared" si="14"/>
        <v>32.466607822649564</v>
      </c>
      <c r="AA31" s="5">
        <f t="shared" si="14"/>
        <v>32.466607822649564</v>
      </c>
      <c r="AB31" s="5">
        <f t="shared" si="14"/>
        <v>32.466607822649564</v>
      </c>
      <c r="AC31" s="5">
        <f t="shared" si="14"/>
        <v>32.466607822649564</v>
      </c>
    </row>
    <row r="32" spans="1:29">
      <c r="A32" t="s">
        <v>6</v>
      </c>
      <c r="B32" s="4">
        <f>'Data and sources'!B26</f>
        <v>6.8</v>
      </c>
      <c r="C32" s="4">
        <f>'Data and sources'!C26</f>
        <v>11</v>
      </c>
      <c r="D32" s="4">
        <f>'Data and sources'!D26</f>
        <v>42.1</v>
      </c>
      <c r="G32" t="s">
        <v>14</v>
      </c>
      <c r="H32" s="5">
        <f t="shared" si="13"/>
        <v>442</v>
      </c>
      <c r="I32" s="5">
        <f t="shared" si="13"/>
        <v>715</v>
      </c>
      <c r="J32" s="5">
        <f t="shared" si="13"/>
        <v>2736.5</v>
      </c>
    </row>
    <row r="33" spans="1:29">
      <c r="A33" t="s">
        <v>7</v>
      </c>
      <c r="B33" s="5">
        <f>'Data and sources'!B27</f>
        <v>10.7</v>
      </c>
      <c r="C33" s="5">
        <f>'Data and sources'!C27</f>
        <v>3.5</v>
      </c>
      <c r="D33" s="5">
        <f>'Data and sources'!D27</f>
        <v>4.5999999999999996</v>
      </c>
      <c r="G33" t="s">
        <v>15</v>
      </c>
      <c r="H33" s="5">
        <f t="shared" si="13"/>
        <v>695.5</v>
      </c>
      <c r="I33" s="5">
        <f t="shared" si="13"/>
        <v>227.5</v>
      </c>
      <c r="J33" s="5">
        <f t="shared" si="13"/>
        <v>299</v>
      </c>
      <c r="P33" s="5"/>
      <c r="R33" s="7" t="s">
        <v>190</v>
      </c>
    </row>
    <row r="34" spans="1:29">
      <c r="A34" t="s">
        <v>8</v>
      </c>
      <c r="B34" s="5">
        <f>B22*$E$4</f>
        <v>11500.442999999999</v>
      </c>
      <c r="C34" s="5">
        <f>B23*E4</f>
        <v>7931.3399999999992</v>
      </c>
      <c r="D34" s="5">
        <f>B24*E4</f>
        <v>8922.7574999999997</v>
      </c>
      <c r="E34" t="s">
        <v>76</v>
      </c>
      <c r="F34" t="s">
        <v>75</v>
      </c>
      <c r="Q34" t="s">
        <v>228</v>
      </c>
      <c r="R34" t="s">
        <v>55</v>
      </c>
      <c r="S34" s="2">
        <f t="shared" ref="S34:AC34" si="15">(S24-S19)*1000/(S20-S25)/8760</f>
        <v>3.3984353954038309E-2</v>
      </c>
      <c r="T34" s="2">
        <f t="shared" si="15"/>
        <v>3.3984353954038309E-2</v>
      </c>
      <c r="U34" s="2">
        <f t="shared" si="15"/>
        <v>3.3984353954038309E-2</v>
      </c>
      <c r="V34" s="2">
        <f t="shared" si="15"/>
        <v>3.3984353954038309E-2</v>
      </c>
      <c r="W34" s="2">
        <f t="shared" si="15"/>
        <v>3.3984353954038309E-2</v>
      </c>
      <c r="X34" s="2">
        <f t="shared" si="15"/>
        <v>3.3984353954038309E-2</v>
      </c>
      <c r="Y34" s="2">
        <f t="shared" si="15"/>
        <v>3.3984353954038309E-2</v>
      </c>
      <c r="Z34" s="2">
        <f t="shared" si="15"/>
        <v>3.3984353954038309E-2</v>
      </c>
      <c r="AA34" s="2">
        <f t="shared" si="15"/>
        <v>3.3984353954038309E-2</v>
      </c>
      <c r="AB34" s="2">
        <f t="shared" si="15"/>
        <v>3.3984353954038309E-2</v>
      </c>
      <c r="AC34" s="2">
        <f t="shared" si="15"/>
        <v>3.3984353954038309E-2</v>
      </c>
    </row>
    <row r="35" spans="1:29">
      <c r="A35" t="s">
        <v>74</v>
      </c>
      <c r="B35">
        <f>B34/$E$4</f>
        <v>2900</v>
      </c>
      <c r="C35">
        <f>C34/$E$4</f>
        <v>2000</v>
      </c>
      <c r="D35" s="5">
        <f>D34/$E$4</f>
        <v>2250</v>
      </c>
      <c r="E35" t="s">
        <v>45</v>
      </c>
      <c r="F35" t="s">
        <v>77</v>
      </c>
      <c r="R35" t="s">
        <v>56</v>
      </c>
      <c r="S35" s="2">
        <f t="shared" ref="S35:AC35" si="16">(S30-S24)*1000/(S25-S31)/8760</f>
        <v>0.10523612453151106</v>
      </c>
      <c r="T35" s="2">
        <f t="shared" si="16"/>
        <v>0.18251009215426989</v>
      </c>
      <c r="U35" s="2">
        <f t="shared" si="16"/>
        <v>0.10523612453151106</v>
      </c>
      <c r="V35" s="2">
        <f t="shared" si="16"/>
        <v>0.10523612453151106</v>
      </c>
      <c r="W35" s="2">
        <f t="shared" si="16"/>
        <v>0.10523612453151106</v>
      </c>
      <c r="X35" s="2">
        <f t="shared" si="16"/>
        <v>0.10523612453151106</v>
      </c>
      <c r="Y35" s="2">
        <f t="shared" si="16"/>
        <v>0.10523612453151106</v>
      </c>
      <c r="Z35" s="2">
        <f t="shared" si="16"/>
        <v>0.10523612453151106</v>
      </c>
      <c r="AA35" s="2">
        <f t="shared" si="16"/>
        <v>0.10523612453151106</v>
      </c>
      <c r="AB35" s="2">
        <f t="shared" si="16"/>
        <v>0.10523612453151106</v>
      </c>
      <c r="AC35" s="2">
        <f t="shared" si="16"/>
        <v>0.10523612453151106</v>
      </c>
    </row>
    <row r="36" spans="1:29">
      <c r="A36" t="s">
        <v>166</v>
      </c>
      <c r="B36" s="4">
        <f>B34*$E$3*10^-3</f>
        <v>12.132967364999999</v>
      </c>
      <c r="C36" s="4">
        <f>C34*$E$3*10^-3</f>
        <v>8.3675636999999998</v>
      </c>
      <c r="D36" s="4">
        <f>D34*$E$3*10^-3</f>
        <v>9.4135091624999987</v>
      </c>
      <c r="R36" t="s">
        <v>57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</row>
    <row r="37" spans="1:29">
      <c r="A37" t="s">
        <v>9</v>
      </c>
      <c r="B37" s="1">
        <v>0.5</v>
      </c>
      <c r="C37" s="1">
        <v>0.5</v>
      </c>
      <c r="D37" s="1">
        <v>0.55000000000000004</v>
      </c>
      <c r="E37" t="s">
        <v>44</v>
      </c>
    </row>
    <row r="38" spans="1:29">
      <c r="A38" t="s">
        <v>10</v>
      </c>
      <c r="B38">
        <v>117</v>
      </c>
      <c r="C38">
        <v>117</v>
      </c>
      <c r="D38">
        <v>215</v>
      </c>
      <c r="E38" t="s">
        <v>45</v>
      </c>
      <c r="R38" s="7" t="s">
        <v>192</v>
      </c>
    </row>
    <row r="39" spans="1:29">
      <c r="A39" t="s">
        <v>11</v>
      </c>
      <c r="B39">
        <v>2.0000000000000001E-4</v>
      </c>
      <c r="C39">
        <v>2.0000000000000001E-4</v>
      </c>
      <c r="D39">
        <v>5.5E-2</v>
      </c>
      <c r="E39" t="s">
        <v>45</v>
      </c>
      <c r="Q39" t="s">
        <v>194</v>
      </c>
      <c r="R39" t="s">
        <v>193</v>
      </c>
    </row>
    <row r="40" spans="1:29">
      <c r="A40" t="s">
        <v>12</v>
      </c>
      <c r="B40">
        <v>3.3000000000000002E-2</v>
      </c>
      <c r="C40">
        <v>7.3000000000000001E-3</v>
      </c>
      <c r="D40">
        <v>0.05</v>
      </c>
      <c r="E40" t="s">
        <v>45</v>
      </c>
      <c r="G40">
        <f>52500/65</f>
        <v>807.69230769230774</v>
      </c>
      <c r="Q40">
        <v>0</v>
      </c>
      <c r="R40" t="s">
        <v>195</v>
      </c>
      <c r="S40" s="5">
        <f t="shared" ref="S40:AC40" si="17">S19</f>
        <v>65.002501490990369</v>
      </c>
      <c r="T40" s="5">
        <f t="shared" si="17"/>
        <v>65.002501490990369</v>
      </c>
      <c r="U40" s="5">
        <f t="shared" si="17"/>
        <v>65.002501490990369</v>
      </c>
      <c r="V40" s="5">
        <f t="shared" si="17"/>
        <v>65.002501490990369</v>
      </c>
      <c r="W40" s="5">
        <f t="shared" si="17"/>
        <v>65.002501490990369</v>
      </c>
      <c r="X40" s="5">
        <f t="shared" si="17"/>
        <v>65.002501490990369</v>
      </c>
      <c r="Y40" s="5">
        <f t="shared" si="17"/>
        <v>65.002501490990369</v>
      </c>
      <c r="Z40" s="5">
        <f t="shared" si="17"/>
        <v>65.002501490990369</v>
      </c>
      <c r="AA40" s="5">
        <f t="shared" si="17"/>
        <v>65.002501490990369</v>
      </c>
      <c r="AB40" s="5">
        <f t="shared" si="17"/>
        <v>65.002501490990369</v>
      </c>
      <c r="AC40" s="5">
        <f t="shared" si="17"/>
        <v>65.002501490990369</v>
      </c>
    </row>
    <row r="41" spans="1:29">
      <c r="A41" t="s">
        <v>13</v>
      </c>
      <c r="B41">
        <v>6.0000000000000001E-3</v>
      </c>
      <c r="C41">
        <v>5.7999999999999996E-3</v>
      </c>
      <c r="D41">
        <v>1.0999999999999999E-2</v>
      </c>
      <c r="E41" t="s">
        <v>45</v>
      </c>
      <c r="G41">
        <f>35860/65</f>
        <v>551.69230769230774</v>
      </c>
      <c r="Q41">
        <v>8760</v>
      </c>
      <c r="R41" t="s">
        <v>195</v>
      </c>
      <c r="S41" s="5">
        <f t="shared" ref="S41:AC41" si="18">S40+S20*$Q$41/1000</f>
        <v>1177.2962457334145</v>
      </c>
      <c r="T41" s="5">
        <f t="shared" si="18"/>
        <v>1177.2962457334145</v>
      </c>
      <c r="U41" s="5">
        <f t="shared" si="18"/>
        <v>1177.2962457334145</v>
      </c>
      <c r="V41" s="5">
        <f t="shared" si="18"/>
        <v>1177.2962457334145</v>
      </c>
      <c r="W41" s="5">
        <f t="shared" si="18"/>
        <v>1177.2962457334145</v>
      </c>
      <c r="X41" s="5">
        <f t="shared" si="18"/>
        <v>1177.2962457334145</v>
      </c>
      <c r="Y41" s="5">
        <f t="shared" si="18"/>
        <v>1177.2962457334145</v>
      </c>
      <c r="Z41" s="5">
        <f t="shared" si="18"/>
        <v>1177.2962457334145</v>
      </c>
      <c r="AA41" s="5">
        <f t="shared" si="18"/>
        <v>1177.2962457334145</v>
      </c>
      <c r="AB41" s="5">
        <f t="shared" si="18"/>
        <v>1177.2962457334145</v>
      </c>
      <c r="AC41" s="5">
        <f t="shared" si="18"/>
        <v>1177.2962457334145</v>
      </c>
    </row>
    <row r="42" spans="1:29">
      <c r="A42" t="s">
        <v>21</v>
      </c>
      <c r="B42" s="3">
        <f>B38*B$34*10^-6/$E$2</f>
        <v>0.61161446863636348</v>
      </c>
      <c r="C42" s="3">
        <f>C38*C$34*10^-6/$E$2</f>
        <v>0.42180308181818171</v>
      </c>
      <c r="D42" s="3">
        <f>D38*D$34*10^-6/$E$2</f>
        <v>0.87199675568181811</v>
      </c>
      <c r="F42" t="s">
        <v>64</v>
      </c>
      <c r="Q42">
        <v>0</v>
      </c>
      <c r="R42" t="s">
        <v>196</v>
      </c>
      <c r="S42" s="5">
        <f t="shared" ref="S42:AC42" si="19">S24</f>
        <v>77.517144561131843</v>
      </c>
      <c r="T42" s="5">
        <f t="shared" si="19"/>
        <v>77.517144561131843</v>
      </c>
      <c r="U42" s="5">
        <f t="shared" si="19"/>
        <v>77.517144561131843</v>
      </c>
      <c r="V42" s="5">
        <f t="shared" si="19"/>
        <v>77.517144561131843</v>
      </c>
      <c r="W42" s="5">
        <f t="shared" si="19"/>
        <v>77.517144561131843</v>
      </c>
      <c r="X42" s="5">
        <f t="shared" si="19"/>
        <v>77.517144561131843</v>
      </c>
      <c r="Y42" s="5">
        <f t="shared" si="19"/>
        <v>77.517144561131843</v>
      </c>
      <c r="Z42" s="5">
        <f t="shared" si="19"/>
        <v>77.517144561131843</v>
      </c>
      <c r="AA42" s="5">
        <f t="shared" si="19"/>
        <v>77.517144561131843</v>
      </c>
      <c r="AB42" s="5">
        <f t="shared" si="19"/>
        <v>77.517144561131843</v>
      </c>
      <c r="AC42" s="5">
        <f t="shared" si="19"/>
        <v>77.517144561131843</v>
      </c>
    </row>
    <row r="43" spans="1:29">
      <c r="A43" t="s">
        <v>22</v>
      </c>
      <c r="B43" s="6">
        <f t="shared" ref="B43:D45" si="20">B39*B$34*10^-3/$E$2</f>
        <v>1.0454948181818182E-3</v>
      </c>
      <c r="C43" s="6">
        <f t="shared" si="20"/>
        <v>7.2103090909090911E-4</v>
      </c>
      <c r="D43" s="6">
        <f t="shared" si="20"/>
        <v>0.22306893749999998</v>
      </c>
      <c r="Q43">
        <v>8760</v>
      </c>
      <c r="R43" t="s">
        <v>196</v>
      </c>
      <c r="S43" s="5">
        <f t="shared" ref="S43:AC43" si="21">S42+S25*$Q$43/1000</f>
        <v>821.56369225343963</v>
      </c>
      <c r="T43" s="5">
        <f t="shared" si="21"/>
        <v>821.56369225343963</v>
      </c>
      <c r="U43" s="5">
        <f t="shared" si="21"/>
        <v>821.56369225343963</v>
      </c>
      <c r="V43" s="5">
        <f t="shared" si="21"/>
        <v>821.56369225343963</v>
      </c>
      <c r="W43" s="5">
        <f t="shared" si="21"/>
        <v>821.56369225343963</v>
      </c>
      <c r="X43" s="5">
        <f t="shared" si="21"/>
        <v>821.56369225343963</v>
      </c>
      <c r="Y43" s="5">
        <f t="shared" si="21"/>
        <v>821.56369225343963</v>
      </c>
      <c r="Z43" s="5">
        <f t="shared" si="21"/>
        <v>821.56369225343963</v>
      </c>
      <c r="AA43" s="5">
        <f t="shared" si="21"/>
        <v>821.56369225343963</v>
      </c>
      <c r="AB43" s="5">
        <f t="shared" si="21"/>
        <v>821.56369225343963</v>
      </c>
      <c r="AC43" s="5">
        <f t="shared" si="21"/>
        <v>821.56369225343963</v>
      </c>
    </row>
    <row r="44" spans="1:29">
      <c r="A44" t="s">
        <v>23</v>
      </c>
      <c r="B44" s="3">
        <f t="shared" si="20"/>
        <v>0.17250664499999999</v>
      </c>
      <c r="C44" s="3">
        <f t="shared" si="20"/>
        <v>2.6317628181818178E-2</v>
      </c>
      <c r="D44" s="3">
        <f t="shared" si="20"/>
        <v>0.20278994318181817</v>
      </c>
      <c r="Q44">
        <v>0</v>
      </c>
      <c r="R44" t="s">
        <v>3</v>
      </c>
      <c r="S44" s="5">
        <f t="shared" ref="S44:AC44" si="22">S30</f>
        <v>125.88777825200532</v>
      </c>
      <c r="T44" s="5">
        <f t="shared" si="22"/>
        <v>139.92398963155881</v>
      </c>
      <c r="U44" s="5">
        <f t="shared" si="22"/>
        <v>125.88777825200532</v>
      </c>
      <c r="V44" s="5">
        <f t="shared" si="22"/>
        <v>125.88777825200532</v>
      </c>
      <c r="W44" s="5">
        <f t="shared" si="22"/>
        <v>125.88777825200532</v>
      </c>
      <c r="X44" s="5">
        <f t="shared" si="22"/>
        <v>125.88777825200532</v>
      </c>
      <c r="Y44" s="5">
        <f t="shared" si="22"/>
        <v>125.88777825200532</v>
      </c>
      <c r="Z44" s="5">
        <f t="shared" si="22"/>
        <v>125.88777825200532</v>
      </c>
      <c r="AA44" s="5">
        <f t="shared" si="22"/>
        <v>125.88777825200532</v>
      </c>
      <c r="AB44" s="5">
        <f t="shared" si="22"/>
        <v>125.88777825200532</v>
      </c>
      <c r="AC44" s="5">
        <f t="shared" si="22"/>
        <v>125.88777825200532</v>
      </c>
    </row>
    <row r="45" spans="1:29">
      <c r="A45" t="s">
        <v>24</v>
      </c>
      <c r="B45" s="2">
        <f t="shared" si="20"/>
        <v>3.1364844545454539E-2</v>
      </c>
      <c r="C45" s="2">
        <f t="shared" si="20"/>
        <v>2.0909896363636361E-2</v>
      </c>
      <c r="D45" s="2">
        <f t="shared" si="20"/>
        <v>4.4613787499999995E-2</v>
      </c>
      <c r="Q45">
        <v>8760</v>
      </c>
      <c r="R45" t="s">
        <v>3</v>
      </c>
      <c r="S45" s="5">
        <f t="shared" ref="S45:AC45" si="23">S44+S31*$Q$45/1000</f>
        <v>410.29526277841552</v>
      </c>
      <c r="T45" s="5">
        <f t="shared" si="23"/>
        <v>542.03413077339212</v>
      </c>
      <c r="U45" s="5">
        <f t="shared" si="23"/>
        <v>410.29526277841552</v>
      </c>
      <c r="V45" s="5">
        <f t="shared" si="23"/>
        <v>410.29526277841552</v>
      </c>
      <c r="W45" s="5">
        <f t="shared" si="23"/>
        <v>410.29526277841552</v>
      </c>
      <c r="X45" s="5">
        <f t="shared" si="23"/>
        <v>410.29526277841552</v>
      </c>
      <c r="Y45" s="5">
        <f t="shared" si="23"/>
        <v>410.29526277841552</v>
      </c>
      <c r="Z45" s="5">
        <f t="shared" si="23"/>
        <v>410.29526277841552</v>
      </c>
      <c r="AA45" s="5">
        <f t="shared" si="23"/>
        <v>410.29526277841552</v>
      </c>
      <c r="AB45" s="5">
        <f t="shared" si="23"/>
        <v>410.29526277841552</v>
      </c>
      <c r="AC45" s="5">
        <f t="shared" si="23"/>
        <v>410.29526277841552</v>
      </c>
    </row>
    <row r="46" spans="1:29">
      <c r="A46" t="s">
        <v>50</v>
      </c>
      <c r="B46" s="11">
        <v>0.01</v>
      </c>
      <c r="C46" s="11">
        <v>2.5000000000000001E-2</v>
      </c>
      <c r="D46" s="11">
        <v>0.1</v>
      </c>
      <c r="E46" t="s">
        <v>73</v>
      </c>
    </row>
    <row r="47" spans="1:29">
      <c r="Q47" s="20" t="s">
        <v>430</v>
      </c>
      <c r="R47" s="7" t="s">
        <v>197</v>
      </c>
    </row>
    <row r="48" spans="1:29">
      <c r="A48" t="s">
        <v>17</v>
      </c>
      <c r="B48" s="10">
        <v>7.0000000000000007E-2</v>
      </c>
      <c r="C48" s="8">
        <f>B48</f>
        <v>7.0000000000000007E-2</v>
      </c>
      <c r="D48" s="8">
        <f>B48</f>
        <v>7.0000000000000007E-2</v>
      </c>
      <c r="E48" t="s">
        <v>139</v>
      </c>
      <c r="Q48" t="s">
        <v>198</v>
      </c>
      <c r="R48" t="s">
        <v>193</v>
      </c>
      <c r="S48" t="str">
        <f>S9</f>
        <v>coallc</v>
      </c>
      <c r="T48" t="str">
        <f t="shared" ref="T48:AC48" si="24">T9</f>
        <v>coalhc</v>
      </c>
      <c r="U48" t="str">
        <f t="shared" si="24"/>
        <v>coallcW10lc</v>
      </c>
      <c r="V48" t="str">
        <f t="shared" si="24"/>
        <v>coallcW20lc</v>
      </c>
      <c r="W48" t="str">
        <f t="shared" si="24"/>
        <v>coallcW30lc</v>
      </c>
      <c r="X48" t="str">
        <f t="shared" si="24"/>
        <v>coallcS10lc</v>
      </c>
      <c r="Y48" t="str">
        <f t="shared" si="24"/>
        <v>coallcS20lc</v>
      </c>
      <c r="Z48" t="str">
        <f t="shared" si="24"/>
        <v>coallcS30lc</v>
      </c>
      <c r="AA48" t="str">
        <f t="shared" si="24"/>
        <v>coallcW30lcS30lc</v>
      </c>
      <c r="AB48" t="str">
        <f t="shared" si="24"/>
        <v>coallcB25lc</v>
      </c>
      <c r="AC48" t="str">
        <f t="shared" si="24"/>
        <v>coallcB50lc</v>
      </c>
    </row>
    <row r="49" spans="1:29">
      <c r="A49" t="s">
        <v>18</v>
      </c>
      <c r="B49">
        <v>25</v>
      </c>
      <c r="C49">
        <v>25</v>
      </c>
      <c r="D49">
        <v>25</v>
      </c>
      <c r="E49" t="s">
        <v>42</v>
      </c>
      <c r="Q49" t="s">
        <v>203</v>
      </c>
      <c r="R49" t="s">
        <v>199</v>
      </c>
      <c r="S49" s="5">
        <f t="shared" ref="S49:AC49" si="25">S17</f>
        <v>678.26769230769241</v>
      </c>
      <c r="T49" s="5">
        <f t="shared" si="25"/>
        <v>678.26769230769241</v>
      </c>
      <c r="U49" s="5">
        <f t="shared" si="25"/>
        <v>678.26769230769241</v>
      </c>
      <c r="V49" s="5">
        <f t="shared" si="25"/>
        <v>678.26769230769241</v>
      </c>
      <c r="W49" s="5">
        <f t="shared" si="25"/>
        <v>678.26769230769241</v>
      </c>
      <c r="X49" s="5">
        <f t="shared" si="25"/>
        <v>678.26769230769241</v>
      </c>
      <c r="Y49" s="5">
        <f t="shared" si="25"/>
        <v>678.26769230769241</v>
      </c>
      <c r="Z49" s="5">
        <f t="shared" si="25"/>
        <v>678.26769230769241</v>
      </c>
      <c r="AA49" s="5">
        <f t="shared" si="25"/>
        <v>678.26769230769241</v>
      </c>
      <c r="AB49" s="5">
        <f t="shared" si="25"/>
        <v>678.26769230769241</v>
      </c>
      <c r="AC49" s="5">
        <f t="shared" si="25"/>
        <v>678.26769230769241</v>
      </c>
    </row>
    <row r="50" spans="1:29" ht="15">
      <c r="A50" t="s">
        <v>19</v>
      </c>
      <c r="B50" s="9">
        <f>(B48*(1+B48)^B49)/(((1+B48)^B49)-1)</f>
        <v>8.5810517220665614E-2</v>
      </c>
      <c r="C50" s="9">
        <f>(C48*(1+C48)^C49)/(((1+C48)^C49)-1)</f>
        <v>8.5810517220665614E-2</v>
      </c>
      <c r="D50" s="9">
        <f>(D48*(1+D48)^D49)/(((1+D48)^D49)-1)</f>
        <v>8.5810517220665614E-2</v>
      </c>
      <c r="Q50" t="s">
        <v>204</v>
      </c>
      <c r="R50" t="s">
        <v>199</v>
      </c>
      <c r="S50" s="4">
        <f t="shared" ref="S50:AC50" si="26">$B$32</f>
        <v>6.8</v>
      </c>
      <c r="T50" s="4">
        <f t="shared" si="26"/>
        <v>6.8</v>
      </c>
      <c r="U50" s="4">
        <f t="shared" si="26"/>
        <v>6.8</v>
      </c>
      <c r="V50" s="4">
        <f t="shared" si="26"/>
        <v>6.8</v>
      </c>
      <c r="W50" s="4">
        <f t="shared" si="26"/>
        <v>6.8</v>
      </c>
      <c r="X50" s="4">
        <f t="shared" si="26"/>
        <v>6.8</v>
      </c>
      <c r="Y50" s="4">
        <f t="shared" si="26"/>
        <v>6.8</v>
      </c>
      <c r="Z50" s="4">
        <f t="shared" si="26"/>
        <v>6.8</v>
      </c>
      <c r="AA50" s="4">
        <f t="shared" si="26"/>
        <v>6.8</v>
      </c>
      <c r="AB50" s="4">
        <f t="shared" si="26"/>
        <v>6.8</v>
      </c>
      <c r="AC50" s="4">
        <f t="shared" si="26"/>
        <v>6.8</v>
      </c>
    </row>
    <row r="51" spans="1:29">
      <c r="A51" t="s">
        <v>20</v>
      </c>
      <c r="B51" s="4">
        <f>B31*B50+B32</f>
        <v>65.002501490990369</v>
      </c>
      <c r="C51" s="4">
        <f>C31*C50+C32</f>
        <v>77.517144561131843</v>
      </c>
      <c r="D51" s="4">
        <f>D31*D50+D32</f>
        <v>125.88777825200532</v>
      </c>
      <c r="Q51" t="s">
        <v>203</v>
      </c>
      <c r="R51" t="s">
        <v>200</v>
      </c>
      <c r="S51" s="5">
        <f t="shared" ref="S51:AC51" si="27">S23</f>
        <v>775.16307692307703</v>
      </c>
      <c r="T51" s="5">
        <f t="shared" si="27"/>
        <v>775.16307692307703</v>
      </c>
      <c r="U51" s="5">
        <f t="shared" si="27"/>
        <v>775.16307692307703</v>
      </c>
      <c r="V51" s="5">
        <f t="shared" si="27"/>
        <v>775.16307692307703</v>
      </c>
      <c r="W51" s="5">
        <f t="shared" si="27"/>
        <v>775.16307692307703</v>
      </c>
      <c r="X51" s="5">
        <f t="shared" si="27"/>
        <v>775.16307692307703</v>
      </c>
      <c r="Y51" s="5">
        <f t="shared" si="27"/>
        <v>775.16307692307703</v>
      </c>
      <c r="Z51" s="5">
        <f t="shared" si="27"/>
        <v>775.16307692307703</v>
      </c>
      <c r="AA51" s="5">
        <f t="shared" si="27"/>
        <v>775.16307692307703</v>
      </c>
      <c r="AB51" s="5">
        <f t="shared" si="27"/>
        <v>775.16307692307703</v>
      </c>
      <c r="AC51" s="5">
        <f t="shared" si="27"/>
        <v>775.16307692307703</v>
      </c>
    </row>
    <row r="52" spans="1:29">
      <c r="A52" t="s">
        <v>39</v>
      </c>
      <c r="B52" s="5">
        <f>B51*$E$1</f>
        <v>4225.1625969143743</v>
      </c>
      <c r="C52" s="5">
        <f>C51*$E$1</f>
        <v>5038.6143964735702</v>
      </c>
      <c r="D52" s="5">
        <f>D51*$E$1</f>
        <v>8182.7055863803453</v>
      </c>
      <c r="G52" t="s">
        <v>63</v>
      </c>
      <c r="H52" s="5">
        <f>B55*8760</f>
        <v>297.7029406373756</v>
      </c>
      <c r="I52" s="5">
        <f>(C55-B55)*8760</f>
        <v>624.16551025866136</v>
      </c>
      <c r="J52" s="5">
        <f>(1-C55-B55)*8760</f>
        <v>7540.4286084665873</v>
      </c>
      <c r="Q52" t="s">
        <v>204</v>
      </c>
      <c r="R52" t="s">
        <v>200</v>
      </c>
      <c r="S52" s="4">
        <f t="shared" ref="S52:AC52" si="28">$C$32</f>
        <v>11</v>
      </c>
      <c r="T52" s="4">
        <f t="shared" si="28"/>
        <v>11</v>
      </c>
      <c r="U52" s="4">
        <f t="shared" si="28"/>
        <v>11</v>
      </c>
      <c r="V52" s="4">
        <f t="shared" si="28"/>
        <v>11</v>
      </c>
      <c r="W52" s="4">
        <f t="shared" si="28"/>
        <v>11</v>
      </c>
      <c r="X52" s="4">
        <f t="shared" si="28"/>
        <v>11</v>
      </c>
      <c r="Y52" s="4">
        <f t="shared" si="28"/>
        <v>11</v>
      </c>
      <c r="Z52" s="4">
        <f t="shared" si="28"/>
        <v>11</v>
      </c>
      <c r="AA52" s="4">
        <f t="shared" si="28"/>
        <v>11</v>
      </c>
      <c r="AB52" s="4">
        <f t="shared" si="28"/>
        <v>11</v>
      </c>
      <c r="AC52" s="4">
        <f t="shared" si="28"/>
        <v>11</v>
      </c>
    </row>
    <row r="53" spans="1:29">
      <c r="A53" t="s">
        <v>32</v>
      </c>
      <c r="B53" s="4">
        <f>(B34*$B$18*10^-3 + B33)/(1-B46)</f>
        <v>126.97417171717171</v>
      </c>
      <c r="C53" s="4">
        <f>(C34*$B$18*10^-3 + C33)/(1-C46)</f>
        <v>84.936820512820518</v>
      </c>
      <c r="D53" s="4">
        <f>(D34*B7*$E$3*10^-3 + D33)/(1-D46)</f>
        <v>32.466607822649564</v>
      </c>
      <c r="H53" t="s">
        <v>1</v>
      </c>
      <c r="I53" t="s">
        <v>2</v>
      </c>
      <c r="J53" t="s">
        <v>3</v>
      </c>
      <c r="Q53" t="s">
        <v>203</v>
      </c>
      <c r="R53" t="s">
        <v>57</v>
      </c>
      <c r="S53" s="5">
        <f t="shared" ref="S53:AC53" si="29">S28</f>
        <v>976.42784318082204</v>
      </c>
      <c r="T53" s="5">
        <f t="shared" si="29"/>
        <v>1140</v>
      </c>
      <c r="U53" s="5">
        <f t="shared" si="29"/>
        <v>976.42784318082204</v>
      </c>
      <c r="V53" s="5">
        <f t="shared" si="29"/>
        <v>976.42784318082204</v>
      </c>
      <c r="W53" s="5">
        <f t="shared" si="29"/>
        <v>976.42784318082204</v>
      </c>
      <c r="X53" s="5">
        <f t="shared" si="29"/>
        <v>976.42784318082204</v>
      </c>
      <c r="Y53" s="5">
        <f t="shared" si="29"/>
        <v>976.42784318082204</v>
      </c>
      <c r="Z53" s="5">
        <f t="shared" si="29"/>
        <v>976.42784318082204</v>
      </c>
      <c r="AA53" s="5">
        <f t="shared" si="29"/>
        <v>976.42784318082204</v>
      </c>
      <c r="AB53" s="5">
        <f t="shared" si="29"/>
        <v>976.42784318082204</v>
      </c>
      <c r="AC53" s="5">
        <f t="shared" si="29"/>
        <v>976.42784318082204</v>
      </c>
    </row>
    <row r="54" spans="1:29">
      <c r="A54" t="s">
        <v>37</v>
      </c>
      <c r="B54" s="5">
        <f>B53*$E$1</f>
        <v>8253.3211616161607</v>
      </c>
      <c r="C54" s="5">
        <f>C53*$E$1</f>
        <v>5520.8933333333334</v>
      </c>
      <c r="D54" s="5">
        <f>D53*$E$1</f>
        <v>2110.3295084722217</v>
      </c>
      <c r="G54" t="s">
        <v>206</v>
      </c>
      <c r="H54" s="4">
        <f>B52/H52</f>
        <v>14.192545723157426</v>
      </c>
      <c r="I54" s="4">
        <f>C52/I52</f>
        <v>8.0725613858181795</v>
      </c>
      <c r="J54" s="4">
        <f>D52/J52</f>
        <v>1.0851777811665231</v>
      </c>
      <c r="Q54" t="s">
        <v>204</v>
      </c>
      <c r="R54" t="s">
        <v>57</v>
      </c>
      <c r="S54" s="4">
        <f t="shared" ref="S54:AC54" si="30">$D$32</f>
        <v>42.1</v>
      </c>
      <c r="T54" s="4">
        <f t="shared" si="30"/>
        <v>42.1</v>
      </c>
      <c r="U54" s="4">
        <f t="shared" si="30"/>
        <v>42.1</v>
      </c>
      <c r="V54" s="4">
        <f t="shared" si="30"/>
        <v>42.1</v>
      </c>
      <c r="W54" s="4">
        <f t="shared" si="30"/>
        <v>42.1</v>
      </c>
      <c r="X54" s="4">
        <f t="shared" si="30"/>
        <v>42.1</v>
      </c>
      <c r="Y54" s="4">
        <f t="shared" si="30"/>
        <v>42.1</v>
      </c>
      <c r="Z54" s="4">
        <f t="shared" si="30"/>
        <v>42.1</v>
      </c>
      <c r="AA54" s="4">
        <f t="shared" si="30"/>
        <v>42.1</v>
      </c>
      <c r="AB54" s="4">
        <f t="shared" si="30"/>
        <v>42.1</v>
      </c>
      <c r="AC54" s="4">
        <f t="shared" si="30"/>
        <v>42.1</v>
      </c>
    </row>
    <row r="55" spans="1:29">
      <c r="A55" t="s">
        <v>190</v>
      </c>
      <c r="B55" s="12">
        <f>(C51-B51)*1000/(B53-C53)/8760</f>
        <v>3.3984353954038309E-2</v>
      </c>
      <c r="C55" s="12">
        <f>(D51-C51)*1000/(C53-D53)/8760</f>
        <v>0.10523612453151106</v>
      </c>
      <c r="G55" t="s">
        <v>205</v>
      </c>
      <c r="H55" s="4">
        <f>H54+B54/1000</f>
        <v>22.445866884773586</v>
      </c>
      <c r="I55" s="4">
        <f>I54+C54/1000</f>
        <v>13.593454719151513</v>
      </c>
      <c r="J55" s="4">
        <f>J54+D54/1000</f>
        <v>3.1955072896387451</v>
      </c>
      <c r="Q55" t="s">
        <v>203</v>
      </c>
      <c r="R55" t="s">
        <v>201</v>
      </c>
      <c r="S55">
        <f t="shared" ref="S55:AC55" si="31">INDEX($AD$4:$AF$7, MATCH(S11,$AD$4:$AD$7,0), 2)</f>
        <v>1100</v>
      </c>
      <c r="T55">
        <f t="shared" si="31"/>
        <v>1100</v>
      </c>
      <c r="U55">
        <f t="shared" si="31"/>
        <v>990</v>
      </c>
      <c r="V55">
        <f t="shared" si="31"/>
        <v>880</v>
      </c>
      <c r="W55">
        <f t="shared" si="31"/>
        <v>770</v>
      </c>
      <c r="X55">
        <f t="shared" si="31"/>
        <v>1100</v>
      </c>
      <c r="Y55">
        <f t="shared" si="31"/>
        <v>1100</v>
      </c>
      <c r="Z55">
        <f t="shared" si="31"/>
        <v>1100</v>
      </c>
      <c r="AA55">
        <f t="shared" si="31"/>
        <v>770</v>
      </c>
      <c r="AB55">
        <f t="shared" si="31"/>
        <v>1100</v>
      </c>
      <c r="AC55">
        <f t="shared" si="31"/>
        <v>1100</v>
      </c>
    </row>
    <row r="56" spans="1:29">
      <c r="A56" t="s">
        <v>191</v>
      </c>
      <c r="B56" s="12">
        <f>(D51-B51)*1000/(B53-D53)/8760</f>
        <v>7.3543045371836632E-2</v>
      </c>
      <c r="Q56" t="s">
        <v>204</v>
      </c>
      <c r="R56" t="s">
        <v>201</v>
      </c>
      <c r="S56">
        <f t="shared" ref="S56:AC56" si="32">INDEX($AD$4:$AF$7, MATCH(S11,$AD$4:$AD$7,0), 3)</f>
        <v>15</v>
      </c>
      <c r="T56">
        <f t="shared" si="32"/>
        <v>15</v>
      </c>
      <c r="U56">
        <f t="shared" si="32"/>
        <v>15</v>
      </c>
      <c r="V56">
        <f t="shared" si="32"/>
        <v>15</v>
      </c>
      <c r="W56">
        <f t="shared" si="32"/>
        <v>15</v>
      </c>
      <c r="X56">
        <f t="shared" si="32"/>
        <v>15</v>
      </c>
      <c r="Y56">
        <f t="shared" si="32"/>
        <v>15</v>
      </c>
      <c r="Z56">
        <f t="shared" si="32"/>
        <v>15</v>
      </c>
      <c r="AA56">
        <f t="shared" si="32"/>
        <v>15</v>
      </c>
      <c r="AB56">
        <f t="shared" si="32"/>
        <v>15</v>
      </c>
      <c r="AC56">
        <f t="shared" si="32"/>
        <v>15</v>
      </c>
    </row>
    <row r="57" spans="1:29">
      <c r="B57" s="12"/>
      <c r="Q57" t="s">
        <v>203</v>
      </c>
      <c r="R57" t="s">
        <v>202</v>
      </c>
      <c r="S57">
        <f t="shared" ref="S57:AC57" si="33">INDEX($AG$4:$AI$7, MATCH(S12,$AG$4:$AG$7,0), 2)</f>
        <v>800</v>
      </c>
      <c r="T57">
        <f t="shared" si="33"/>
        <v>800</v>
      </c>
      <c r="U57">
        <f t="shared" si="33"/>
        <v>800</v>
      </c>
      <c r="V57">
        <f t="shared" si="33"/>
        <v>800</v>
      </c>
      <c r="W57">
        <f t="shared" si="33"/>
        <v>800</v>
      </c>
      <c r="X57">
        <f t="shared" si="33"/>
        <v>720</v>
      </c>
      <c r="Y57">
        <f t="shared" si="33"/>
        <v>640</v>
      </c>
      <c r="Z57">
        <f t="shared" si="33"/>
        <v>560</v>
      </c>
      <c r="AA57">
        <f t="shared" si="33"/>
        <v>560</v>
      </c>
      <c r="AB57">
        <f t="shared" si="33"/>
        <v>800</v>
      </c>
      <c r="AC57">
        <f t="shared" si="33"/>
        <v>800</v>
      </c>
    </row>
    <row r="58" spans="1:29">
      <c r="B58" s="12"/>
      <c r="Q58" t="s">
        <v>204</v>
      </c>
      <c r="R58" t="s">
        <v>202</v>
      </c>
      <c r="S58">
        <f t="shared" ref="S58:AC58" si="34">INDEX($AG$4:$AI$7, MATCH(S12,$AG$4:$AG$7,0), 3)</f>
        <v>10</v>
      </c>
      <c r="T58">
        <f t="shared" si="34"/>
        <v>10</v>
      </c>
      <c r="U58">
        <f t="shared" si="34"/>
        <v>10</v>
      </c>
      <c r="V58">
        <f t="shared" si="34"/>
        <v>10</v>
      </c>
      <c r="W58">
        <f t="shared" si="34"/>
        <v>10</v>
      </c>
      <c r="X58">
        <f t="shared" si="34"/>
        <v>10</v>
      </c>
      <c r="Y58">
        <f t="shared" si="34"/>
        <v>10</v>
      </c>
      <c r="Z58">
        <f t="shared" si="34"/>
        <v>10</v>
      </c>
      <c r="AA58">
        <f t="shared" si="34"/>
        <v>10</v>
      </c>
      <c r="AB58">
        <f t="shared" si="34"/>
        <v>10</v>
      </c>
      <c r="AC58">
        <f t="shared" si="34"/>
        <v>10</v>
      </c>
    </row>
    <row r="59" spans="1:29">
      <c r="A59" s="7" t="s">
        <v>149</v>
      </c>
      <c r="Q59" t="s">
        <v>203</v>
      </c>
      <c r="R59" t="s">
        <v>225</v>
      </c>
      <c r="S59">
        <f t="shared" ref="S59:AC59" si="35">INDEX($AJ$4:$AL$7, MATCH(S13,$AJ$4:$AJ$7,0), 2)</f>
        <v>2800</v>
      </c>
      <c r="T59">
        <f t="shared" si="35"/>
        <v>2800</v>
      </c>
      <c r="U59">
        <f t="shared" si="35"/>
        <v>2800</v>
      </c>
      <c r="V59">
        <f t="shared" si="35"/>
        <v>2800</v>
      </c>
      <c r="W59">
        <f t="shared" si="35"/>
        <v>2800</v>
      </c>
      <c r="X59">
        <f t="shared" si="35"/>
        <v>2800</v>
      </c>
      <c r="Y59">
        <f t="shared" si="35"/>
        <v>2800</v>
      </c>
      <c r="Z59">
        <f t="shared" si="35"/>
        <v>2800</v>
      </c>
      <c r="AA59">
        <f t="shared" si="35"/>
        <v>2800</v>
      </c>
      <c r="AB59">
        <f t="shared" si="35"/>
        <v>2100</v>
      </c>
      <c r="AC59">
        <f t="shared" si="35"/>
        <v>1400</v>
      </c>
    </row>
    <row r="60" spans="1:29">
      <c r="A60" t="s">
        <v>147</v>
      </c>
      <c r="Q60" t="s">
        <v>204</v>
      </c>
      <c r="R60" t="s">
        <v>225</v>
      </c>
      <c r="S60">
        <f t="shared" ref="S60:AC60" si="36">INDEX($AJ$4:$AL$7, MATCH(S13,$AJ$4:$AJ$7,0), 3)</f>
        <v>24</v>
      </c>
      <c r="T60">
        <f t="shared" si="36"/>
        <v>24</v>
      </c>
      <c r="U60">
        <f t="shared" si="36"/>
        <v>24</v>
      </c>
      <c r="V60">
        <f t="shared" si="36"/>
        <v>24</v>
      </c>
      <c r="W60">
        <f t="shared" si="36"/>
        <v>24</v>
      </c>
      <c r="X60">
        <f t="shared" si="36"/>
        <v>24</v>
      </c>
      <c r="Y60">
        <f t="shared" si="36"/>
        <v>24</v>
      </c>
      <c r="Z60">
        <f t="shared" si="36"/>
        <v>24</v>
      </c>
      <c r="AA60">
        <f t="shared" si="36"/>
        <v>24</v>
      </c>
      <c r="AB60">
        <f t="shared" si="36"/>
        <v>18</v>
      </c>
      <c r="AC60">
        <f t="shared" si="36"/>
        <v>12</v>
      </c>
    </row>
    <row r="61" spans="1:29">
      <c r="A61">
        <v>0</v>
      </c>
      <c r="B61" s="4">
        <f>B51</f>
        <v>65.002501490990369</v>
      </c>
      <c r="C61" s="4">
        <f>C51</f>
        <v>77.517144561131843</v>
      </c>
      <c r="D61" s="4">
        <f>D51</f>
        <v>125.88777825200532</v>
      </c>
    </row>
    <row r="62" spans="1:29">
      <c r="A62">
        <v>8760</v>
      </c>
      <c r="B62" s="5">
        <f>B61+B53*$A$62/1000</f>
        <v>1177.2962457334145</v>
      </c>
      <c r="C62" s="5">
        <f>C61+C53*$A$62/1000</f>
        <v>821.56369225343963</v>
      </c>
      <c r="D62" s="5">
        <f>D61+D53*$A$62/1000</f>
        <v>410.29526277841552</v>
      </c>
    </row>
    <row r="63" spans="1:29">
      <c r="A63" t="s">
        <v>148</v>
      </c>
      <c r="B63" s="5">
        <f>B55*$A$62</f>
        <v>297.7029406373756</v>
      </c>
      <c r="C63" s="5">
        <f>C55*$A$62</f>
        <v>921.86845089603685</v>
      </c>
      <c r="D63" s="5">
        <f>D55*$A$62</f>
        <v>0</v>
      </c>
    </row>
    <row r="66" spans="1:3">
      <c r="A66" s="7" t="s">
        <v>431</v>
      </c>
    </row>
    <row r="67" spans="1:3">
      <c r="B67" t="s">
        <v>159</v>
      </c>
      <c r="C67" t="s">
        <v>160</v>
      </c>
    </row>
    <row r="68" spans="1:3">
      <c r="A68" t="s">
        <v>432</v>
      </c>
      <c r="B68">
        <v>1100</v>
      </c>
      <c r="C68">
        <v>800</v>
      </c>
    </row>
    <row r="69" spans="1:3">
      <c r="A69" t="s">
        <v>433</v>
      </c>
      <c r="B69">
        <v>15</v>
      </c>
      <c r="C69">
        <v>10</v>
      </c>
    </row>
    <row r="70" spans="1:3">
      <c r="A70" t="s">
        <v>435</v>
      </c>
      <c r="B70" s="1">
        <v>0.28000000000000003</v>
      </c>
      <c r="C70" s="1">
        <v>0.2</v>
      </c>
    </row>
    <row r="71" spans="1:3">
      <c r="A71" t="s">
        <v>153</v>
      </c>
      <c r="B71" s="4">
        <f>(B68*B50+B69)/(8.76*B70)</f>
        <v>44.598650090807311</v>
      </c>
      <c r="C71" s="4">
        <f>(C68*C50+C69)/(8.76*C70)</f>
        <v>44.890647132724027</v>
      </c>
    </row>
    <row r="72" spans="1:3">
      <c r="A72" t="s">
        <v>155</v>
      </c>
      <c r="B72" s="4">
        <f>B71*65/1000</f>
        <v>2.8989122559024754</v>
      </c>
      <c r="C72" s="4">
        <f>C71*65/1000</f>
        <v>2.917892063627062</v>
      </c>
    </row>
    <row r="73" spans="1:3">
      <c r="A73" t="s">
        <v>434</v>
      </c>
      <c r="B73">
        <v>2.4300000000000002</v>
      </c>
      <c r="C73">
        <v>2.64</v>
      </c>
    </row>
  </sheetData>
  <pageMargins left="0.7" right="0.7" top="0.75" bottom="0.75" header="0.3" footer="0.3"/>
  <pageSetup orientation="portrait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2" sqref="B2"/>
    </sheetView>
  </sheetViews>
  <sheetFormatPr baseColWidth="10" defaultColWidth="8.83203125" defaultRowHeight="14" x14ac:dyDescent="0"/>
  <cols>
    <col min="1" max="1" width="11.83203125" bestFit="1" customWidth="1"/>
  </cols>
  <sheetData>
    <row r="1" spans="1:6">
      <c r="A1" t="str">
        <f>'Screening curves'!Q34</f>
        <v>parameter</v>
      </c>
      <c r="B1" t="str">
        <f>'Screening curves'!S9</f>
        <v>coallc</v>
      </c>
      <c r="C1" t="str">
        <f>'Screening curves'!T9</f>
        <v>coalhc</v>
      </c>
      <c r="D1" t="str">
        <f>'Screening curves'!W9</f>
        <v>coallcW30lc</v>
      </c>
      <c r="E1" t="str">
        <f>'Screening curves'!Z9</f>
        <v>coallcS30lc</v>
      </c>
      <c r="F1" t="str">
        <f>'Screening curves'!AA9</f>
        <v>coallcW30lcS30lc</v>
      </c>
    </row>
    <row r="2" spans="1:6">
      <c r="A2" t="str">
        <f>'Screening curves'!R34</f>
        <v>gas_ct</v>
      </c>
      <c r="B2" s="2">
        <f>'Screening curves'!S34</f>
        <v>3.3984353954038309E-2</v>
      </c>
      <c r="C2" s="2">
        <f>'Screening curves'!T34</f>
        <v>3.3984353954038309E-2</v>
      </c>
      <c r="D2" s="2">
        <f>'Screening curves'!W34</f>
        <v>3.3984353954038309E-2</v>
      </c>
      <c r="E2" s="2">
        <f>'Screening curves'!Z34</f>
        <v>3.3984353954038309E-2</v>
      </c>
      <c r="F2" s="2">
        <f>'Screening curves'!AA34</f>
        <v>3.3984353954038309E-2</v>
      </c>
    </row>
    <row r="3" spans="1:6">
      <c r="A3" t="str">
        <f>'Screening curves'!R35</f>
        <v>gas_ccgt</v>
      </c>
      <c r="B3" s="2">
        <f>'Screening curves'!S35</f>
        <v>0.10523612453151106</v>
      </c>
      <c r="C3" s="2">
        <f>'Screening curves'!T35</f>
        <v>0.18251009215426989</v>
      </c>
      <c r="D3" s="2">
        <f>'Screening curves'!W35</f>
        <v>0.10523612453151106</v>
      </c>
      <c r="E3" s="2">
        <f>'Screening curves'!Z35</f>
        <v>0.10523612453151106</v>
      </c>
      <c r="F3" s="2">
        <f>'Screening curves'!AA35</f>
        <v>0.10523612453151106</v>
      </c>
    </row>
    <row r="4" spans="1:6">
      <c r="A4" t="str">
        <f>'Screening curves'!R36</f>
        <v>coal</v>
      </c>
      <c r="B4">
        <f>'Screening curves'!S36</f>
        <v>1</v>
      </c>
      <c r="C4">
        <f>'Screening curves'!T36</f>
        <v>1</v>
      </c>
      <c r="D4">
        <f>'Screening curves'!W36</f>
        <v>1</v>
      </c>
      <c r="E4">
        <f>'Screening curves'!Z36</f>
        <v>1</v>
      </c>
      <c r="F4">
        <f>'Screening curves'!AA36</f>
        <v>1</v>
      </c>
    </row>
    <row r="5" spans="1:6">
      <c r="A5" t="str">
        <f>'Screening curves'!R18</f>
        <v>gas_price</v>
      </c>
      <c r="B5">
        <f>'Screening curves'!S18</f>
        <v>10</v>
      </c>
      <c r="C5" s="5">
        <f>'Screening curves'!T18</f>
        <v>10</v>
      </c>
      <c r="D5">
        <f>'Screening curves'!W18</f>
        <v>10</v>
      </c>
      <c r="E5" s="5">
        <f>'Screening curves'!Z18</f>
        <v>10</v>
      </c>
      <c r="F5">
        <f>'Screening curves'!AA18</f>
        <v>10</v>
      </c>
    </row>
    <row r="6" spans="1:6">
      <c r="A6" t="str">
        <f>'Screening curves'!R17</f>
        <v>cap_cost_ct</v>
      </c>
      <c r="B6" s="5">
        <f>'Screening curves'!S17</f>
        <v>678.26769230769241</v>
      </c>
      <c r="C6" s="5">
        <f>'Screening curves'!T17</f>
        <v>678.26769230769241</v>
      </c>
      <c r="D6" s="5">
        <f>'Screening curves'!W17</f>
        <v>678.26769230769241</v>
      </c>
      <c r="E6" s="5">
        <f>'Screening curves'!Z17</f>
        <v>678.26769230769241</v>
      </c>
      <c r="F6" s="5">
        <f>'Screening curves'!AA17</f>
        <v>678.26769230769241</v>
      </c>
    </row>
    <row r="7" spans="1:6">
      <c r="A7" t="str">
        <f>'Screening curves'!R23</f>
        <v>cap_cost_ccgt</v>
      </c>
      <c r="B7" s="5">
        <f>'Screening curves'!S23</f>
        <v>775.16307692307703</v>
      </c>
      <c r="C7" s="5">
        <f>'Screening curves'!T23</f>
        <v>775.16307692307703</v>
      </c>
      <c r="D7" s="5">
        <f>'Screening curves'!W23</f>
        <v>775.16307692307703</v>
      </c>
      <c r="E7" s="5">
        <f>'Screening curves'!Z23</f>
        <v>775.16307692307703</v>
      </c>
      <c r="F7" s="5">
        <f>'Screening curves'!AA23</f>
        <v>775.16307692307703</v>
      </c>
    </row>
    <row r="8" spans="1:6">
      <c r="A8" t="str">
        <f>'Screening curves'!R28</f>
        <v>cap_cost_coal</v>
      </c>
      <c r="B8" s="5">
        <f>'Screening curves'!S28</f>
        <v>976.42784318082204</v>
      </c>
      <c r="C8" s="5">
        <f>'Screening curves'!T28</f>
        <v>1140</v>
      </c>
      <c r="D8" s="5">
        <f>'Screening curves'!W28</f>
        <v>976.42784318082204</v>
      </c>
      <c r="E8" s="5">
        <f>'Screening curves'!Z28</f>
        <v>976.42784318082204</v>
      </c>
      <c r="F8" s="5">
        <f>'Screening curves'!AA28</f>
        <v>976.42784318082204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baseColWidth="10" defaultColWidth="8.83203125" defaultRowHeight="14" x14ac:dyDescent="0"/>
  <cols>
    <col min="2" max="2" width="10.83203125" bestFit="1" customWidth="1"/>
    <col min="4" max="4" width="12" bestFit="1" customWidth="1"/>
  </cols>
  <sheetData>
    <row r="1" spans="1:4">
      <c r="A1" t="str">
        <f>'Screening curves'!Q39</f>
        <v>hour</v>
      </c>
      <c r="B1" t="str">
        <f>'Screening curves'!R39</f>
        <v>technology</v>
      </c>
      <c r="C1" t="str">
        <f>'Screening curves'!S10</f>
        <v>coallc</v>
      </c>
      <c r="D1" t="str">
        <f>'Screening curves'!T10</f>
        <v>coalhc</v>
      </c>
    </row>
    <row r="2" spans="1:4">
      <c r="A2">
        <f>'Screening curves'!Q40</f>
        <v>0</v>
      </c>
      <c r="B2" t="str">
        <f>'Screening curves'!R40</f>
        <v>CT-LNG</v>
      </c>
      <c r="C2" s="5">
        <f>'Screening curves'!S40</f>
        <v>65.002501490990369</v>
      </c>
      <c r="D2" s="5">
        <f>'Screening curves'!T40</f>
        <v>65.002501490990369</v>
      </c>
    </row>
    <row r="3" spans="1:4">
      <c r="A3">
        <f>'Screening curves'!Q41</f>
        <v>8760</v>
      </c>
      <c r="B3" t="str">
        <f>'Screening curves'!R41</f>
        <v>CT-LNG</v>
      </c>
      <c r="C3" s="5">
        <f>'Screening curves'!S41</f>
        <v>1177.2962457334145</v>
      </c>
      <c r="D3" s="5">
        <f>'Screening curves'!T41</f>
        <v>1177.2962457334145</v>
      </c>
    </row>
    <row r="4" spans="1:4">
      <c r="A4">
        <f>'Screening curves'!Q42</f>
        <v>0</v>
      </c>
      <c r="B4" t="str">
        <f>'Screening curves'!R42</f>
        <v>CCGT-LNG</v>
      </c>
      <c r="C4" s="5">
        <f>'Screening curves'!S42</f>
        <v>77.517144561131843</v>
      </c>
      <c r="D4" s="5">
        <f>'Screening curves'!T42</f>
        <v>77.517144561131843</v>
      </c>
    </row>
    <row r="5" spans="1:4">
      <c r="A5">
        <f>'Screening curves'!Q43</f>
        <v>8760</v>
      </c>
      <c r="B5" t="str">
        <f>'Screening curves'!R43</f>
        <v>CCGT-LNG</v>
      </c>
      <c r="C5" s="5">
        <f>'Screening curves'!S43</f>
        <v>821.56369225343963</v>
      </c>
      <c r="D5" s="5">
        <f>'Screening curves'!T43</f>
        <v>821.56369225343963</v>
      </c>
    </row>
    <row r="6" spans="1:4">
      <c r="A6">
        <f>'Screening curves'!Q44</f>
        <v>0</v>
      </c>
      <c r="B6" t="str">
        <f>'Screening curves'!R44</f>
        <v>Coal</v>
      </c>
      <c r="C6" s="5">
        <f>'Screening curves'!S44</f>
        <v>125.88777825200532</v>
      </c>
      <c r="D6" s="5">
        <f>'Screening curves'!T44</f>
        <v>139.92398963155881</v>
      </c>
    </row>
    <row r="7" spans="1:4">
      <c r="A7">
        <f>'Screening curves'!Q45</f>
        <v>8760</v>
      </c>
      <c r="B7" t="str">
        <f>'Screening curves'!R45</f>
        <v>Coal</v>
      </c>
      <c r="C7" s="5">
        <f>'Screening curves'!S45</f>
        <v>410.29526277841552</v>
      </c>
      <c r="D7" s="5">
        <f>'Screening curves'!T45</f>
        <v>542.03413077339212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9.5" bestFit="1" customWidth="1"/>
    <col min="2" max="2" width="10.83203125" bestFit="1" customWidth="1"/>
    <col min="3" max="3" width="10.1640625" customWidth="1"/>
    <col min="5" max="6" width="12" bestFit="1" customWidth="1"/>
    <col min="7" max="7" width="15.83203125" bestFit="1" customWidth="1"/>
    <col min="8" max="10" width="10.5" bestFit="1" customWidth="1"/>
    <col min="11" max="11" width="15.83203125" bestFit="1" customWidth="1"/>
    <col min="12" max="12" width="10.5" bestFit="1" customWidth="1"/>
    <col min="13" max="13" width="13.1640625" customWidth="1"/>
  </cols>
  <sheetData>
    <row r="1" spans="1:13">
      <c r="A1" t="str">
        <f>'Screening curves'!Q48</f>
        <v>cost_type</v>
      </c>
      <c r="B1" t="str">
        <f>'Screening curves'!R48</f>
        <v>technology</v>
      </c>
      <c r="C1" t="str">
        <f>'Screening curves'!S9</f>
        <v>coallc</v>
      </c>
      <c r="D1" t="str">
        <f>'Screening curves'!T9</f>
        <v>coalhc</v>
      </c>
      <c r="E1" t="str">
        <f>'Screening curves'!U9</f>
        <v>coallcW10lc</v>
      </c>
      <c r="F1" t="str">
        <f>'Screening curves'!V9</f>
        <v>coallcW20lc</v>
      </c>
      <c r="G1" t="str">
        <f>'Screening curves'!W9</f>
        <v>coallcW30lc</v>
      </c>
      <c r="H1" t="str">
        <f>'Screening curves'!X9</f>
        <v>coallcS10lc</v>
      </c>
      <c r="I1" t="str">
        <f>'Screening curves'!Y9</f>
        <v>coallcS20lc</v>
      </c>
      <c r="J1" t="str">
        <f>'Screening curves'!Z9</f>
        <v>coallcS30lc</v>
      </c>
      <c r="K1" t="str">
        <f>'Screening curves'!AA9</f>
        <v>coallcW30lcS30lc</v>
      </c>
      <c r="L1" t="str">
        <f>'Screening curves'!AB9</f>
        <v>coallcB25lc</v>
      </c>
      <c r="M1" t="str">
        <f>'Screening curves'!AC9</f>
        <v>coallcB50lc</v>
      </c>
    </row>
    <row r="2" spans="1:13">
      <c r="A2" t="str">
        <f>'Screening curves'!Q49</f>
        <v>capital</v>
      </c>
      <c r="B2" t="str">
        <f>'Screening curves'!R49</f>
        <v>ct</v>
      </c>
      <c r="C2" s="5">
        <f>'Screening curves'!S49</f>
        <v>678.26769230769241</v>
      </c>
      <c r="D2" s="5">
        <f>'Screening curves'!T49</f>
        <v>678.26769230769241</v>
      </c>
      <c r="E2" s="5">
        <f>'Screening curves'!U49</f>
        <v>678.26769230769241</v>
      </c>
      <c r="F2" s="5">
        <f>'Screening curves'!V49</f>
        <v>678.26769230769241</v>
      </c>
      <c r="G2" s="5">
        <f>'Screening curves'!W49</f>
        <v>678.26769230769241</v>
      </c>
      <c r="H2" s="5">
        <f>'Screening curves'!X49</f>
        <v>678.26769230769241</v>
      </c>
      <c r="I2" s="5">
        <f>'Screening curves'!Y49</f>
        <v>678.26769230769241</v>
      </c>
      <c r="J2" s="5">
        <f>'Screening curves'!Z49</f>
        <v>678.26769230769241</v>
      </c>
      <c r="K2" s="5">
        <f>'Screening curves'!AA49</f>
        <v>678.26769230769241</v>
      </c>
      <c r="L2" s="5">
        <f>'Screening curves'!AB49</f>
        <v>678.26769230769241</v>
      </c>
      <c r="M2" s="5">
        <f>'Screening curves'!AC49</f>
        <v>678.26769230769241</v>
      </c>
    </row>
    <row r="3" spans="1:13">
      <c r="A3" t="str">
        <f>'Screening curves'!Q50</f>
        <v>om</v>
      </c>
      <c r="B3" t="str">
        <f>'Screening curves'!R50</f>
        <v>ct</v>
      </c>
      <c r="C3" s="5">
        <f>'Screening curves'!S50</f>
        <v>6.8</v>
      </c>
      <c r="D3" s="5">
        <f>'Screening curves'!T50</f>
        <v>6.8</v>
      </c>
      <c r="E3" s="5">
        <f>'Screening curves'!U50</f>
        <v>6.8</v>
      </c>
      <c r="F3" s="5">
        <f>'Screening curves'!V50</f>
        <v>6.8</v>
      </c>
      <c r="G3" s="5">
        <f>'Screening curves'!W50</f>
        <v>6.8</v>
      </c>
      <c r="H3" s="5">
        <f>'Screening curves'!X50</f>
        <v>6.8</v>
      </c>
      <c r="I3" s="5">
        <f>'Screening curves'!Y50</f>
        <v>6.8</v>
      </c>
      <c r="J3" s="5">
        <f>'Screening curves'!Z50</f>
        <v>6.8</v>
      </c>
      <c r="K3" s="5">
        <f>'Screening curves'!AA50</f>
        <v>6.8</v>
      </c>
      <c r="L3" s="5">
        <f>'Screening curves'!AB50</f>
        <v>6.8</v>
      </c>
      <c r="M3" s="5">
        <f>'Screening curves'!AC50</f>
        <v>6.8</v>
      </c>
    </row>
    <row r="4" spans="1:13">
      <c r="A4" t="str">
        <f>'Screening curves'!Q51</f>
        <v>capital</v>
      </c>
      <c r="B4" t="str">
        <f>'Screening curves'!R51</f>
        <v>ccgt</v>
      </c>
      <c r="C4" s="5">
        <f>'Screening curves'!S51</f>
        <v>775.16307692307703</v>
      </c>
      <c r="D4" s="5">
        <f>'Screening curves'!T51</f>
        <v>775.16307692307703</v>
      </c>
      <c r="E4" s="5">
        <f>'Screening curves'!U51</f>
        <v>775.16307692307703</v>
      </c>
      <c r="F4" s="5">
        <f>'Screening curves'!V51</f>
        <v>775.16307692307703</v>
      </c>
      <c r="G4" s="5">
        <f>'Screening curves'!W51</f>
        <v>775.16307692307703</v>
      </c>
      <c r="H4" s="5">
        <f>'Screening curves'!X51</f>
        <v>775.16307692307703</v>
      </c>
      <c r="I4" s="5">
        <f>'Screening curves'!Y51</f>
        <v>775.16307692307703</v>
      </c>
      <c r="J4" s="5">
        <f>'Screening curves'!Z51</f>
        <v>775.16307692307703</v>
      </c>
      <c r="K4" s="5">
        <f>'Screening curves'!AA51</f>
        <v>775.16307692307703</v>
      </c>
      <c r="L4" s="5">
        <f>'Screening curves'!AB51</f>
        <v>775.16307692307703</v>
      </c>
      <c r="M4" s="5">
        <f>'Screening curves'!AC51</f>
        <v>775.16307692307703</v>
      </c>
    </row>
    <row r="5" spans="1:13">
      <c r="A5" t="str">
        <f>'Screening curves'!Q52</f>
        <v>om</v>
      </c>
      <c r="B5" t="str">
        <f>'Screening curves'!R52</f>
        <v>ccgt</v>
      </c>
      <c r="C5" s="5">
        <f>'Screening curves'!S52</f>
        <v>11</v>
      </c>
      <c r="D5" s="5">
        <f>'Screening curves'!T52</f>
        <v>11</v>
      </c>
      <c r="E5" s="5">
        <f>'Screening curves'!U52</f>
        <v>11</v>
      </c>
      <c r="F5" s="5">
        <f>'Screening curves'!V52</f>
        <v>11</v>
      </c>
      <c r="G5" s="5">
        <f>'Screening curves'!W52</f>
        <v>11</v>
      </c>
      <c r="H5" s="5">
        <f>'Screening curves'!X52</f>
        <v>11</v>
      </c>
      <c r="I5" s="5">
        <f>'Screening curves'!Y52</f>
        <v>11</v>
      </c>
      <c r="J5" s="5">
        <f>'Screening curves'!Z52</f>
        <v>11</v>
      </c>
      <c r="K5" s="5">
        <f>'Screening curves'!AA52</f>
        <v>11</v>
      </c>
      <c r="L5" s="5">
        <f>'Screening curves'!AB52</f>
        <v>11</v>
      </c>
      <c r="M5" s="5">
        <f>'Screening curves'!AC52</f>
        <v>11</v>
      </c>
    </row>
    <row r="6" spans="1:13">
      <c r="A6" t="str">
        <f>'Screening curves'!Q53</f>
        <v>capital</v>
      </c>
      <c r="B6" t="str">
        <f>'Screening curves'!R53</f>
        <v>coal</v>
      </c>
      <c r="C6" s="5">
        <f>'Screening curves'!S53</f>
        <v>976.42784318082204</v>
      </c>
      <c r="D6" s="5">
        <f>'Screening curves'!T53</f>
        <v>1140</v>
      </c>
      <c r="E6" s="5">
        <f>'Screening curves'!U53</f>
        <v>976.42784318082204</v>
      </c>
      <c r="F6" s="5">
        <f>'Screening curves'!V53</f>
        <v>976.42784318082204</v>
      </c>
      <c r="G6" s="5">
        <f>'Screening curves'!W53</f>
        <v>976.42784318082204</v>
      </c>
      <c r="H6" s="5">
        <f>'Screening curves'!X53</f>
        <v>976.42784318082204</v>
      </c>
      <c r="I6" s="5">
        <f>'Screening curves'!Y53</f>
        <v>976.42784318082204</v>
      </c>
      <c r="J6" s="5">
        <f>'Screening curves'!Z53</f>
        <v>976.42784318082204</v>
      </c>
      <c r="K6" s="5">
        <f>'Screening curves'!AA53</f>
        <v>976.42784318082204</v>
      </c>
      <c r="L6" s="5">
        <f>'Screening curves'!AB53</f>
        <v>976.42784318082204</v>
      </c>
      <c r="M6" s="5">
        <f>'Screening curves'!AC53</f>
        <v>976.42784318082204</v>
      </c>
    </row>
    <row r="7" spans="1:13">
      <c r="A7" t="str">
        <f>'Screening curves'!Q54</f>
        <v>om</v>
      </c>
      <c r="B7" t="str">
        <f>'Screening curves'!R54</f>
        <v>coal</v>
      </c>
      <c r="C7" s="5">
        <f>'Screening curves'!S54</f>
        <v>42.1</v>
      </c>
      <c r="D7" s="5">
        <f>'Screening curves'!T54</f>
        <v>42.1</v>
      </c>
      <c r="E7" s="5">
        <f>'Screening curves'!U54</f>
        <v>42.1</v>
      </c>
      <c r="F7" s="5">
        <f>'Screening curves'!V54</f>
        <v>42.1</v>
      </c>
      <c r="G7" s="5">
        <f>'Screening curves'!W54</f>
        <v>42.1</v>
      </c>
      <c r="H7" s="5">
        <f>'Screening curves'!X54</f>
        <v>42.1</v>
      </c>
      <c r="I7" s="5">
        <f>'Screening curves'!Y54</f>
        <v>42.1</v>
      </c>
      <c r="J7" s="5">
        <f>'Screening curves'!Z54</f>
        <v>42.1</v>
      </c>
      <c r="K7" s="5">
        <f>'Screening curves'!AA54</f>
        <v>42.1</v>
      </c>
      <c r="L7" s="5">
        <f>'Screening curves'!AB54</f>
        <v>42.1</v>
      </c>
      <c r="M7" s="5">
        <f>'Screening curves'!AC54</f>
        <v>42.1</v>
      </c>
    </row>
    <row r="8" spans="1:13">
      <c r="A8" t="str">
        <f>'Screening curves'!Q55</f>
        <v>capital</v>
      </c>
      <c r="B8" t="str">
        <f>'Screening curves'!R55</f>
        <v>wind</v>
      </c>
      <c r="C8" s="5">
        <f>'Screening curves'!S55</f>
        <v>1100</v>
      </c>
      <c r="D8" s="5">
        <f>'Screening curves'!T55</f>
        <v>1100</v>
      </c>
      <c r="E8" s="5">
        <f>'Screening curves'!U55</f>
        <v>990</v>
      </c>
      <c r="F8" s="5">
        <f>'Screening curves'!V55</f>
        <v>880</v>
      </c>
      <c r="G8" s="5">
        <f>'Screening curves'!W55</f>
        <v>770</v>
      </c>
      <c r="H8" s="5">
        <f>'Screening curves'!X55</f>
        <v>1100</v>
      </c>
      <c r="I8" s="5">
        <f>'Screening curves'!Y55</f>
        <v>1100</v>
      </c>
      <c r="J8" s="5">
        <f>'Screening curves'!Z55</f>
        <v>1100</v>
      </c>
      <c r="K8" s="5">
        <f>'Screening curves'!AA55</f>
        <v>770</v>
      </c>
      <c r="L8" s="5">
        <f>'Screening curves'!AB55</f>
        <v>1100</v>
      </c>
      <c r="M8" s="5">
        <f>'Screening curves'!AC55</f>
        <v>1100</v>
      </c>
    </row>
    <row r="9" spans="1:13">
      <c r="A9" t="str">
        <f>'Screening curves'!Q56</f>
        <v>om</v>
      </c>
      <c r="B9" t="str">
        <f>'Screening curves'!R56</f>
        <v>wind</v>
      </c>
      <c r="C9" s="5">
        <f>'Screening curves'!S56</f>
        <v>15</v>
      </c>
      <c r="D9" s="5">
        <f>'Screening curves'!T56</f>
        <v>15</v>
      </c>
      <c r="E9" s="5">
        <f>'Screening curves'!U56</f>
        <v>15</v>
      </c>
      <c r="F9" s="5">
        <f>'Screening curves'!V56</f>
        <v>15</v>
      </c>
      <c r="G9" s="5">
        <f>'Screening curves'!W56</f>
        <v>15</v>
      </c>
      <c r="H9" s="5">
        <f>'Screening curves'!X56</f>
        <v>15</v>
      </c>
      <c r="I9" s="5">
        <f>'Screening curves'!Y56</f>
        <v>15</v>
      </c>
      <c r="J9" s="5">
        <f>'Screening curves'!Z56</f>
        <v>15</v>
      </c>
      <c r="K9" s="5">
        <f>'Screening curves'!AA56</f>
        <v>15</v>
      </c>
      <c r="L9" s="5">
        <f>'Screening curves'!AB56</f>
        <v>15</v>
      </c>
      <c r="M9" s="5">
        <f>'Screening curves'!AC56</f>
        <v>15</v>
      </c>
    </row>
    <row r="10" spans="1:13">
      <c r="A10" t="str">
        <f>'Screening curves'!Q57</f>
        <v>capital</v>
      </c>
      <c r="B10" t="str">
        <f>'Screening curves'!R57</f>
        <v>solarPV</v>
      </c>
      <c r="C10" s="5">
        <f>'Screening curves'!S57</f>
        <v>800</v>
      </c>
      <c r="D10" s="5">
        <f>'Screening curves'!T57</f>
        <v>800</v>
      </c>
      <c r="E10" s="5">
        <f>'Screening curves'!U57</f>
        <v>800</v>
      </c>
      <c r="F10" s="5">
        <f>'Screening curves'!V57</f>
        <v>800</v>
      </c>
      <c r="G10" s="5">
        <f>'Screening curves'!W57</f>
        <v>800</v>
      </c>
      <c r="H10" s="5">
        <f>'Screening curves'!X57</f>
        <v>720</v>
      </c>
      <c r="I10" s="5">
        <f>'Screening curves'!Y57</f>
        <v>640</v>
      </c>
      <c r="J10" s="5">
        <f>'Screening curves'!Z57</f>
        <v>560</v>
      </c>
      <c r="K10" s="5">
        <f>'Screening curves'!AA57</f>
        <v>560</v>
      </c>
      <c r="L10" s="5">
        <f>'Screening curves'!AB57</f>
        <v>800</v>
      </c>
      <c r="M10" s="5">
        <f>'Screening curves'!AC57</f>
        <v>800</v>
      </c>
    </row>
    <row r="11" spans="1:13">
      <c r="A11" t="str">
        <f>'Screening curves'!Q58</f>
        <v>om</v>
      </c>
      <c r="B11" t="str">
        <f>'Screening curves'!R58</f>
        <v>solarPV</v>
      </c>
      <c r="C11" s="5">
        <f>'Screening curves'!S58</f>
        <v>10</v>
      </c>
      <c r="D11" s="5">
        <f>'Screening curves'!T58</f>
        <v>10</v>
      </c>
      <c r="E11" s="5">
        <f>'Screening curves'!U58</f>
        <v>10</v>
      </c>
      <c r="F11" s="5">
        <f>'Screening curves'!V58</f>
        <v>10</v>
      </c>
      <c r="G11" s="5">
        <f>'Screening curves'!W58</f>
        <v>10</v>
      </c>
      <c r="H11" s="5">
        <f>'Screening curves'!X58</f>
        <v>10</v>
      </c>
      <c r="I11" s="5">
        <f>'Screening curves'!Y58</f>
        <v>10</v>
      </c>
      <c r="J11" s="5">
        <f>'Screening curves'!Z58</f>
        <v>10</v>
      </c>
      <c r="K11" s="5">
        <f>'Screening curves'!AA58</f>
        <v>10</v>
      </c>
      <c r="L11" s="5">
        <f>'Screening curves'!AB58</f>
        <v>10</v>
      </c>
      <c r="M11" s="5">
        <f>'Screening curves'!AC58</f>
        <v>10</v>
      </c>
    </row>
    <row r="12" spans="1:13">
      <c r="A12" t="str">
        <f>'Screening curves'!Q59</f>
        <v>capital</v>
      </c>
      <c r="B12" t="str">
        <f>'Screening curves'!R59</f>
        <v>battery</v>
      </c>
      <c r="C12" s="5">
        <f>'Screening curves'!S59</f>
        <v>2800</v>
      </c>
      <c r="D12" s="5">
        <f>'Screening curves'!T59</f>
        <v>2800</v>
      </c>
      <c r="E12" s="5">
        <f>'Screening curves'!U59</f>
        <v>2800</v>
      </c>
      <c r="F12" s="5">
        <f>'Screening curves'!V59</f>
        <v>2800</v>
      </c>
      <c r="G12" s="5">
        <f>'Screening curves'!W59</f>
        <v>2800</v>
      </c>
      <c r="H12" s="5">
        <f>'Screening curves'!X59</f>
        <v>2800</v>
      </c>
      <c r="I12" s="5">
        <f>'Screening curves'!Y59</f>
        <v>2800</v>
      </c>
      <c r="J12" s="5">
        <f>'Screening curves'!Z59</f>
        <v>2800</v>
      </c>
      <c r="K12" s="5">
        <f>'Screening curves'!AA59</f>
        <v>2800</v>
      </c>
      <c r="L12" s="5">
        <f>'Screening curves'!AB59</f>
        <v>2100</v>
      </c>
      <c r="M12" s="5">
        <f>'Screening curves'!AC59</f>
        <v>1400</v>
      </c>
    </row>
    <row r="13" spans="1:13">
      <c r="A13" t="str">
        <f>'Screening curves'!Q60</f>
        <v>om</v>
      </c>
      <c r="B13" t="str">
        <f>'Screening curves'!R60</f>
        <v>battery</v>
      </c>
      <c r="C13" s="5">
        <f>'Screening curves'!S60</f>
        <v>24</v>
      </c>
      <c r="D13" s="5">
        <f>'Screening curves'!T60</f>
        <v>24</v>
      </c>
      <c r="E13" s="5">
        <f>'Screening curves'!U60</f>
        <v>24</v>
      </c>
      <c r="F13" s="5">
        <f>'Screening curves'!V60</f>
        <v>24</v>
      </c>
      <c r="G13" s="5">
        <f>'Screening curves'!W60</f>
        <v>24</v>
      </c>
      <c r="H13" s="5">
        <f>'Screening curves'!X60</f>
        <v>24</v>
      </c>
      <c r="I13" s="5">
        <f>'Screening curves'!Y60</f>
        <v>24</v>
      </c>
      <c r="J13" s="5">
        <f>'Screening curves'!Z60</f>
        <v>24</v>
      </c>
      <c r="K13" s="5">
        <f>'Screening curves'!AA60</f>
        <v>24</v>
      </c>
      <c r="L13" s="5">
        <f>'Screening curves'!AB60</f>
        <v>18</v>
      </c>
      <c r="M13" s="5">
        <f>'Screening curves'!AC60</f>
        <v>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0"/>
  <sheetViews>
    <sheetView topLeftCell="A14" workbookViewId="0">
      <selection activeCell="B52" sqref="B52"/>
    </sheetView>
  </sheetViews>
  <sheetFormatPr baseColWidth="10" defaultColWidth="8.83203125" defaultRowHeight="14" x14ac:dyDescent="0"/>
  <cols>
    <col min="1" max="1" width="25.5" customWidth="1"/>
  </cols>
  <sheetData>
    <row r="1" spans="1:8">
      <c r="A1" s="7" t="s">
        <v>99</v>
      </c>
    </row>
    <row r="3" spans="1:8">
      <c r="B3" s="7" t="s">
        <v>1</v>
      </c>
      <c r="C3" s="7" t="s">
        <v>2</v>
      </c>
      <c r="D3" s="7" t="s">
        <v>66</v>
      </c>
      <c r="E3" s="7" t="s">
        <v>67</v>
      </c>
      <c r="F3" s="7" t="s">
        <v>80</v>
      </c>
      <c r="G3" s="7" t="s">
        <v>81</v>
      </c>
      <c r="H3" s="7" t="s">
        <v>68</v>
      </c>
    </row>
    <row r="4" spans="1:8">
      <c r="A4" s="7" t="s">
        <v>78</v>
      </c>
    </row>
    <row r="5" spans="1:8">
      <c r="A5" t="s">
        <v>115</v>
      </c>
      <c r="B5">
        <v>678</v>
      </c>
      <c r="C5">
        <v>978</v>
      </c>
      <c r="D5">
        <v>3636</v>
      </c>
      <c r="F5">
        <v>5945</v>
      </c>
      <c r="H5" t="s">
        <v>79</v>
      </c>
    </row>
    <row r="6" spans="1:8">
      <c r="A6" t="s">
        <v>125</v>
      </c>
      <c r="B6" s="5">
        <f>B5*'inflation rate'!$J$31</f>
        <v>686.54279999999994</v>
      </c>
      <c r="C6" s="5">
        <f>C5*'inflation rate'!$J$31</f>
        <v>990.32279999999992</v>
      </c>
      <c r="D6" s="5">
        <f>D5*'inflation rate'!$J$31</f>
        <v>3681.8136</v>
      </c>
      <c r="E6" s="5"/>
      <c r="F6" s="5">
        <f>F5*'inflation rate'!$J$31</f>
        <v>6019.9069999999992</v>
      </c>
      <c r="H6" t="s">
        <v>127</v>
      </c>
    </row>
    <row r="7" spans="1:8">
      <c r="A7" t="s">
        <v>85</v>
      </c>
      <c r="B7">
        <v>651</v>
      </c>
      <c r="C7">
        <v>1230</v>
      </c>
      <c r="D7">
        <v>2890</v>
      </c>
      <c r="F7">
        <v>6100</v>
      </c>
      <c r="G7">
        <v>3500</v>
      </c>
      <c r="H7" t="s">
        <v>89</v>
      </c>
    </row>
    <row r="8" spans="1:8">
      <c r="A8" t="s">
        <v>125</v>
      </c>
      <c r="B8" s="5">
        <f>B7*'inflation rate'!$D$31</f>
        <v>728.33420796953112</v>
      </c>
      <c r="C8" s="5">
        <f>C7*'inflation rate'!$D$31</f>
        <v>1376.1153238133998</v>
      </c>
      <c r="D8" s="5">
        <f>D7*'inflation rate'!$D$31</f>
        <v>3233.3116144883943</v>
      </c>
      <c r="E8" s="5"/>
      <c r="F8" s="5">
        <f>F7*'inflation rate'!$D$31</f>
        <v>6824.6369717575108</v>
      </c>
      <c r="G8" s="5">
        <f>G7*'inflation rate'!$D$31</f>
        <v>3915.7753116641456</v>
      </c>
      <c r="H8" t="s">
        <v>126</v>
      </c>
    </row>
    <row r="9" spans="1:8">
      <c r="A9" t="s">
        <v>97</v>
      </c>
      <c r="B9">
        <v>358.7</v>
      </c>
      <c r="C9">
        <v>358.7</v>
      </c>
      <c r="D9">
        <v>525</v>
      </c>
      <c r="E9">
        <v>475</v>
      </c>
      <c r="H9" t="s">
        <v>100</v>
      </c>
    </row>
    <row r="10" spans="1:8">
      <c r="A10" t="s">
        <v>108</v>
      </c>
      <c r="B10" s="5">
        <f>B9*'inflation rate'!$G$16</f>
        <v>470.36990449757138</v>
      </c>
      <c r="C10" s="5">
        <f>C9*'inflation rate'!$G$16</f>
        <v>470.36990449757138</v>
      </c>
      <c r="D10" s="5">
        <f>D9*'inflation rate'!$G$16</f>
        <v>688.44215182945356</v>
      </c>
      <c r="E10" s="5">
        <f>E9*'inflation rate'!$G$16</f>
        <v>622.87623260760085</v>
      </c>
      <c r="H10" t="s">
        <v>110</v>
      </c>
    </row>
    <row r="11" spans="1:8">
      <c r="A11" t="s">
        <v>111</v>
      </c>
      <c r="B11" s="5">
        <f>'Data and sources'!B10/'Screening curves'!$E$1*100</f>
        <v>723.64600691934061</v>
      </c>
      <c r="C11" s="5">
        <f>'Data and sources'!C10/'Screening curves'!$E$1*100</f>
        <v>723.64600691934061</v>
      </c>
      <c r="D11" s="5">
        <f>'Data and sources'!D10/'Screening curves'!$E$1*100</f>
        <v>1059.1417720453132</v>
      </c>
      <c r="E11" s="5">
        <f>'Data and sources'!E10/'Screening curves'!$E$1*100</f>
        <v>958.27112708861671</v>
      </c>
      <c r="H11" t="s">
        <v>98</v>
      </c>
    </row>
    <row r="12" spans="1:8">
      <c r="A12" t="s">
        <v>102</v>
      </c>
      <c r="B12">
        <v>420</v>
      </c>
      <c r="C12">
        <v>480</v>
      </c>
      <c r="D12">
        <v>537</v>
      </c>
      <c r="E12">
        <v>508</v>
      </c>
      <c r="H12" t="s">
        <v>101</v>
      </c>
    </row>
    <row r="13" spans="1:8">
      <c r="A13" t="s">
        <v>108</v>
      </c>
      <c r="B13" s="5">
        <f>B12*'inflation rate'!$J$16</f>
        <v>440.87400000000002</v>
      </c>
      <c r="C13" s="5">
        <f>C12*'inflation rate'!$J$16</f>
        <v>503.85600000000005</v>
      </c>
      <c r="D13" s="5">
        <f>D12*'inflation rate'!$J$16</f>
        <v>563.68889999999999</v>
      </c>
      <c r="E13" s="5">
        <f>E12*'inflation rate'!$J$16</f>
        <v>533.24760000000003</v>
      </c>
      <c r="H13" t="s">
        <v>113</v>
      </c>
    </row>
    <row r="14" spans="1:8">
      <c r="A14" t="s">
        <v>114</v>
      </c>
      <c r="B14" s="14">
        <f>'Data and sources'!B13/'Screening curves'!$E$1*100</f>
        <v>678.26769230769241</v>
      </c>
      <c r="C14" s="14">
        <f>'Data and sources'!C13/'Screening curves'!$E$1*100</f>
        <v>775.16307692307703</v>
      </c>
      <c r="D14" s="5">
        <f>'Data and sources'!D13/'Screening curves'!$E$1*100</f>
        <v>867.21369230769233</v>
      </c>
      <c r="E14" s="5">
        <f>'Data and sources'!E13/'Screening curves'!$E$1*100</f>
        <v>820.38092307692307</v>
      </c>
      <c r="H14" t="s">
        <v>101</v>
      </c>
    </row>
    <row r="15" spans="1:8">
      <c r="A15" t="s">
        <v>97</v>
      </c>
      <c r="B15" s="5"/>
      <c r="C15" s="5"/>
      <c r="D15" s="5">
        <v>484</v>
      </c>
      <c r="E15" s="5">
        <v>468</v>
      </c>
      <c r="H15" t="s">
        <v>103</v>
      </c>
    </row>
    <row r="16" spans="1:8">
      <c r="A16" t="s">
        <v>108</v>
      </c>
      <c r="B16" s="5"/>
      <c r="C16" s="5"/>
      <c r="D16" s="5">
        <f>D15*'inflation rate'!$G$16</f>
        <v>634.67809806753428</v>
      </c>
      <c r="E16" s="5">
        <f>E15*'inflation rate'!$G$16</f>
        <v>613.69700391654146</v>
      </c>
      <c r="H16" t="s">
        <v>112</v>
      </c>
    </row>
    <row r="17" spans="1:8">
      <c r="A17" t="s">
        <v>114</v>
      </c>
      <c r="B17" s="5"/>
      <c r="C17" s="5"/>
      <c r="D17" s="14">
        <f>'Data and sources'!D16/'Screening curves'!$E$1*100</f>
        <v>976.42784318082204</v>
      </c>
      <c r="E17" s="5">
        <f>'Data and sources'!E16/'Screening curves'!$E$1*100</f>
        <v>944.14923679467915</v>
      </c>
      <c r="H17" t="s">
        <v>112</v>
      </c>
    </row>
    <row r="18" spans="1:8">
      <c r="A18" t="s">
        <v>437</v>
      </c>
      <c r="B18" s="5"/>
      <c r="C18" s="5"/>
      <c r="D18" s="15">
        <v>1077</v>
      </c>
      <c r="E18" s="5"/>
      <c r="H18" t="s">
        <v>436</v>
      </c>
    </row>
    <row r="19" spans="1:8">
      <c r="A19" t="s">
        <v>437</v>
      </c>
      <c r="B19" s="5"/>
      <c r="C19" s="5"/>
      <c r="D19" s="14">
        <f>1077 + 63</f>
        <v>1140</v>
      </c>
      <c r="E19" s="5"/>
      <c r="H19" t="s">
        <v>438</v>
      </c>
    </row>
    <row r="21" spans="1:8">
      <c r="A21" s="7" t="s">
        <v>65</v>
      </c>
    </row>
    <row r="22" spans="1:8">
      <c r="A22" t="s">
        <v>129</v>
      </c>
      <c r="B22">
        <v>3813</v>
      </c>
      <c r="C22">
        <v>1657</v>
      </c>
      <c r="D22">
        <v>1627</v>
      </c>
      <c r="E22">
        <v>1808</v>
      </c>
      <c r="H22" t="s">
        <v>117</v>
      </c>
    </row>
    <row r="23" spans="1:8">
      <c r="A23" t="s">
        <v>116</v>
      </c>
      <c r="B23" s="15">
        <f>B22/'Screening curves'!$E$1</f>
        <v>58.661538461538463</v>
      </c>
      <c r="C23" s="15">
        <f>C22/'Screening curves'!$E$1</f>
        <v>25.492307692307691</v>
      </c>
      <c r="D23" s="15">
        <f>D22/'Screening curves'!$E$1</f>
        <v>25.030769230769231</v>
      </c>
      <c r="E23" s="5">
        <f>E22/'Screening curves'!$E$1</f>
        <v>27.815384615384616</v>
      </c>
      <c r="F23" s="5"/>
      <c r="G23" s="5"/>
      <c r="H23" t="s">
        <v>124</v>
      </c>
    </row>
    <row r="24" spans="1:8">
      <c r="A24" t="s">
        <v>130</v>
      </c>
      <c r="B24" s="15">
        <v>0</v>
      </c>
      <c r="C24" s="15">
        <v>0</v>
      </c>
      <c r="D24" s="15">
        <v>0</v>
      </c>
      <c r="E24" s="5">
        <v>0</v>
      </c>
      <c r="F24" s="5"/>
      <c r="G24" s="5"/>
      <c r="H24" t="s">
        <v>128</v>
      </c>
    </row>
    <row r="25" spans="1:8">
      <c r="A25" t="s">
        <v>131</v>
      </c>
      <c r="B25" s="15">
        <v>0</v>
      </c>
      <c r="C25" s="15">
        <v>0</v>
      </c>
      <c r="D25" s="15">
        <v>0</v>
      </c>
      <c r="E25" s="5">
        <v>0</v>
      </c>
      <c r="F25" s="5"/>
      <c r="G25" s="5"/>
      <c r="H25" t="s">
        <v>128</v>
      </c>
    </row>
    <row r="26" spans="1:8">
      <c r="A26" t="s">
        <v>82</v>
      </c>
      <c r="B26" s="7">
        <v>6.8</v>
      </c>
      <c r="C26" s="7">
        <v>11</v>
      </c>
      <c r="D26" s="7">
        <v>42.1</v>
      </c>
      <c r="F26">
        <v>5945</v>
      </c>
      <c r="H26" t="s">
        <v>91</v>
      </c>
    </row>
    <row r="27" spans="1:8">
      <c r="A27" t="s">
        <v>88</v>
      </c>
      <c r="B27">
        <v>10.7</v>
      </c>
      <c r="C27">
        <v>3.5</v>
      </c>
      <c r="D27">
        <v>4.5999999999999996</v>
      </c>
      <c r="H27" t="s">
        <v>92</v>
      </c>
    </row>
    <row r="28" spans="1:8">
      <c r="A28" t="s">
        <v>118</v>
      </c>
      <c r="B28">
        <v>5.26</v>
      </c>
      <c r="C28">
        <v>6.31</v>
      </c>
      <c r="D28">
        <v>23</v>
      </c>
      <c r="F28">
        <v>127</v>
      </c>
      <c r="G28">
        <v>15</v>
      </c>
      <c r="H28" t="s">
        <v>86</v>
      </c>
    </row>
    <row r="29" spans="1:8">
      <c r="A29" t="s">
        <v>119</v>
      </c>
      <c r="B29">
        <v>29.9</v>
      </c>
      <c r="C29">
        <v>3.67</v>
      </c>
      <c r="D29">
        <v>3.71</v>
      </c>
      <c r="F29">
        <v>0</v>
      </c>
      <c r="G29">
        <v>6</v>
      </c>
      <c r="H29" t="s">
        <v>87</v>
      </c>
    </row>
    <row r="30" spans="1:8">
      <c r="A30" t="s">
        <v>122</v>
      </c>
      <c r="B30" s="3">
        <f>B28*'inflation rate'!$D$31</f>
        <v>5.8848508969581159</v>
      </c>
      <c r="C30" s="3">
        <f>C28*'inflation rate'!$D$31</f>
        <v>7.0595834904573591</v>
      </c>
      <c r="D30" s="3">
        <f>D28*'inflation rate'!$D$31</f>
        <v>25.732237762364385</v>
      </c>
      <c r="E30" s="3"/>
      <c r="F30" s="3">
        <f>F28*'inflation rate'!$D$31</f>
        <v>142.086704166099</v>
      </c>
      <c r="G30" s="3">
        <f>G28*'inflation rate'!$D$31</f>
        <v>16.781894192846337</v>
      </c>
      <c r="H30" t="s">
        <v>86</v>
      </c>
    </row>
    <row r="31" spans="1:8">
      <c r="A31" t="s">
        <v>123</v>
      </c>
      <c r="B31" s="3">
        <f>B29*'inflation rate'!$D$31</f>
        <v>33.451909091073702</v>
      </c>
      <c r="C31" s="3">
        <f>C29*'inflation rate'!$D$31</f>
        <v>4.1059701125164043</v>
      </c>
      <c r="D31" s="3">
        <f>D29*'inflation rate'!$D$31</f>
        <v>4.1507218303639943</v>
      </c>
      <c r="E31" s="3"/>
      <c r="F31" s="3">
        <f>F29*'inflation rate'!$D$31</f>
        <v>0</v>
      </c>
      <c r="G31" s="3">
        <f>G29*'inflation rate'!$D$31</f>
        <v>6.7127576771385353</v>
      </c>
      <c r="H31" t="s">
        <v>87</v>
      </c>
    </row>
    <row r="33" spans="1:8">
      <c r="A33" s="7" t="s">
        <v>70</v>
      </c>
    </row>
    <row r="34" spans="1:8">
      <c r="A34" t="s">
        <v>71</v>
      </c>
      <c r="E34">
        <v>2375</v>
      </c>
      <c r="H34" t="s">
        <v>69</v>
      </c>
    </row>
    <row r="35" spans="1:8">
      <c r="A35" t="s">
        <v>71</v>
      </c>
      <c r="B35">
        <v>3065</v>
      </c>
      <c r="C35">
        <v>2071</v>
      </c>
      <c r="H35" t="s">
        <v>94</v>
      </c>
    </row>
    <row r="36" spans="1:8">
      <c r="A36" t="s">
        <v>71</v>
      </c>
      <c r="B36">
        <v>2900</v>
      </c>
      <c r="C36">
        <v>2000</v>
      </c>
      <c r="D36">
        <v>2250</v>
      </c>
      <c r="E36">
        <v>2365</v>
      </c>
      <c r="H36" t="s">
        <v>93</v>
      </c>
    </row>
    <row r="37" spans="1:8">
      <c r="A37" t="s">
        <v>83</v>
      </c>
      <c r="B37">
        <v>9800</v>
      </c>
      <c r="C37">
        <v>6600</v>
      </c>
      <c r="D37">
        <v>8800</v>
      </c>
      <c r="H37" t="s">
        <v>90</v>
      </c>
    </row>
    <row r="38" spans="1:8">
      <c r="A38" t="s">
        <v>95</v>
      </c>
      <c r="B38" s="5">
        <f>B37/'Screening curves'!$E$4</f>
        <v>2471.2091525517758</v>
      </c>
      <c r="C38" s="5">
        <f>C37/'Screening curves'!$E$4</f>
        <v>1664.283714983849</v>
      </c>
      <c r="D38" s="5">
        <f>D37/'Screening curves'!$E$4</f>
        <v>2219.0449533117985</v>
      </c>
      <c r="E38" s="5"/>
      <c r="H38" t="s">
        <v>90</v>
      </c>
    </row>
    <row r="39" spans="1:8">
      <c r="A39" t="s">
        <v>83</v>
      </c>
      <c r="B39">
        <v>10390</v>
      </c>
      <c r="C39">
        <v>6705</v>
      </c>
      <c r="D39">
        <v>9370</v>
      </c>
      <c r="F39">
        <v>9720</v>
      </c>
      <c r="H39" t="s">
        <v>84</v>
      </c>
    </row>
    <row r="40" spans="1:8">
      <c r="A40" t="s">
        <v>95</v>
      </c>
      <c r="B40" s="5">
        <f>B39/'Screening curves'!$E$4</f>
        <v>2619.9860301033623</v>
      </c>
      <c r="C40" s="5">
        <f>C39/'Screening curves'!$E$4</f>
        <v>1690.7609559040466</v>
      </c>
      <c r="D40" s="5">
        <f>D39/'Screening curves'!$E$4</f>
        <v>2362.7785468785855</v>
      </c>
      <c r="E40" s="5"/>
      <c r="H40" t="s">
        <v>84</v>
      </c>
    </row>
    <row r="42" spans="1:8">
      <c r="A42" s="7" t="s">
        <v>134</v>
      </c>
    </row>
    <row r="45" spans="1:8">
      <c r="A45" s="7" t="s">
        <v>135</v>
      </c>
    </row>
    <row r="46" spans="1:8">
      <c r="A46" t="s">
        <v>136</v>
      </c>
      <c r="B46" s="8">
        <v>6.25E-2</v>
      </c>
      <c r="C46" t="s">
        <v>137</v>
      </c>
    </row>
    <row r="47" spans="1:8">
      <c r="B47" s="8">
        <v>0.108</v>
      </c>
      <c r="C47" t="s">
        <v>138</v>
      </c>
    </row>
    <row r="49" spans="1:4">
      <c r="A49" s="7" t="s">
        <v>140</v>
      </c>
    </row>
    <row r="50" spans="1:4">
      <c r="A50" t="s">
        <v>141</v>
      </c>
      <c r="B50">
        <v>10.7</v>
      </c>
      <c r="C50" t="s">
        <v>143</v>
      </c>
    </row>
    <row r="51" spans="1:4">
      <c r="B51">
        <v>8.5</v>
      </c>
      <c r="C51" t="s">
        <v>144</v>
      </c>
    </row>
    <row r="52" spans="1:4">
      <c r="B52" s="7">
        <v>10</v>
      </c>
      <c r="C52" t="s">
        <v>142</v>
      </c>
    </row>
    <row r="53" spans="1:4">
      <c r="B53">
        <v>5.5</v>
      </c>
      <c r="C53" t="s">
        <v>145</v>
      </c>
    </row>
    <row r="54" spans="1:4">
      <c r="C54" t="s">
        <v>164</v>
      </c>
    </row>
    <row r="56" spans="1:4">
      <c r="A56" s="7" t="s">
        <v>146</v>
      </c>
    </row>
    <row r="59" spans="1:4">
      <c r="A59" s="7" t="s">
        <v>150</v>
      </c>
      <c r="B59" t="s">
        <v>159</v>
      </c>
      <c r="C59" t="s">
        <v>160</v>
      </c>
    </row>
    <row r="60" spans="1:4">
      <c r="A60" t="s">
        <v>151</v>
      </c>
      <c r="B60">
        <f>'Screening curves'!E1</f>
        <v>65</v>
      </c>
      <c r="C60">
        <f>B60</f>
        <v>65</v>
      </c>
    </row>
    <row r="61" spans="1:4">
      <c r="A61" t="s">
        <v>152</v>
      </c>
      <c r="B61" s="17">
        <v>1100</v>
      </c>
      <c r="C61" s="17">
        <v>800</v>
      </c>
      <c r="D61" s="17"/>
    </row>
    <row r="62" spans="1:4">
      <c r="A62" t="s">
        <v>162</v>
      </c>
      <c r="B62" s="17">
        <f>B61*B60</f>
        <v>71500</v>
      </c>
      <c r="C62" s="17">
        <f>C61*C60</f>
        <v>52000</v>
      </c>
      <c r="D62" s="17"/>
    </row>
    <row r="63" spans="1:4" ht="15">
      <c r="A63" t="s">
        <v>17</v>
      </c>
      <c r="B63" s="18">
        <v>7.0000000000000007E-2</v>
      </c>
      <c r="C63" s="18">
        <v>7.0000000000000007E-2</v>
      </c>
      <c r="D63" s="18"/>
    </row>
    <row r="64" spans="1:4" ht="15">
      <c r="A64" t="s">
        <v>156</v>
      </c>
      <c r="B64" s="19">
        <v>25</v>
      </c>
      <c r="C64" s="19">
        <v>25</v>
      </c>
      <c r="D64" s="19"/>
    </row>
    <row r="65" spans="1:4" ht="15">
      <c r="A65" t="s">
        <v>19</v>
      </c>
      <c r="B65" s="9">
        <f>(B63*(1+B63)^B64)/(((1+B63)^B64)-1)</f>
        <v>8.5810517220665614E-2</v>
      </c>
      <c r="C65" s="9">
        <f>(C63*(1+C63)^C64)/(((1+C63)^C64)-1)</f>
        <v>8.5810517220665614E-2</v>
      </c>
      <c r="D65" s="9"/>
    </row>
    <row r="66" spans="1:4" ht="15">
      <c r="A66" t="s">
        <v>157</v>
      </c>
      <c r="B66" s="16">
        <v>15</v>
      </c>
      <c r="C66" s="16">
        <v>10</v>
      </c>
      <c r="D66" s="16"/>
    </row>
    <row r="67" spans="1:4" ht="15">
      <c r="A67" t="s">
        <v>158</v>
      </c>
      <c r="B67" s="16">
        <v>0</v>
      </c>
      <c r="C67" s="16">
        <v>0</v>
      </c>
      <c r="D67" s="16"/>
    </row>
    <row r="68" spans="1:4">
      <c r="A68" t="s">
        <v>154</v>
      </c>
      <c r="B68" s="1">
        <v>0.25</v>
      </c>
      <c r="C68" s="1">
        <v>0.19700000000000001</v>
      </c>
      <c r="D68" s="1" t="s">
        <v>161</v>
      </c>
    </row>
    <row r="69" spans="1:4">
      <c r="A69" t="s">
        <v>153</v>
      </c>
      <c r="B69" s="4">
        <f>((B61*B65+B66)/(8760*B68)+B67)*10^3</f>
        <v>49.950488101704188</v>
      </c>
      <c r="C69" s="4">
        <f>((C61*C65+C66)/(8760*C68)+C67)*10^3</f>
        <v>45.574261048450786</v>
      </c>
      <c r="D69" s="4"/>
    </row>
    <row r="70" spans="1:4">
      <c r="A70" t="s">
        <v>155</v>
      </c>
      <c r="B70" s="4">
        <f>B69*B60/10^3</f>
        <v>3.2467817266107724</v>
      </c>
      <c r="C70" s="4">
        <f>C69*C60/10^3</f>
        <v>2.9623269681493012</v>
      </c>
      <c r="D70" s="4"/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workbookViewId="0">
      <selection activeCell="B14" sqref="B14:B17"/>
    </sheetView>
  </sheetViews>
  <sheetFormatPr baseColWidth="10" defaultColWidth="8.83203125" defaultRowHeight="14" x14ac:dyDescent="0"/>
  <cols>
    <col min="2" max="2" width="15.83203125" customWidth="1"/>
    <col min="3" max="3" width="12.5" customWidth="1"/>
    <col min="4" max="4" width="9" customWidth="1"/>
    <col min="5" max="5" width="8.6640625" customWidth="1"/>
  </cols>
  <sheetData>
    <row r="1" spans="1:12">
      <c r="A1" t="s">
        <v>104</v>
      </c>
    </row>
    <row r="2" spans="1:12">
      <c r="A2" t="s">
        <v>106</v>
      </c>
    </row>
    <row r="3" spans="1:12">
      <c r="A3" t="s">
        <v>105</v>
      </c>
    </row>
    <row r="5" spans="1:12">
      <c r="A5" t="s">
        <v>120</v>
      </c>
    </row>
    <row r="6" spans="1:12">
      <c r="A6" t="s">
        <v>109</v>
      </c>
    </row>
    <row r="7" spans="1:12" ht="30" customHeight="1">
      <c r="B7" s="13" t="s">
        <v>107</v>
      </c>
      <c r="C7">
        <v>2008</v>
      </c>
      <c r="D7">
        <v>2009</v>
      </c>
      <c r="E7">
        <v>2010</v>
      </c>
      <c r="F7">
        <v>2011</v>
      </c>
      <c r="G7">
        <v>2012</v>
      </c>
      <c r="H7">
        <v>2013</v>
      </c>
      <c r="I7">
        <v>2014</v>
      </c>
      <c r="J7">
        <v>2015</v>
      </c>
      <c r="K7">
        <v>2016</v>
      </c>
      <c r="L7">
        <v>2017</v>
      </c>
    </row>
    <row r="8" spans="1:12">
      <c r="A8">
        <v>2008</v>
      </c>
      <c r="B8" s="8">
        <v>8.3199999999999996E-2</v>
      </c>
      <c r="C8">
        <v>1</v>
      </c>
      <c r="D8" s="2"/>
    </row>
    <row r="9" spans="1:12">
      <c r="A9">
        <v>2009</v>
      </c>
      <c r="B9" s="8">
        <v>0.10829999999999999</v>
      </c>
      <c r="C9" s="2">
        <f>C8*(1+$B9)</f>
        <v>1.1083000000000001</v>
      </c>
      <c r="D9">
        <v>1</v>
      </c>
    </row>
    <row r="10" spans="1:12">
      <c r="A10">
        <v>2010</v>
      </c>
      <c r="B10" s="8">
        <v>0.1211</v>
      </c>
      <c r="C10" s="2">
        <f t="shared" ref="C10:C17" si="0">C9*(1+B10)</f>
        <v>1.2425151300000001</v>
      </c>
      <c r="D10" s="2">
        <f>D9*(1+$B10)</f>
        <v>1.1211</v>
      </c>
      <c r="E10">
        <v>1</v>
      </c>
    </row>
    <row r="11" spans="1:12">
      <c r="A11">
        <v>2011</v>
      </c>
      <c r="B11" s="8">
        <v>8.8700000000000001E-2</v>
      </c>
      <c r="C11" s="2">
        <f t="shared" si="0"/>
        <v>1.3527262220310001</v>
      </c>
      <c r="D11" s="2">
        <f t="shared" ref="D11:D17" si="1">D10*(1+$B11)</f>
        <v>1.22054157</v>
      </c>
      <c r="E11" s="2">
        <f>E10*(1+$B11)</f>
        <v>1.0887</v>
      </c>
      <c r="F11">
        <v>1</v>
      </c>
    </row>
    <row r="12" spans="1:12">
      <c r="A12">
        <v>2012</v>
      </c>
      <c r="B12" s="8">
        <v>9.2999999999999999E-2</v>
      </c>
      <c r="C12" s="2">
        <f t="shared" si="0"/>
        <v>1.4785297606798831</v>
      </c>
      <c r="D12" s="2">
        <f t="shared" si="1"/>
        <v>1.3340519360099998</v>
      </c>
      <c r="E12" s="2">
        <f t="shared" ref="E12:E17" si="2">E11*(1+$B12)</f>
        <v>1.1899491</v>
      </c>
      <c r="F12" s="2">
        <f t="shared" ref="F12:F17" si="3">F11*(1+$B12)</f>
        <v>1.093</v>
      </c>
      <c r="G12">
        <v>1</v>
      </c>
    </row>
    <row r="13" spans="1:12">
      <c r="A13">
        <v>2013</v>
      </c>
      <c r="B13" s="8">
        <v>0.10920000000000001</v>
      </c>
      <c r="C13" s="2">
        <f t="shared" si="0"/>
        <v>1.6399852105461263</v>
      </c>
      <c r="D13" s="2">
        <f t="shared" si="1"/>
        <v>1.4797304074222917</v>
      </c>
      <c r="E13" s="2">
        <f t="shared" si="2"/>
        <v>1.3198915417199999</v>
      </c>
      <c r="F13" s="2">
        <f t="shared" si="3"/>
        <v>1.2123556</v>
      </c>
      <c r="G13" s="2">
        <f>G12*(1+$B13)</f>
        <v>1.1092</v>
      </c>
      <c r="H13">
        <v>1</v>
      </c>
    </row>
    <row r="14" spans="1:12">
      <c r="A14">
        <v>2014</v>
      </c>
      <c r="B14" s="8">
        <v>6.3700000000000007E-2</v>
      </c>
      <c r="C14" s="2">
        <f t="shared" si="0"/>
        <v>1.7444522684579147</v>
      </c>
      <c r="D14" s="2">
        <f t="shared" si="1"/>
        <v>1.5739892343750919</v>
      </c>
      <c r="E14" s="2">
        <f t="shared" si="2"/>
        <v>1.403968632927564</v>
      </c>
      <c r="F14" s="2">
        <f t="shared" si="3"/>
        <v>1.2895826517200002</v>
      </c>
      <c r="G14" s="2">
        <f>G13*(1+$B14)</f>
        <v>1.17985604</v>
      </c>
      <c r="H14" s="2">
        <f>H13*(1+$B14)</f>
        <v>1.0637000000000001</v>
      </c>
      <c r="I14">
        <v>1</v>
      </c>
    </row>
    <row r="15" spans="1:12">
      <c r="A15">
        <v>2015</v>
      </c>
      <c r="B15" s="8">
        <v>5.8799999999999998E-2</v>
      </c>
      <c r="C15" s="2">
        <f t="shared" si="0"/>
        <v>1.8470260618432399</v>
      </c>
      <c r="D15" s="2">
        <f t="shared" si="1"/>
        <v>1.6665398013563473</v>
      </c>
      <c r="E15" s="2">
        <f t="shared" si="2"/>
        <v>1.4865219885437047</v>
      </c>
      <c r="F15" s="2">
        <f t="shared" si="3"/>
        <v>1.3654101116411361</v>
      </c>
      <c r="G15" s="2">
        <f>G14*(1+$B15)</f>
        <v>1.249231575152</v>
      </c>
      <c r="H15" s="2">
        <f>H14*(1+$B15)</f>
        <v>1.1262455600000001</v>
      </c>
      <c r="I15" s="2">
        <f>I14*(1+$B15)</f>
        <v>1.0588</v>
      </c>
      <c r="J15">
        <v>1</v>
      </c>
    </row>
    <row r="16" spans="1:12">
      <c r="A16">
        <v>2016</v>
      </c>
      <c r="B16" s="8">
        <v>4.9700000000000001E-2</v>
      </c>
      <c r="C16" s="2">
        <f t="shared" si="0"/>
        <v>1.9388232571168491</v>
      </c>
      <c r="D16" s="2">
        <f t="shared" si="1"/>
        <v>1.7493668294837579</v>
      </c>
      <c r="E16" s="2">
        <f t="shared" si="2"/>
        <v>1.5604021313743268</v>
      </c>
      <c r="F16" s="2">
        <f t="shared" si="3"/>
        <v>1.4332709941897006</v>
      </c>
      <c r="G16" s="2">
        <f>G15*(1+$B16)</f>
        <v>1.3113183844370544</v>
      </c>
      <c r="H16" s="2">
        <f>H15*(1+$B16)</f>
        <v>1.1822199643320002</v>
      </c>
      <c r="I16" s="2">
        <f>I15*(1+$B16)</f>
        <v>1.1114223599999999</v>
      </c>
      <c r="J16" s="2">
        <f>J15*(1+$B16)</f>
        <v>1.0497000000000001</v>
      </c>
      <c r="K16">
        <v>1</v>
      </c>
    </row>
    <row r="17" spans="1:12">
      <c r="A17">
        <v>2017</v>
      </c>
      <c r="B17" s="8">
        <v>2.0799999999999999E-2</v>
      </c>
      <c r="C17" s="2">
        <f t="shared" si="0"/>
        <v>1.9791507808648794</v>
      </c>
      <c r="D17" s="2">
        <f t="shared" si="1"/>
        <v>1.7857536595370198</v>
      </c>
      <c r="E17" s="2">
        <f t="shared" si="2"/>
        <v>1.5928584957069127</v>
      </c>
      <c r="F17" s="2">
        <f t="shared" si="3"/>
        <v>1.4630830308688463</v>
      </c>
      <c r="G17" s="2">
        <f>G16*(1+$B17)</f>
        <v>1.3385938068333449</v>
      </c>
      <c r="H17" s="2">
        <f>H16*(1+$B17)</f>
        <v>1.2068101395901056</v>
      </c>
      <c r="I17" s="2">
        <f>I16*(1+$B17)</f>
        <v>1.1345399450879998</v>
      </c>
      <c r="J17" s="2">
        <f>J16*(1+$B17)</f>
        <v>1.0715337600000001</v>
      </c>
      <c r="K17" s="2">
        <f>K16*(1+$B17)</f>
        <v>1.0207999999999999</v>
      </c>
      <c r="L17">
        <v>1</v>
      </c>
    </row>
    <row r="20" spans="1:12">
      <c r="A20" t="s">
        <v>121</v>
      </c>
    </row>
    <row r="21" spans="1:12">
      <c r="A21" t="s">
        <v>109</v>
      </c>
    </row>
    <row r="22" spans="1:12" ht="28">
      <c r="B22" s="13" t="s">
        <v>107</v>
      </c>
      <c r="C22">
        <v>2008</v>
      </c>
      <c r="D22">
        <v>2009</v>
      </c>
      <c r="E22">
        <v>2010</v>
      </c>
      <c r="F22">
        <v>2011</v>
      </c>
      <c r="G22">
        <v>2012</v>
      </c>
      <c r="H22">
        <v>2013</v>
      </c>
      <c r="I22">
        <v>2014</v>
      </c>
      <c r="J22">
        <v>2015</v>
      </c>
      <c r="K22">
        <v>2016</v>
      </c>
      <c r="L22">
        <v>2017</v>
      </c>
    </row>
    <row r="23" spans="1:12">
      <c r="A23">
        <v>2008</v>
      </c>
      <c r="B23" s="8">
        <v>3.85E-2</v>
      </c>
      <c r="C23">
        <v>1</v>
      </c>
      <c r="D23" s="2"/>
    </row>
    <row r="24" spans="1:12">
      <c r="A24">
        <v>2009</v>
      </c>
      <c r="B24" s="8">
        <v>-3.3999999999999998E-3</v>
      </c>
      <c r="C24" s="2">
        <f>C23*(1+$B24)</f>
        <v>0.99660000000000004</v>
      </c>
      <c r="D24">
        <v>1</v>
      </c>
    </row>
    <row r="25" spans="1:12">
      <c r="A25">
        <v>2010</v>
      </c>
      <c r="B25" s="8">
        <v>1.6400000000000001E-2</v>
      </c>
      <c r="C25" s="2">
        <f t="shared" ref="C25:C32" si="4">C24*(1+B25)</f>
        <v>1.0129442399999999</v>
      </c>
      <c r="D25" s="2">
        <f>D24*(1+$B25)</f>
        <v>1.0164</v>
      </c>
      <c r="E25">
        <v>1</v>
      </c>
    </row>
    <row r="26" spans="1:12">
      <c r="A26">
        <v>2011</v>
      </c>
      <c r="B26" s="8">
        <v>3.1600000000000003E-2</v>
      </c>
      <c r="C26" s="2">
        <f t="shared" si="4"/>
        <v>1.0449532779840001</v>
      </c>
      <c r="D26" s="2">
        <f t="shared" ref="D26:D32" si="5">D25*(1+$B26)</f>
        <v>1.0485182399999999</v>
      </c>
      <c r="E26" s="2">
        <f>E25*(1+$B26)</f>
        <v>1.0316000000000001</v>
      </c>
      <c r="F26">
        <v>1</v>
      </c>
    </row>
    <row r="27" spans="1:12">
      <c r="A27">
        <v>2012</v>
      </c>
      <c r="B27" s="8">
        <v>2.07E-2</v>
      </c>
      <c r="C27" s="2">
        <f t="shared" si="4"/>
        <v>1.0665838108382688</v>
      </c>
      <c r="D27" s="2">
        <f t="shared" si="5"/>
        <v>1.0702225675679999</v>
      </c>
      <c r="E27" s="2">
        <f t="shared" ref="E27:E32" si="6">E26*(1+$B27)</f>
        <v>1.0529541200000001</v>
      </c>
      <c r="F27" s="2">
        <f t="shared" ref="F27:F32" si="7">F26*(1+$B27)</f>
        <v>1.0206999999999999</v>
      </c>
      <c r="G27">
        <v>1</v>
      </c>
    </row>
    <row r="28" spans="1:12">
      <c r="A28">
        <v>2013</v>
      </c>
      <c r="B28" s="8">
        <v>1.47E-2</v>
      </c>
      <c r="C28" s="2">
        <f t="shared" si="4"/>
        <v>1.0822625928575913</v>
      </c>
      <c r="D28" s="2">
        <f t="shared" si="5"/>
        <v>1.0859548393112495</v>
      </c>
      <c r="E28" s="2">
        <f t="shared" si="6"/>
        <v>1.068432545564</v>
      </c>
      <c r="F28" s="2">
        <f t="shared" si="7"/>
        <v>1.03570429</v>
      </c>
      <c r="G28" s="2">
        <f>G27*(1+$B28)</f>
        <v>1.0146999999999999</v>
      </c>
      <c r="H28">
        <v>1</v>
      </c>
    </row>
    <row r="29" spans="1:12">
      <c r="A29">
        <v>2014</v>
      </c>
      <c r="B29" s="8">
        <v>1.6199999999999999E-2</v>
      </c>
      <c r="C29" s="2">
        <f t="shared" si="4"/>
        <v>1.0997952468618843</v>
      </c>
      <c r="D29" s="2">
        <f t="shared" si="5"/>
        <v>1.1035473077080917</v>
      </c>
      <c r="E29" s="2">
        <f t="shared" si="6"/>
        <v>1.0857411528021368</v>
      </c>
      <c r="F29" s="2">
        <f t="shared" si="7"/>
        <v>1.0524826994979999</v>
      </c>
      <c r="G29" s="2">
        <f>G28*(1+$B29)</f>
        <v>1.0311381399999999</v>
      </c>
      <c r="H29" s="2">
        <f>H28*(1+$B29)</f>
        <v>1.0162</v>
      </c>
      <c r="I29">
        <v>1</v>
      </c>
    </row>
    <row r="30" spans="1:12">
      <c r="A30">
        <v>2015</v>
      </c>
      <c r="B30" s="8">
        <v>1.1999999999999999E-3</v>
      </c>
      <c r="C30" s="2">
        <f t="shared" si="4"/>
        <v>1.1011150011581188</v>
      </c>
      <c r="D30" s="2">
        <f t="shared" si="5"/>
        <v>1.1048715644773415</v>
      </c>
      <c r="E30" s="2">
        <f t="shared" si="6"/>
        <v>1.0870440421854994</v>
      </c>
      <c r="F30" s="2">
        <f t="shared" si="7"/>
        <v>1.0537456787373976</v>
      </c>
      <c r="G30" s="2">
        <f>G29*(1+$B30)</f>
        <v>1.032375505768</v>
      </c>
      <c r="H30" s="2">
        <f>H29*(1+$B30)</f>
        <v>1.0174194400000001</v>
      </c>
      <c r="I30" s="2">
        <f>I29*(1+$B30)</f>
        <v>1.0012000000000001</v>
      </c>
      <c r="J30">
        <v>1</v>
      </c>
    </row>
    <row r="31" spans="1:12">
      <c r="A31">
        <v>2016</v>
      </c>
      <c r="B31" s="8">
        <v>1.26E-2</v>
      </c>
      <c r="C31" s="2">
        <f t="shared" si="4"/>
        <v>1.1149890501727111</v>
      </c>
      <c r="D31" s="2">
        <f t="shared" si="5"/>
        <v>1.1187929461897559</v>
      </c>
      <c r="E31" s="2">
        <f t="shared" si="6"/>
        <v>1.1007407971170367</v>
      </c>
      <c r="F31" s="2">
        <f t="shared" si="7"/>
        <v>1.0670228742894887</v>
      </c>
      <c r="G31" s="2">
        <f>G30*(1+$B31)</f>
        <v>1.0453834371406767</v>
      </c>
      <c r="H31" s="2">
        <f>H30*(1+$B31)</f>
        <v>1.030238924944</v>
      </c>
      <c r="I31" s="2">
        <f>I30*(1+$B31)</f>
        <v>1.0138151200000001</v>
      </c>
      <c r="J31" s="2">
        <f>J30*(1+$B31)</f>
        <v>1.0125999999999999</v>
      </c>
      <c r="K31">
        <v>1</v>
      </c>
    </row>
    <row r="32" spans="1:12">
      <c r="A32">
        <v>2017</v>
      </c>
      <c r="B32" s="8">
        <v>2.2200000000000001E-2</v>
      </c>
      <c r="C32" s="2">
        <f t="shared" si="4"/>
        <v>1.1397418070865453</v>
      </c>
      <c r="D32" s="2">
        <f t="shared" si="5"/>
        <v>1.1436301495951684</v>
      </c>
      <c r="E32" s="2">
        <f t="shared" si="6"/>
        <v>1.1251772428130349</v>
      </c>
      <c r="F32" s="2">
        <f t="shared" si="7"/>
        <v>1.0907107820987154</v>
      </c>
      <c r="G32" s="2">
        <f>G31*(1+$B32)</f>
        <v>1.0685909494451997</v>
      </c>
      <c r="H32" s="2">
        <f>H31*(1+$B32)</f>
        <v>1.0531102290777568</v>
      </c>
      <c r="I32" s="2">
        <f>I31*(1+$B32)</f>
        <v>1.0363218156640002</v>
      </c>
      <c r="J32" s="2">
        <f>J31*(1+$B32)</f>
        <v>1.0350797199999999</v>
      </c>
      <c r="K32" s="2">
        <f>K31*(1+$B32)</f>
        <v>1.0222</v>
      </c>
      <c r="L3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F17" sqref="F17"/>
    </sheetView>
  </sheetViews>
  <sheetFormatPr baseColWidth="10" defaultColWidth="8.83203125" defaultRowHeight="14" x14ac:dyDescent="0"/>
  <cols>
    <col min="1" max="1" width="27.33203125" customWidth="1"/>
    <col min="2" max="2" width="20.5" bestFit="1" customWidth="1"/>
    <col min="3" max="3" width="18.33203125" bestFit="1" customWidth="1"/>
    <col min="4" max="4" width="30.5" bestFit="1" customWidth="1"/>
    <col min="5" max="5" width="22.5" bestFit="1" customWidth="1"/>
    <col min="6" max="6" width="24.33203125" customWidth="1"/>
    <col min="7" max="7" width="20.5" bestFit="1" customWidth="1"/>
    <col min="8" max="8" width="20.5" customWidth="1"/>
    <col min="9" max="9" width="32.83203125" customWidth="1"/>
  </cols>
  <sheetData>
    <row r="1" spans="1:9">
      <c r="A1" t="s">
        <v>409</v>
      </c>
    </row>
    <row r="4" spans="1:9">
      <c r="A4" s="7" t="s">
        <v>408</v>
      </c>
      <c r="B4" s="7" t="s">
        <v>407</v>
      </c>
      <c r="C4" s="7" t="s">
        <v>406</v>
      </c>
      <c r="D4" s="7" t="s">
        <v>405</v>
      </c>
      <c r="E4" s="7" t="s">
        <v>404</v>
      </c>
      <c r="F4" s="7" t="s">
        <v>403</v>
      </c>
      <c r="G4" s="7" t="s">
        <v>402</v>
      </c>
      <c r="H4" s="7" t="s">
        <v>401</v>
      </c>
      <c r="I4" s="7" t="s">
        <v>229</v>
      </c>
    </row>
    <row r="5" spans="1:9">
      <c r="A5" t="s">
        <v>400</v>
      </c>
      <c r="B5">
        <v>0</v>
      </c>
      <c r="C5" t="s">
        <v>399</v>
      </c>
    </row>
    <row r="6" spans="1:9">
      <c r="B6">
        <v>200</v>
      </c>
      <c r="C6" t="s">
        <v>398</v>
      </c>
    </row>
    <row r="7" spans="1:9">
      <c r="B7">
        <v>200</v>
      </c>
      <c r="C7" t="s">
        <v>397</v>
      </c>
    </row>
    <row r="8" spans="1:9">
      <c r="B8">
        <v>200</v>
      </c>
      <c r="C8" t="s">
        <v>396</v>
      </c>
    </row>
    <row r="9" spans="1:9">
      <c r="B9">
        <v>200</v>
      </c>
      <c r="C9" t="s">
        <v>395</v>
      </c>
    </row>
    <row r="10" spans="1:9">
      <c r="B10">
        <v>200</v>
      </c>
      <c r="C10" t="s">
        <v>394</v>
      </c>
    </row>
    <row r="11" spans="1:9">
      <c r="B11">
        <v>300</v>
      </c>
      <c r="C11" t="s">
        <v>398</v>
      </c>
    </row>
    <row r="12" spans="1:9">
      <c r="B12">
        <v>300</v>
      </c>
      <c r="C12" t="s">
        <v>397</v>
      </c>
    </row>
    <row r="13" spans="1:9">
      <c r="B13">
        <v>300</v>
      </c>
      <c r="C13" t="s">
        <v>396</v>
      </c>
    </row>
    <row r="14" spans="1:9">
      <c r="B14">
        <v>300</v>
      </c>
      <c r="C14" t="s">
        <v>395</v>
      </c>
    </row>
    <row r="15" spans="1:9">
      <c r="B15">
        <v>300</v>
      </c>
      <c r="C15" t="s">
        <v>394</v>
      </c>
    </row>
    <row r="16" spans="1:9">
      <c r="B16">
        <v>400</v>
      </c>
      <c r="C16" t="s">
        <v>398</v>
      </c>
    </row>
    <row r="17" spans="1:9">
      <c r="B17">
        <v>400</v>
      </c>
      <c r="C17" t="s">
        <v>397</v>
      </c>
    </row>
    <row r="18" spans="1:9">
      <c r="B18">
        <v>400</v>
      </c>
      <c r="C18" t="s">
        <v>396</v>
      </c>
    </row>
    <row r="19" spans="1:9">
      <c r="B19">
        <v>400</v>
      </c>
      <c r="C19" t="s">
        <v>395</v>
      </c>
    </row>
    <row r="20" spans="1:9">
      <c r="B20">
        <v>400</v>
      </c>
      <c r="C20" t="s">
        <v>394</v>
      </c>
    </row>
    <row r="22" spans="1:9">
      <c r="A22" s="7" t="s">
        <v>393</v>
      </c>
    </row>
    <row r="23" spans="1:9">
      <c r="A23" t="s">
        <v>392</v>
      </c>
      <c r="D23" s="13" t="s">
        <v>391</v>
      </c>
    </row>
    <row r="24" spans="1:9">
      <c r="D24" s="7" t="s">
        <v>390</v>
      </c>
      <c r="G24" t="s">
        <v>389</v>
      </c>
    </row>
    <row r="25" spans="1:9">
      <c r="D25" s="7" t="s">
        <v>388</v>
      </c>
      <c r="G25" t="s">
        <v>387</v>
      </c>
      <c r="H25" t="s">
        <v>441</v>
      </c>
      <c r="I25" t="s">
        <v>442</v>
      </c>
    </row>
    <row r="26" spans="1:9">
      <c r="E26" s="7" t="s">
        <v>386</v>
      </c>
      <c r="G26" t="s">
        <v>385</v>
      </c>
      <c r="H26" t="s">
        <v>316</v>
      </c>
    </row>
    <row r="27" spans="1:9">
      <c r="F27" t="s">
        <v>384</v>
      </c>
      <c r="G27" t="s">
        <v>383</v>
      </c>
      <c r="H27" t="s">
        <v>376</v>
      </c>
    </row>
    <row r="28" spans="1:9">
      <c r="F28" t="s">
        <v>382</v>
      </c>
      <c r="G28" t="s">
        <v>381</v>
      </c>
      <c r="H28" t="s">
        <v>376</v>
      </c>
    </row>
    <row r="29" spans="1:9">
      <c r="F29" t="s">
        <v>380</v>
      </c>
      <c r="G29" t="s">
        <v>379</v>
      </c>
      <c r="H29" t="s">
        <v>376</v>
      </c>
    </row>
    <row r="30" spans="1:9">
      <c r="F30" t="s">
        <v>378</v>
      </c>
      <c r="G30" t="s">
        <v>377</v>
      </c>
      <c r="H30" t="s">
        <v>376</v>
      </c>
    </row>
    <row r="31" spans="1:9">
      <c r="D31" s="7" t="s">
        <v>375</v>
      </c>
      <c r="G31" t="s">
        <v>374</v>
      </c>
      <c r="H31" t="s">
        <v>357</v>
      </c>
      <c r="I31" t="s">
        <v>373</v>
      </c>
    </row>
    <row r="32" spans="1:9">
      <c r="D32" s="7" t="s">
        <v>372</v>
      </c>
      <c r="G32" t="s">
        <v>371</v>
      </c>
      <c r="H32" t="s">
        <v>357</v>
      </c>
      <c r="I32" t="s">
        <v>370</v>
      </c>
    </row>
    <row r="33" spans="4:9">
      <c r="D33" s="7" t="s">
        <v>369</v>
      </c>
      <c r="G33" t="s">
        <v>368</v>
      </c>
      <c r="I33" t="s">
        <v>367</v>
      </c>
    </row>
    <row r="34" spans="4:9">
      <c r="D34" s="22" t="s">
        <v>366</v>
      </c>
      <c r="G34" t="s">
        <v>365</v>
      </c>
      <c r="H34" t="s">
        <v>357</v>
      </c>
      <c r="I34" t="s">
        <v>343</v>
      </c>
    </row>
    <row r="35" spans="4:9">
      <c r="D35" s="7" t="s">
        <v>364</v>
      </c>
      <c r="G35" t="s">
        <v>363</v>
      </c>
      <c r="H35" t="s">
        <v>357</v>
      </c>
      <c r="I35" t="s">
        <v>362</v>
      </c>
    </row>
    <row r="36" spans="4:9">
      <c r="D36" s="22" t="s">
        <v>361</v>
      </c>
      <c r="G36" t="s">
        <v>360</v>
      </c>
      <c r="H36" t="s">
        <v>357</v>
      </c>
      <c r="I36" t="s">
        <v>343</v>
      </c>
    </row>
    <row r="37" spans="4:9">
      <c r="D37" s="7" t="s">
        <v>359</v>
      </c>
      <c r="G37" t="s">
        <v>358</v>
      </c>
      <c r="H37" t="s">
        <v>357</v>
      </c>
      <c r="I37" t="s">
        <v>356</v>
      </c>
    </row>
    <row r="38" spans="4:9">
      <c r="D38" t="s">
        <v>355</v>
      </c>
      <c r="I38" t="s">
        <v>353</v>
      </c>
    </row>
    <row r="39" spans="4:9">
      <c r="D39" t="s">
        <v>354</v>
      </c>
      <c r="I39" t="s">
        <v>353</v>
      </c>
    </row>
    <row r="40" spans="4:9">
      <c r="D40" t="s">
        <v>352</v>
      </c>
      <c r="F40" t="s">
        <v>351</v>
      </c>
      <c r="I40" t="s">
        <v>348</v>
      </c>
    </row>
    <row r="41" spans="4:9">
      <c r="D41" t="s">
        <v>350</v>
      </c>
      <c r="F41" t="s">
        <v>349</v>
      </c>
      <c r="I41" t="s">
        <v>348</v>
      </c>
    </row>
    <row r="42" spans="4:9">
      <c r="D42" s="7" t="s">
        <v>347</v>
      </c>
      <c r="G42" t="s">
        <v>346</v>
      </c>
    </row>
    <row r="43" spans="4:9">
      <c r="D43" t="s">
        <v>345</v>
      </c>
      <c r="I43" t="s">
        <v>343</v>
      </c>
    </row>
    <row r="44" spans="4:9">
      <c r="D44" t="s">
        <v>344</v>
      </c>
      <c r="I44" t="s">
        <v>343</v>
      </c>
    </row>
    <row r="45" spans="4:9">
      <c r="D45" t="s">
        <v>342</v>
      </c>
      <c r="G45" t="s">
        <v>341</v>
      </c>
    </row>
    <row r="46" spans="4:9">
      <c r="D46" s="7" t="s">
        <v>340</v>
      </c>
      <c r="G46" t="s">
        <v>339</v>
      </c>
    </row>
    <row r="47" spans="4:9">
      <c r="D47" s="7" t="s">
        <v>338</v>
      </c>
      <c r="G47" t="s">
        <v>244</v>
      </c>
    </row>
    <row r="48" spans="4:9">
      <c r="D48" t="s">
        <v>337</v>
      </c>
      <c r="G48" t="s">
        <v>336</v>
      </c>
    </row>
    <row r="49" spans="4:7">
      <c r="D49" t="s">
        <v>335</v>
      </c>
      <c r="G49" t="s">
        <v>245</v>
      </c>
    </row>
    <row r="54" spans="4:7">
      <c r="D54" t="s">
        <v>334</v>
      </c>
      <c r="E54" t="s">
        <v>333</v>
      </c>
      <c r="F54" t="s">
        <v>316</v>
      </c>
      <c r="G54" t="s">
        <v>332</v>
      </c>
    </row>
    <row r="55" spans="4:7">
      <c r="D55" t="s">
        <v>327</v>
      </c>
      <c r="E55" t="s">
        <v>320</v>
      </c>
      <c r="F55" t="s">
        <v>318</v>
      </c>
      <c r="G55" t="s">
        <v>328</v>
      </c>
    </row>
    <row r="56" spans="4:7">
      <c r="D56" t="s">
        <v>325</v>
      </c>
      <c r="E56" t="s">
        <v>319</v>
      </c>
      <c r="G56" t="s">
        <v>326</v>
      </c>
    </row>
    <row r="57" spans="4:7">
      <c r="D57" t="s">
        <v>324</v>
      </c>
    </row>
    <row r="58" spans="4:7">
      <c r="D58" t="s">
        <v>323</v>
      </c>
    </row>
    <row r="59" spans="4:7">
      <c r="D59" t="s">
        <v>322</v>
      </c>
    </row>
    <row r="60" spans="4:7">
      <c r="D60" t="s">
        <v>321</v>
      </c>
    </row>
    <row r="63" spans="4:7">
      <c r="D63" t="s">
        <v>331</v>
      </c>
      <c r="E63" t="s">
        <v>330</v>
      </c>
      <c r="F63" t="s">
        <v>329</v>
      </c>
    </row>
    <row r="64" spans="4:7">
      <c r="D64" t="s">
        <v>328</v>
      </c>
      <c r="E64" t="s">
        <v>327</v>
      </c>
      <c r="F64" t="s">
        <v>327</v>
      </c>
    </row>
    <row r="65" spans="4:6">
      <c r="D65" t="s">
        <v>326</v>
      </c>
      <c r="E65" t="s">
        <v>325</v>
      </c>
      <c r="F65" t="s">
        <v>325</v>
      </c>
    </row>
    <row r="66" spans="4:6">
      <c r="D66" t="s">
        <v>321</v>
      </c>
      <c r="E66" t="s">
        <v>324</v>
      </c>
      <c r="F66" t="s">
        <v>324</v>
      </c>
    </row>
    <row r="67" spans="4:6">
      <c r="E67" t="s">
        <v>323</v>
      </c>
      <c r="F67" t="s">
        <v>323</v>
      </c>
    </row>
    <row r="68" spans="4:6">
      <c r="E68" t="s">
        <v>322</v>
      </c>
      <c r="F68" t="s">
        <v>322</v>
      </c>
    </row>
    <row r="69" spans="4:6">
      <c r="E69" t="s">
        <v>321</v>
      </c>
      <c r="F69" t="s">
        <v>321</v>
      </c>
    </row>
    <row r="70" spans="4:6">
      <c r="E70" t="s">
        <v>320</v>
      </c>
      <c r="F70" t="s">
        <v>320</v>
      </c>
    </row>
    <row r="71" spans="4:6">
      <c r="E71" t="s">
        <v>319</v>
      </c>
      <c r="F71" t="s">
        <v>319</v>
      </c>
    </row>
    <row r="72" spans="4:6">
      <c r="F72" t="s">
        <v>318</v>
      </c>
    </row>
  </sheetData>
  <pageMargins left="0.7" right="0.7" top="0.75" bottom="0.75" header="0.3" footer="0.3"/>
  <pageSetup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REvalue_input_csv</vt:lpstr>
      <vt:lpstr>Status Runs</vt:lpstr>
      <vt:lpstr>Screening curves</vt:lpstr>
      <vt:lpstr>CF_crossover_points</vt:lpstr>
      <vt:lpstr>screening_curve_plot</vt:lpstr>
      <vt:lpstr>generator_cost_all</vt:lpstr>
      <vt:lpstr>Data and sources</vt:lpstr>
      <vt:lpstr>inflation rate</vt:lpstr>
      <vt:lpstr>scenarios</vt:lpstr>
      <vt:lpstr>run_times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 Deshmukh</cp:lastModifiedBy>
  <dcterms:created xsi:type="dcterms:W3CDTF">2016-11-08T05:09:06Z</dcterms:created>
  <dcterms:modified xsi:type="dcterms:W3CDTF">2018-08-29T01:58:28Z</dcterms:modified>
</cp:coreProperties>
</file>