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WITCH\india_ED\india_ED_output\"/>
    </mc:Choice>
  </mc:AlternateContent>
  <bookViews>
    <workbookView xWindow="0" yWindow="0" windowWidth="19200" windowHeight="7635"/>
  </bookViews>
  <sheets>
    <sheet name="results_all_scenarios" sheetId="1" r:id="rId1"/>
    <sheet name="Renewables" sheetId="2" r:id="rId2"/>
    <sheet name="Conventional" sheetId="3" r:id="rId3"/>
    <sheet name="gen_costs" sheetId="4" r:id="rId4"/>
    <sheet name="screening curve" sheetId="7" r:id="rId5"/>
    <sheet name="emissions" sheetId="6" r:id="rId6"/>
    <sheet name="existing_gen" sheetId="5" r:id="rId7"/>
  </sheets>
  <calcPr calcId="152511"/>
</workbook>
</file>

<file path=xl/calcChain.xml><?xml version="1.0" encoding="utf-8"?>
<calcChain xmlns="http://schemas.openxmlformats.org/spreadsheetml/2006/main">
  <c r="B7" i="7" l="1"/>
  <c r="B4" i="7"/>
  <c r="B17" i="7"/>
  <c r="B16" i="7"/>
  <c r="B15" i="7"/>
  <c r="B14" i="7"/>
  <c r="B49" i="3"/>
  <c r="B12" i="7" l="1"/>
  <c r="C4" i="7" l="1"/>
  <c r="C5" i="7" s="1"/>
  <c r="D4" i="7"/>
  <c r="D6" i="7" s="1"/>
  <c r="D5" i="7"/>
  <c r="B6" i="7"/>
  <c r="B13" i="7"/>
  <c r="B44" i="3"/>
  <c r="D10" i="4"/>
  <c r="E10" i="4"/>
  <c r="F10" i="4"/>
  <c r="G10" i="4"/>
  <c r="D11" i="4"/>
  <c r="E11" i="4"/>
  <c r="F11" i="4"/>
  <c r="G11" i="4"/>
  <c r="D7" i="4"/>
  <c r="E7" i="4"/>
  <c r="F7" i="4"/>
  <c r="G7" i="4"/>
  <c r="D8" i="4"/>
  <c r="E8" i="4"/>
  <c r="F8" i="4"/>
  <c r="G8" i="4"/>
  <c r="G9" i="4"/>
  <c r="F9" i="4"/>
  <c r="E9" i="4"/>
  <c r="C11" i="4"/>
  <c r="C10" i="4"/>
  <c r="C9" i="4"/>
  <c r="D9" i="4"/>
  <c r="C8" i="4"/>
  <c r="C7" i="4"/>
  <c r="G6" i="4"/>
  <c r="G5" i="4"/>
  <c r="F5" i="4"/>
  <c r="G3" i="4"/>
  <c r="G4" i="4"/>
  <c r="F3" i="4"/>
  <c r="F4" i="4"/>
  <c r="F6" i="4"/>
  <c r="F2" i="4"/>
  <c r="G2" i="4"/>
  <c r="E6" i="4"/>
  <c r="E3" i="4"/>
  <c r="E4" i="4"/>
  <c r="E5" i="4"/>
  <c r="E2" i="4"/>
  <c r="D6" i="4"/>
  <c r="D5" i="4"/>
  <c r="C6" i="4"/>
  <c r="C5" i="4"/>
  <c r="E44" i="3"/>
  <c r="B5" i="7" l="1"/>
  <c r="D7" i="7"/>
  <c r="C7" i="7"/>
  <c r="C6" i="7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36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2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AP50" i="1"/>
  <c r="AO50" i="1"/>
  <c r="AF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AP49" i="1"/>
  <c r="AO49" i="1"/>
  <c r="AF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AP48" i="1"/>
  <c r="AO48" i="1"/>
  <c r="AF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AP47" i="1"/>
  <c r="AO47" i="1"/>
  <c r="AF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AP46" i="1"/>
  <c r="AO46" i="1"/>
  <c r="AF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AP45" i="1"/>
  <c r="AO45" i="1"/>
  <c r="AF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AP44" i="1"/>
  <c r="AO44" i="1"/>
  <c r="AF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AP43" i="1"/>
  <c r="AO43" i="1"/>
  <c r="AF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AP42" i="1"/>
  <c r="AO42" i="1"/>
  <c r="AF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AP41" i="1"/>
  <c r="AO41" i="1"/>
  <c r="AF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AP40" i="1"/>
  <c r="AO40" i="1"/>
  <c r="AF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AP39" i="1"/>
  <c r="AO39" i="1"/>
  <c r="AF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AP38" i="1"/>
  <c r="AO38" i="1"/>
  <c r="AF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AP37" i="1"/>
  <c r="AO37" i="1"/>
  <c r="AF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AP36" i="1"/>
  <c r="AO36" i="1"/>
  <c r="AF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AF35" i="1"/>
  <c r="AV47" i="1" s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AP34" i="1"/>
  <c r="AO34" i="1"/>
  <c r="AF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AP33" i="1"/>
  <c r="AO33" i="1"/>
  <c r="AF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AP32" i="1"/>
  <c r="AO32" i="1"/>
  <c r="AF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AP31" i="1"/>
  <c r="AO31" i="1"/>
  <c r="AF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AP30" i="1"/>
  <c r="AO30" i="1"/>
  <c r="AF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AP29" i="1"/>
  <c r="AO29" i="1"/>
  <c r="AF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AP28" i="1"/>
  <c r="AO28" i="1"/>
  <c r="AF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AP27" i="1"/>
  <c r="AO27" i="1"/>
  <c r="AF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AP26" i="1"/>
  <c r="AO26" i="1"/>
  <c r="AF26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AP25" i="1"/>
  <c r="AO25" i="1"/>
  <c r="AF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AP24" i="1"/>
  <c r="AO24" i="1"/>
  <c r="AF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AP23" i="1"/>
  <c r="AO23" i="1"/>
  <c r="AF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AP22" i="1"/>
  <c r="AO22" i="1"/>
  <c r="AF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AP21" i="1"/>
  <c r="AO21" i="1"/>
  <c r="AF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AP20" i="1"/>
  <c r="AO20" i="1"/>
  <c r="AF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AF19" i="1"/>
  <c r="AV32" i="1" s="1"/>
  <c r="AK30" i="1" l="1"/>
  <c r="AK45" i="1"/>
  <c r="AV36" i="1"/>
  <c r="AK26" i="1"/>
  <c r="AK41" i="1"/>
  <c r="AV22" i="1"/>
  <c r="AV26" i="1"/>
  <c r="AV30" i="1"/>
  <c r="AV34" i="1"/>
  <c r="AK24" i="1"/>
  <c r="AK28" i="1"/>
  <c r="AK32" i="1"/>
  <c r="AV23" i="1"/>
  <c r="AV27" i="1"/>
  <c r="AV31" i="1"/>
  <c r="AV20" i="1"/>
  <c r="AK21" i="1"/>
  <c r="AK25" i="1"/>
  <c r="AK29" i="1"/>
  <c r="AK33" i="1"/>
  <c r="AV21" i="1"/>
  <c r="AV25" i="1"/>
  <c r="AV29" i="1"/>
  <c r="AV33" i="1"/>
  <c r="AK23" i="1"/>
  <c r="AK27" i="1"/>
  <c r="AK31" i="1"/>
  <c r="AK20" i="1"/>
  <c r="AV37" i="1"/>
  <c r="AV41" i="1"/>
  <c r="AV45" i="1"/>
  <c r="AV49" i="1"/>
  <c r="AK39" i="1"/>
  <c r="AK43" i="1"/>
  <c r="AK47" i="1"/>
  <c r="AK36" i="1"/>
  <c r="AV38" i="1"/>
  <c r="AV42" i="1"/>
  <c r="AV46" i="1"/>
  <c r="AV50" i="1"/>
  <c r="AK40" i="1"/>
  <c r="AK44" i="1"/>
  <c r="AK48" i="1"/>
  <c r="AV40" i="1"/>
  <c r="AV44" i="1"/>
  <c r="AV48" i="1"/>
  <c r="AK38" i="1"/>
  <c r="AK42" i="1"/>
  <c r="AK46" i="1"/>
  <c r="AK50" i="1"/>
  <c r="AK22" i="1"/>
  <c r="AK37" i="1"/>
  <c r="AV28" i="1"/>
  <c r="AV43" i="1"/>
  <c r="AK34" i="1"/>
  <c r="AK49" i="1"/>
  <c r="AV24" i="1"/>
  <c r="AV39" i="1"/>
  <c r="J6" i="2" l="1"/>
  <c r="I6" i="2"/>
  <c r="H6" i="2"/>
  <c r="G6" i="2"/>
  <c r="B5" i="6"/>
  <c r="D4" i="4"/>
  <c r="C4" i="4"/>
  <c r="E38" i="3"/>
  <c r="E37" i="3"/>
  <c r="E36" i="3"/>
  <c r="E35" i="3"/>
  <c r="D3" i="4"/>
  <c r="D2" i="4"/>
  <c r="C3" i="4"/>
  <c r="C2" i="4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4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3" i="1"/>
  <c r="BW17" i="1"/>
  <c r="BW18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3" i="1"/>
  <c r="BO4" i="1"/>
  <c r="BP4" i="1"/>
  <c r="BQ4" i="1"/>
  <c r="BR4" i="1"/>
  <c r="BS4" i="1"/>
  <c r="BT4" i="1"/>
  <c r="BU4" i="1"/>
  <c r="BV4" i="1"/>
  <c r="BO5" i="1"/>
  <c r="BP5" i="1"/>
  <c r="BQ5" i="1"/>
  <c r="BR5" i="1"/>
  <c r="BS5" i="1"/>
  <c r="BT5" i="1"/>
  <c r="BU5" i="1"/>
  <c r="BV5" i="1"/>
  <c r="BO6" i="1"/>
  <c r="BP6" i="1"/>
  <c r="BQ6" i="1"/>
  <c r="BR6" i="1"/>
  <c r="BS6" i="1"/>
  <c r="BT6" i="1"/>
  <c r="BU6" i="1"/>
  <c r="BV6" i="1"/>
  <c r="BO7" i="1"/>
  <c r="BP7" i="1"/>
  <c r="BQ7" i="1"/>
  <c r="BR7" i="1"/>
  <c r="BS7" i="1"/>
  <c r="BT7" i="1"/>
  <c r="BU7" i="1"/>
  <c r="BV7" i="1"/>
  <c r="BO8" i="1"/>
  <c r="BP8" i="1"/>
  <c r="BQ8" i="1"/>
  <c r="BR8" i="1"/>
  <c r="BS8" i="1"/>
  <c r="BT8" i="1"/>
  <c r="BU8" i="1"/>
  <c r="BV8" i="1"/>
  <c r="BO9" i="1"/>
  <c r="BP9" i="1"/>
  <c r="BQ9" i="1"/>
  <c r="BR9" i="1"/>
  <c r="BS9" i="1"/>
  <c r="BT9" i="1"/>
  <c r="BU9" i="1"/>
  <c r="BV9" i="1"/>
  <c r="BO10" i="1"/>
  <c r="BP10" i="1"/>
  <c r="BQ10" i="1"/>
  <c r="BR10" i="1"/>
  <c r="BS10" i="1"/>
  <c r="BT10" i="1"/>
  <c r="BU10" i="1"/>
  <c r="BV10" i="1"/>
  <c r="BO11" i="1"/>
  <c r="BP11" i="1"/>
  <c r="BQ11" i="1"/>
  <c r="BR11" i="1"/>
  <c r="BS11" i="1"/>
  <c r="BT11" i="1"/>
  <c r="BU11" i="1"/>
  <c r="BV11" i="1"/>
  <c r="BO12" i="1"/>
  <c r="BP12" i="1"/>
  <c r="BQ12" i="1"/>
  <c r="BR12" i="1"/>
  <c r="BS12" i="1"/>
  <c r="BT12" i="1"/>
  <c r="BU12" i="1"/>
  <c r="BV12" i="1"/>
  <c r="BO13" i="1"/>
  <c r="BP13" i="1"/>
  <c r="BQ13" i="1"/>
  <c r="BR13" i="1"/>
  <c r="BS13" i="1"/>
  <c r="BT13" i="1"/>
  <c r="BU13" i="1"/>
  <c r="BV13" i="1"/>
  <c r="BO14" i="1"/>
  <c r="BP14" i="1"/>
  <c r="BQ14" i="1"/>
  <c r="BR14" i="1"/>
  <c r="BS14" i="1"/>
  <c r="BT14" i="1"/>
  <c r="BU14" i="1"/>
  <c r="BV14" i="1"/>
  <c r="BO15" i="1"/>
  <c r="BP15" i="1"/>
  <c r="BQ15" i="1"/>
  <c r="BR15" i="1"/>
  <c r="BS15" i="1"/>
  <c r="BT15" i="1"/>
  <c r="BU15" i="1"/>
  <c r="BV15" i="1"/>
  <c r="BO16" i="1"/>
  <c r="BP16" i="1"/>
  <c r="BQ16" i="1"/>
  <c r="BR16" i="1"/>
  <c r="BS16" i="1"/>
  <c r="BT16" i="1"/>
  <c r="BU16" i="1"/>
  <c r="BV16" i="1"/>
  <c r="BO17" i="1"/>
  <c r="BP17" i="1"/>
  <c r="BQ17" i="1"/>
  <c r="BR17" i="1"/>
  <c r="BS17" i="1"/>
  <c r="BT17" i="1"/>
  <c r="BU17" i="1"/>
  <c r="BV17" i="1"/>
  <c r="BO18" i="1"/>
  <c r="BP18" i="1"/>
  <c r="BQ18" i="1"/>
  <c r="BR18" i="1"/>
  <c r="BS18" i="1"/>
  <c r="BT18" i="1"/>
  <c r="BU18" i="1"/>
  <c r="BV18" i="1"/>
  <c r="BV3" i="1"/>
  <c r="BU3" i="1"/>
  <c r="BT3" i="1"/>
  <c r="BS3" i="1"/>
  <c r="BR3" i="1"/>
  <c r="BQ3" i="1"/>
  <c r="BP3" i="1"/>
  <c r="BO3" i="1"/>
  <c r="BL4" i="1"/>
  <c r="BM4" i="1"/>
  <c r="BN4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N3" i="1"/>
  <c r="BM3" i="1"/>
  <c r="BL3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3" i="1"/>
  <c r="AV11" i="1" s="1"/>
  <c r="C43" i="3"/>
  <c r="C44" i="3" s="1"/>
  <c r="AA6" i="1" s="1"/>
  <c r="B43" i="3"/>
  <c r="D41" i="3"/>
  <c r="D43" i="3" s="1"/>
  <c r="D44" i="3" s="1"/>
  <c r="Z8" i="1" s="1"/>
  <c r="C41" i="3"/>
  <c r="E41" i="3" s="1"/>
  <c r="E43" i="3" s="1"/>
  <c r="D38" i="3"/>
  <c r="D37" i="3"/>
  <c r="D36" i="3"/>
  <c r="D35" i="3"/>
  <c r="B4" i="6" s="1"/>
  <c r="H34" i="3"/>
  <c r="H33" i="3"/>
  <c r="C29" i="3"/>
  <c r="C35" i="3" s="1"/>
  <c r="B3" i="6" s="1"/>
  <c r="B29" i="3"/>
  <c r="B38" i="3" s="1"/>
  <c r="K28" i="3"/>
  <c r="J28" i="3"/>
  <c r="I28" i="3"/>
  <c r="K27" i="3"/>
  <c r="J27" i="3"/>
  <c r="I27" i="3"/>
  <c r="K26" i="3"/>
  <c r="J26" i="3"/>
  <c r="I26" i="3"/>
  <c r="B16" i="3"/>
  <c r="B9" i="3"/>
  <c r="B12" i="3" s="1"/>
  <c r="B7" i="3"/>
  <c r="D46" i="3" s="1"/>
  <c r="D47" i="3" s="1"/>
  <c r="C10" i="2"/>
  <c r="C11" i="2" s="1"/>
  <c r="B10" i="2"/>
  <c r="E45" i="3" l="1"/>
  <c r="Z22" i="1"/>
  <c r="Z26" i="1"/>
  <c r="Z30" i="1"/>
  <c r="Z34" i="1"/>
  <c r="Z38" i="1"/>
  <c r="Z42" i="1"/>
  <c r="Z46" i="1"/>
  <c r="Z50" i="1"/>
  <c r="Z23" i="1"/>
  <c r="Z27" i="1"/>
  <c r="Z31" i="1"/>
  <c r="Z35" i="1"/>
  <c r="Z39" i="1"/>
  <c r="Z43" i="1"/>
  <c r="Z47" i="1"/>
  <c r="Z19" i="1"/>
  <c r="Z21" i="1"/>
  <c r="Z25" i="1"/>
  <c r="Z29" i="1"/>
  <c r="Z33" i="1"/>
  <c r="Z37" i="1"/>
  <c r="Z41" i="1"/>
  <c r="Z45" i="1"/>
  <c r="Z49" i="1"/>
  <c r="Z20" i="1"/>
  <c r="Z36" i="1"/>
  <c r="Z24" i="1"/>
  <c r="Z40" i="1"/>
  <c r="Z28" i="1"/>
  <c r="Z44" i="1"/>
  <c r="Z32" i="1"/>
  <c r="Z48" i="1"/>
  <c r="C46" i="3"/>
  <c r="C47" i="3" s="1"/>
  <c r="AA16" i="1"/>
  <c r="AA12" i="1"/>
  <c r="AA8" i="1"/>
  <c r="AA4" i="1"/>
  <c r="E46" i="3"/>
  <c r="C37" i="3"/>
  <c r="AA3" i="1"/>
  <c r="AA15" i="1"/>
  <c r="AA11" i="1"/>
  <c r="AA7" i="1"/>
  <c r="B45" i="3"/>
  <c r="G45" i="3" s="1"/>
  <c r="AB47" i="1"/>
  <c r="AB45" i="1"/>
  <c r="AB42" i="1"/>
  <c r="AB49" i="1"/>
  <c r="AB40" i="1"/>
  <c r="AB38" i="1"/>
  <c r="AB44" i="1"/>
  <c r="AB39" i="1"/>
  <c r="AB46" i="1"/>
  <c r="AB41" i="1"/>
  <c r="AB37" i="1"/>
  <c r="AB33" i="1"/>
  <c r="AB32" i="1"/>
  <c r="AB30" i="1"/>
  <c r="AB25" i="1"/>
  <c r="AB23" i="1"/>
  <c r="AB20" i="1"/>
  <c r="AB50" i="1"/>
  <c r="AB48" i="1"/>
  <c r="AB43" i="1"/>
  <c r="AB36" i="1"/>
  <c r="AB34" i="1"/>
  <c r="AB27" i="1"/>
  <c r="AB26" i="1"/>
  <c r="AB21" i="1"/>
  <c r="AB35" i="1"/>
  <c r="AB31" i="1"/>
  <c r="AB28" i="1"/>
  <c r="AB19" i="1"/>
  <c r="AB29" i="1"/>
  <c r="AB24" i="1"/>
  <c r="AB22" i="1"/>
  <c r="AA18" i="1"/>
  <c r="AA14" i="1"/>
  <c r="AA10" i="1"/>
  <c r="B10" i="3"/>
  <c r="B11" i="3" s="1"/>
  <c r="B36" i="3"/>
  <c r="AA44" i="1"/>
  <c r="AA39" i="1"/>
  <c r="AA47" i="1"/>
  <c r="AA45" i="1"/>
  <c r="AA42" i="1"/>
  <c r="AA37" i="1"/>
  <c r="AA50" i="1"/>
  <c r="AA48" i="1"/>
  <c r="AA46" i="1"/>
  <c r="AA43" i="1"/>
  <c r="AA41" i="1"/>
  <c r="AA29" i="1"/>
  <c r="AA24" i="1"/>
  <c r="AA22" i="1"/>
  <c r="AA38" i="1"/>
  <c r="AA33" i="1"/>
  <c r="AA32" i="1"/>
  <c r="AA30" i="1"/>
  <c r="AA25" i="1"/>
  <c r="AA23" i="1"/>
  <c r="AA20" i="1"/>
  <c r="AA40" i="1"/>
  <c r="AA36" i="1"/>
  <c r="AA34" i="1"/>
  <c r="AA27" i="1"/>
  <c r="AA26" i="1"/>
  <c r="AA21" i="1"/>
  <c r="AA49" i="1"/>
  <c r="AA35" i="1"/>
  <c r="AA31" i="1"/>
  <c r="AA28" i="1"/>
  <c r="AA19" i="1"/>
  <c r="AA17" i="1"/>
  <c r="AA13" i="1"/>
  <c r="AA9" i="1"/>
  <c r="AA5" i="1"/>
  <c r="AC49" i="1"/>
  <c r="AC43" i="1"/>
  <c r="AC35" i="1"/>
  <c r="AC33" i="1"/>
  <c r="AC28" i="1"/>
  <c r="AC26" i="1"/>
  <c r="AC20" i="1"/>
  <c r="AC19" i="1"/>
  <c r="AC48" i="1"/>
  <c r="AC47" i="1"/>
  <c r="AC36" i="1"/>
  <c r="AC29" i="1"/>
  <c r="AC42" i="1"/>
  <c r="AC32" i="1"/>
  <c r="AC25" i="1"/>
  <c r="AC46" i="1"/>
  <c r="AC40" i="1"/>
  <c r="AC45" i="1"/>
  <c r="AC41" i="1"/>
  <c r="AC39" i="1"/>
  <c r="AC38" i="1"/>
  <c r="AC31" i="1"/>
  <c r="AC27" i="1"/>
  <c r="AC23" i="1"/>
  <c r="AC30" i="1"/>
  <c r="AC22" i="1"/>
  <c r="AC50" i="1"/>
  <c r="AC44" i="1"/>
  <c r="AC37" i="1"/>
  <c r="AC24" i="1"/>
  <c r="AC34" i="1"/>
  <c r="AC21" i="1"/>
  <c r="AC13" i="1"/>
  <c r="AR13" i="1" s="1"/>
  <c r="AC9" i="1"/>
  <c r="AC14" i="1"/>
  <c r="AC10" i="1"/>
  <c r="AC3" i="1"/>
  <c r="AC15" i="1"/>
  <c r="AC11" i="1"/>
  <c r="AC7" i="1"/>
  <c r="AC17" i="1"/>
  <c r="B11" i="2"/>
  <c r="AC16" i="1"/>
  <c r="AC12" i="1"/>
  <c r="AC8" i="1"/>
  <c r="AR8" i="1" s="1"/>
  <c r="AC4" i="1"/>
  <c r="AC5" i="1"/>
  <c r="AC18" i="1"/>
  <c r="AR18" i="1" s="1"/>
  <c r="AC6" i="1"/>
  <c r="E47" i="3"/>
  <c r="AK16" i="1"/>
  <c r="AK12" i="1"/>
  <c r="AK8" i="1"/>
  <c r="AV16" i="1"/>
  <c r="AV8" i="1"/>
  <c r="AV7" i="1"/>
  <c r="AV18" i="1"/>
  <c r="AV14" i="1"/>
  <c r="AV10" i="1"/>
  <c r="AV6" i="1"/>
  <c r="AV12" i="1"/>
  <c r="AV15" i="1"/>
  <c r="AB3" i="1"/>
  <c r="AB18" i="1"/>
  <c r="AB16" i="1"/>
  <c r="AB14" i="1"/>
  <c r="AB12" i="1"/>
  <c r="AB9" i="1"/>
  <c r="AB7" i="1"/>
  <c r="AB4" i="1"/>
  <c r="AB17" i="1"/>
  <c r="AB15" i="1"/>
  <c r="AB13" i="1"/>
  <c r="AB11" i="1"/>
  <c r="AB10" i="1"/>
  <c r="AB8" i="1"/>
  <c r="AB6" i="1"/>
  <c r="AB5" i="1"/>
  <c r="AK5" i="1"/>
  <c r="AV17" i="1"/>
  <c r="AV13" i="1"/>
  <c r="AV9" i="1"/>
  <c r="AV5" i="1"/>
  <c r="AV4" i="1"/>
  <c r="AK4" i="1"/>
  <c r="AK15" i="1"/>
  <c r="AK7" i="1"/>
  <c r="AK18" i="1"/>
  <c r="AK14" i="1"/>
  <c r="AK10" i="1"/>
  <c r="AK6" i="1"/>
  <c r="AK11" i="1"/>
  <c r="AK17" i="1"/>
  <c r="AK13" i="1"/>
  <c r="AK9" i="1"/>
  <c r="Z3" i="1"/>
  <c r="Z17" i="1"/>
  <c r="Z15" i="1"/>
  <c r="Z13" i="1"/>
  <c r="Z5" i="1"/>
  <c r="Z11" i="1"/>
  <c r="Z9" i="1"/>
  <c r="Z7" i="1"/>
  <c r="Z18" i="1"/>
  <c r="Z16" i="1"/>
  <c r="Z14" i="1"/>
  <c r="Z12" i="1"/>
  <c r="Z10" i="1"/>
  <c r="Z6" i="1"/>
  <c r="Z4" i="1"/>
  <c r="C48" i="3"/>
  <c r="D45" i="3"/>
  <c r="I45" i="3" s="1"/>
  <c r="C45" i="3"/>
  <c r="H45" i="3" s="1"/>
  <c r="B37" i="3"/>
  <c r="C38" i="3"/>
  <c r="B46" i="3"/>
  <c r="B47" i="3" s="1"/>
  <c r="B35" i="3"/>
  <c r="AZ14" i="1" s="1"/>
  <c r="BC14" i="1" s="1"/>
  <c r="C36" i="3"/>
  <c r="BA5" i="1" s="1"/>
  <c r="BD5" i="1" s="1"/>
  <c r="AZ8" i="1" l="1"/>
  <c r="BC8" i="1" s="1"/>
  <c r="AZ10" i="1"/>
  <c r="BC10" i="1" s="1"/>
  <c r="BB50" i="1"/>
  <c r="BE50" i="1" s="1"/>
  <c r="BB48" i="1"/>
  <c r="BE48" i="1" s="1"/>
  <c r="BB46" i="1"/>
  <c r="BE46" i="1" s="1"/>
  <c r="BB43" i="1"/>
  <c r="BE43" i="1" s="1"/>
  <c r="BB41" i="1"/>
  <c r="BE41" i="1" s="1"/>
  <c r="BB44" i="1"/>
  <c r="BE44" i="1" s="1"/>
  <c r="BB39" i="1"/>
  <c r="BE39" i="1" s="1"/>
  <c r="BB49" i="1"/>
  <c r="BE49" i="1" s="1"/>
  <c r="BB40" i="1"/>
  <c r="BE40" i="1" s="1"/>
  <c r="BB38" i="1"/>
  <c r="BE38" i="1" s="1"/>
  <c r="BB31" i="1"/>
  <c r="BE31" i="1" s="1"/>
  <c r="BB28" i="1"/>
  <c r="BE28" i="1" s="1"/>
  <c r="BB29" i="1"/>
  <c r="BE29" i="1" s="1"/>
  <c r="BB24" i="1"/>
  <c r="BE24" i="1" s="1"/>
  <c r="BB22" i="1"/>
  <c r="BE22" i="1" s="1"/>
  <c r="BB45" i="1"/>
  <c r="BE45" i="1" s="1"/>
  <c r="BB35" i="1"/>
  <c r="BB33" i="1"/>
  <c r="BE33" i="1" s="1"/>
  <c r="BB32" i="1"/>
  <c r="BE32" i="1" s="1"/>
  <c r="BB30" i="1"/>
  <c r="BE30" i="1" s="1"/>
  <c r="BB25" i="1"/>
  <c r="BE25" i="1" s="1"/>
  <c r="BB23" i="1"/>
  <c r="BE23" i="1" s="1"/>
  <c r="BB20" i="1"/>
  <c r="BE20" i="1" s="1"/>
  <c r="BB19" i="1"/>
  <c r="BE19" i="1" s="1"/>
  <c r="BB47" i="1"/>
  <c r="BE47" i="1" s="1"/>
  <c r="BB42" i="1"/>
  <c r="BE42" i="1" s="1"/>
  <c r="BB37" i="1"/>
  <c r="BE37" i="1" s="1"/>
  <c r="BB36" i="1"/>
  <c r="BE36" i="1" s="1"/>
  <c r="BB34" i="1"/>
  <c r="BE34" i="1" s="1"/>
  <c r="BB27" i="1"/>
  <c r="BE27" i="1" s="1"/>
  <c r="BB26" i="1"/>
  <c r="BE26" i="1" s="1"/>
  <c r="BB21" i="1"/>
  <c r="BE21" i="1" s="1"/>
  <c r="AZ12" i="1"/>
  <c r="BC12" i="1" s="1"/>
  <c r="BA49" i="1"/>
  <c r="BD49" i="1" s="1"/>
  <c r="BA40" i="1"/>
  <c r="BD40" i="1" s="1"/>
  <c r="BA38" i="1"/>
  <c r="BD38" i="1" s="1"/>
  <c r="BA50" i="1"/>
  <c r="BD50" i="1" s="1"/>
  <c r="BA48" i="1"/>
  <c r="BD48" i="1" s="1"/>
  <c r="BA46" i="1"/>
  <c r="BD46" i="1" s="1"/>
  <c r="BA43" i="1"/>
  <c r="BD43" i="1" s="1"/>
  <c r="BA41" i="1"/>
  <c r="BD41" i="1" s="1"/>
  <c r="BA47" i="1"/>
  <c r="BD47" i="1" s="1"/>
  <c r="BA45" i="1"/>
  <c r="BD45" i="1" s="1"/>
  <c r="BA42" i="1"/>
  <c r="BD42" i="1" s="1"/>
  <c r="BA37" i="1"/>
  <c r="BD37" i="1" s="1"/>
  <c r="BA39" i="1"/>
  <c r="BD39" i="1" s="1"/>
  <c r="BA36" i="1"/>
  <c r="BD36" i="1" s="1"/>
  <c r="BA34" i="1"/>
  <c r="BD34" i="1" s="1"/>
  <c r="BA27" i="1"/>
  <c r="BD27" i="1" s="1"/>
  <c r="BA26" i="1"/>
  <c r="BD26" i="1" s="1"/>
  <c r="BA21" i="1"/>
  <c r="BD21" i="1" s="1"/>
  <c r="BA31" i="1"/>
  <c r="BD31" i="1" s="1"/>
  <c r="BA28" i="1"/>
  <c r="BD28" i="1" s="1"/>
  <c r="BA29" i="1"/>
  <c r="BD29" i="1" s="1"/>
  <c r="BA24" i="1"/>
  <c r="BD24" i="1" s="1"/>
  <c r="BA22" i="1"/>
  <c r="BD22" i="1" s="1"/>
  <c r="BA44" i="1"/>
  <c r="BD44" i="1" s="1"/>
  <c r="BA35" i="1"/>
  <c r="BA33" i="1"/>
  <c r="BD33" i="1" s="1"/>
  <c r="BA32" i="1"/>
  <c r="BD32" i="1" s="1"/>
  <c r="BA30" i="1"/>
  <c r="BD30" i="1" s="1"/>
  <c r="BA25" i="1"/>
  <c r="BD25" i="1" s="1"/>
  <c r="BA23" i="1"/>
  <c r="BD23" i="1" s="1"/>
  <c r="BA20" i="1"/>
  <c r="BD20" i="1" s="1"/>
  <c r="BA19" i="1"/>
  <c r="AZ47" i="1"/>
  <c r="BC47" i="1" s="1"/>
  <c r="AZ45" i="1"/>
  <c r="BC45" i="1" s="1"/>
  <c r="AZ42" i="1"/>
  <c r="BC42" i="1" s="1"/>
  <c r="AZ49" i="1"/>
  <c r="BC49" i="1" s="1"/>
  <c r="AZ40" i="1"/>
  <c r="BC40" i="1" s="1"/>
  <c r="AZ38" i="1"/>
  <c r="BC38" i="1" s="1"/>
  <c r="AZ44" i="1"/>
  <c r="BC44" i="1" s="1"/>
  <c r="AZ39" i="1"/>
  <c r="BC39" i="1" s="1"/>
  <c r="AZ46" i="1"/>
  <c r="BC46" i="1" s="1"/>
  <c r="AZ41" i="1"/>
  <c r="BC41" i="1" s="1"/>
  <c r="AZ37" i="1"/>
  <c r="BC37" i="1" s="1"/>
  <c r="AZ35" i="1"/>
  <c r="AZ33" i="1"/>
  <c r="BC33" i="1" s="1"/>
  <c r="AZ32" i="1"/>
  <c r="BC32" i="1" s="1"/>
  <c r="AZ30" i="1"/>
  <c r="BC30" i="1" s="1"/>
  <c r="AZ25" i="1"/>
  <c r="BC25" i="1" s="1"/>
  <c r="AZ23" i="1"/>
  <c r="BC23" i="1" s="1"/>
  <c r="AZ20" i="1"/>
  <c r="BC20" i="1" s="1"/>
  <c r="AZ19" i="1"/>
  <c r="AZ50" i="1"/>
  <c r="BC50" i="1" s="1"/>
  <c r="AZ48" i="1"/>
  <c r="BC48" i="1" s="1"/>
  <c r="AZ43" i="1"/>
  <c r="BC43" i="1" s="1"/>
  <c r="AZ36" i="1"/>
  <c r="BC36" i="1" s="1"/>
  <c r="AZ34" i="1"/>
  <c r="BC34" i="1" s="1"/>
  <c r="AZ27" i="1"/>
  <c r="BC27" i="1" s="1"/>
  <c r="AZ26" i="1"/>
  <c r="BC26" i="1" s="1"/>
  <c r="AZ21" i="1"/>
  <c r="BC21" i="1" s="1"/>
  <c r="AZ31" i="1"/>
  <c r="BC31" i="1" s="1"/>
  <c r="AZ28" i="1"/>
  <c r="BC28" i="1" s="1"/>
  <c r="AZ29" i="1"/>
  <c r="BC29" i="1" s="1"/>
  <c r="AZ24" i="1"/>
  <c r="BC24" i="1" s="1"/>
  <c r="AZ22" i="1"/>
  <c r="BC22" i="1" s="1"/>
  <c r="B2" i="6"/>
  <c r="AZ9" i="1"/>
  <c r="BC9" i="1" s="1"/>
  <c r="AZ13" i="1"/>
  <c r="BC13" i="1" s="1"/>
  <c r="AZ17" i="1"/>
  <c r="BC17" i="1" s="1"/>
  <c r="AZ5" i="1"/>
  <c r="BC5" i="1" s="1"/>
  <c r="AZ3" i="1"/>
  <c r="AZ11" i="1"/>
  <c r="BC11" i="1" s="1"/>
  <c r="BA7" i="1"/>
  <c r="BD7" i="1" s="1"/>
  <c r="AZ16" i="1"/>
  <c r="BC16" i="1" s="1"/>
  <c r="BA9" i="1"/>
  <c r="BD9" i="1" s="1"/>
  <c r="AZ18" i="1"/>
  <c r="BC18" i="1" s="1"/>
  <c r="AZ7" i="1"/>
  <c r="BC7" i="1" s="1"/>
  <c r="AZ15" i="1"/>
  <c r="BC15" i="1" s="1"/>
  <c r="AZ4" i="1"/>
  <c r="BC4" i="1" s="1"/>
  <c r="AZ6" i="1"/>
  <c r="BC6" i="1" s="1"/>
  <c r="AU24" i="1"/>
  <c r="AW24" i="1" s="1"/>
  <c r="AU28" i="1"/>
  <c r="AW28" i="1" s="1"/>
  <c r="AU32" i="1"/>
  <c r="AW32" i="1" s="1"/>
  <c r="AJ22" i="1"/>
  <c r="AL22" i="1" s="1"/>
  <c r="AJ26" i="1"/>
  <c r="AL26" i="1" s="1"/>
  <c r="AJ30" i="1"/>
  <c r="AL30" i="1" s="1"/>
  <c r="AJ34" i="1"/>
  <c r="AL34" i="1" s="1"/>
  <c r="AU21" i="1"/>
  <c r="AW21" i="1" s="1"/>
  <c r="AU25" i="1"/>
  <c r="AW25" i="1" s="1"/>
  <c r="AU29" i="1"/>
  <c r="AW29" i="1" s="1"/>
  <c r="AU33" i="1"/>
  <c r="AW33" i="1" s="1"/>
  <c r="AJ23" i="1"/>
  <c r="AL23" i="1" s="1"/>
  <c r="AJ27" i="1"/>
  <c r="AL27" i="1" s="1"/>
  <c r="AJ31" i="1"/>
  <c r="AL31" i="1" s="1"/>
  <c r="AJ20" i="1"/>
  <c r="AL20" i="1" s="1"/>
  <c r="AU23" i="1"/>
  <c r="AW23" i="1" s="1"/>
  <c r="AU27" i="1"/>
  <c r="AW27" i="1" s="1"/>
  <c r="AU31" i="1"/>
  <c r="AW31" i="1" s="1"/>
  <c r="AU20" i="1"/>
  <c r="AW20" i="1" s="1"/>
  <c r="AJ21" i="1"/>
  <c r="AL21" i="1" s="1"/>
  <c r="AJ25" i="1"/>
  <c r="AL25" i="1" s="1"/>
  <c r="AJ29" i="1"/>
  <c r="AL29" i="1" s="1"/>
  <c r="AJ33" i="1"/>
  <c r="AL33" i="1" s="1"/>
  <c r="AU26" i="1"/>
  <c r="AW26" i="1" s="1"/>
  <c r="AU30" i="1"/>
  <c r="AW30" i="1" s="1"/>
  <c r="AJ24" i="1"/>
  <c r="AL24" i="1" s="1"/>
  <c r="AU34" i="1"/>
  <c r="AW34" i="1" s="1"/>
  <c r="AJ28" i="1"/>
  <c r="AL28" i="1" s="1"/>
  <c r="AU22" i="1"/>
  <c r="AW22" i="1" s="1"/>
  <c r="AJ32" i="1"/>
  <c r="AL32" i="1" s="1"/>
  <c r="AU39" i="1"/>
  <c r="AW39" i="1" s="1"/>
  <c r="AU43" i="1"/>
  <c r="AW43" i="1" s="1"/>
  <c r="AU47" i="1"/>
  <c r="AW47" i="1" s="1"/>
  <c r="AU36" i="1"/>
  <c r="AW36" i="1" s="1"/>
  <c r="AJ37" i="1"/>
  <c r="AL37" i="1" s="1"/>
  <c r="AJ41" i="1"/>
  <c r="AL41" i="1" s="1"/>
  <c r="AJ45" i="1"/>
  <c r="AL45" i="1" s="1"/>
  <c r="AJ49" i="1"/>
  <c r="AL49" i="1" s="1"/>
  <c r="AU40" i="1"/>
  <c r="AW40" i="1" s="1"/>
  <c r="AU44" i="1"/>
  <c r="AW44" i="1" s="1"/>
  <c r="AU48" i="1"/>
  <c r="AW48" i="1" s="1"/>
  <c r="AJ38" i="1"/>
  <c r="AL38" i="1" s="1"/>
  <c r="AJ42" i="1"/>
  <c r="AL42" i="1" s="1"/>
  <c r="AJ46" i="1"/>
  <c r="AL46" i="1" s="1"/>
  <c r="AJ50" i="1"/>
  <c r="AL50" i="1" s="1"/>
  <c r="AU38" i="1"/>
  <c r="AW38" i="1" s="1"/>
  <c r="AU42" i="1"/>
  <c r="AW42" i="1" s="1"/>
  <c r="AU46" i="1"/>
  <c r="AW46" i="1" s="1"/>
  <c r="AU50" i="1"/>
  <c r="AW50" i="1" s="1"/>
  <c r="AJ40" i="1"/>
  <c r="AL40" i="1" s="1"/>
  <c r="AJ44" i="1"/>
  <c r="AL44" i="1" s="1"/>
  <c r="AJ48" i="1"/>
  <c r="AL48" i="1" s="1"/>
  <c r="AU41" i="1"/>
  <c r="AW41" i="1" s="1"/>
  <c r="AJ36" i="1"/>
  <c r="AL36" i="1" s="1"/>
  <c r="AU45" i="1"/>
  <c r="AW45" i="1" s="1"/>
  <c r="AJ39" i="1"/>
  <c r="AL39" i="1" s="1"/>
  <c r="AU49" i="1"/>
  <c r="AW49" i="1" s="1"/>
  <c r="AJ43" i="1"/>
  <c r="AL43" i="1" s="1"/>
  <c r="AU37" i="1"/>
  <c r="AW37" i="1" s="1"/>
  <c r="AJ47" i="1"/>
  <c r="AL47" i="1" s="1"/>
  <c r="AR40" i="1"/>
  <c r="AD48" i="1"/>
  <c r="AT48" i="1" s="1"/>
  <c r="AY48" i="1" s="1"/>
  <c r="AD47" i="1"/>
  <c r="AI47" i="1" s="1"/>
  <c r="AN47" i="1" s="1"/>
  <c r="AD46" i="1"/>
  <c r="AS46" i="1" s="1"/>
  <c r="AD40" i="1"/>
  <c r="AI40" i="1" s="1"/>
  <c r="AN40" i="1" s="1"/>
  <c r="AD36" i="1"/>
  <c r="AS36" i="1" s="1"/>
  <c r="AD29" i="1"/>
  <c r="AI29" i="1" s="1"/>
  <c r="AD45" i="1"/>
  <c r="AI45" i="1" s="1"/>
  <c r="AN45" i="1" s="1"/>
  <c r="AD42" i="1"/>
  <c r="AT42" i="1" s="1"/>
  <c r="AY42" i="1" s="1"/>
  <c r="AD41" i="1"/>
  <c r="AS41" i="1" s="1"/>
  <c r="AD38" i="1"/>
  <c r="AT38" i="1" s="1"/>
  <c r="AY38" i="1" s="1"/>
  <c r="AD31" i="1"/>
  <c r="AT31" i="1" s="1"/>
  <c r="AY31" i="1" s="1"/>
  <c r="AD44" i="1"/>
  <c r="AI44" i="1" s="1"/>
  <c r="AN44" i="1" s="1"/>
  <c r="AD37" i="1"/>
  <c r="AT37" i="1" s="1"/>
  <c r="AY37" i="1" s="1"/>
  <c r="AD22" i="1"/>
  <c r="AT22" i="1" s="1"/>
  <c r="AY22" i="1" s="1"/>
  <c r="AD21" i="1"/>
  <c r="AI21" i="1" s="1"/>
  <c r="AN21" i="1" s="1"/>
  <c r="AD39" i="1"/>
  <c r="AE39" i="1" s="1"/>
  <c r="AG39" i="1" s="1"/>
  <c r="AD32" i="1"/>
  <c r="AT32" i="1" s="1"/>
  <c r="AY32" i="1" s="1"/>
  <c r="AD27" i="1"/>
  <c r="AI27" i="1" s="1"/>
  <c r="AN27" i="1" s="1"/>
  <c r="AD25" i="1"/>
  <c r="AS25" i="1" s="1"/>
  <c r="AD23" i="1"/>
  <c r="AT23" i="1" s="1"/>
  <c r="AD50" i="1"/>
  <c r="AT50" i="1" s="1"/>
  <c r="AY50" i="1" s="1"/>
  <c r="AD34" i="1"/>
  <c r="AT34" i="1" s="1"/>
  <c r="AY34" i="1" s="1"/>
  <c r="AD30" i="1"/>
  <c r="AS30" i="1" s="1"/>
  <c r="AD24" i="1"/>
  <c r="AE24" i="1" s="1"/>
  <c r="AG24" i="1" s="1"/>
  <c r="AD35" i="1"/>
  <c r="AE35" i="1" s="1"/>
  <c r="AG35" i="1" s="1"/>
  <c r="AD28" i="1"/>
  <c r="AT28" i="1" s="1"/>
  <c r="AD49" i="1"/>
  <c r="AI49" i="1" s="1"/>
  <c r="AN49" i="1" s="1"/>
  <c r="AD43" i="1"/>
  <c r="AI43" i="1" s="1"/>
  <c r="AN43" i="1" s="1"/>
  <c r="AD19" i="1"/>
  <c r="AE19" i="1" s="1"/>
  <c r="AG19" i="1" s="1"/>
  <c r="AD20" i="1"/>
  <c r="AS20" i="1" s="1"/>
  <c r="AD26" i="1"/>
  <c r="AT26" i="1" s="1"/>
  <c r="AY26" i="1" s="1"/>
  <c r="AD33" i="1"/>
  <c r="AT33" i="1" s="1"/>
  <c r="AY33" i="1" s="1"/>
  <c r="AR34" i="1"/>
  <c r="AE50" i="1"/>
  <c r="AG50" i="1" s="1"/>
  <c r="AR50" i="1"/>
  <c r="AT36" i="1"/>
  <c r="AY36" i="1" s="1"/>
  <c r="AI36" i="1"/>
  <c r="AN36" i="1" s="1"/>
  <c r="AR24" i="1"/>
  <c r="AR45" i="1"/>
  <c r="AT43" i="1"/>
  <c r="AY43" i="1" s="1"/>
  <c r="AI42" i="1"/>
  <c r="AN42" i="1" s="1"/>
  <c r="AE42" i="1"/>
  <c r="AG42" i="1" s="1"/>
  <c r="AE49" i="1"/>
  <c r="AG49" i="1" s="1"/>
  <c r="AT44" i="1"/>
  <c r="AY44" i="1" s="1"/>
  <c r="AE44" i="1"/>
  <c r="AG44" i="1" s="1"/>
  <c r="AI39" i="1"/>
  <c r="AN39" i="1" s="1"/>
  <c r="AT39" i="1"/>
  <c r="AY39" i="1" s="1"/>
  <c r="AR29" i="1"/>
  <c r="AI33" i="1"/>
  <c r="AN33" i="1" s="1"/>
  <c r="BF8" i="1"/>
  <c r="BF12" i="1"/>
  <c r="BF15" i="1"/>
  <c r="BF16" i="1"/>
  <c r="AD11" i="1"/>
  <c r="AE11" i="1" s="1"/>
  <c r="AG11" i="1" s="1"/>
  <c r="AD10" i="1"/>
  <c r="AE10" i="1" s="1"/>
  <c r="AG10" i="1" s="1"/>
  <c r="AD14" i="1"/>
  <c r="AE14" i="1" s="1"/>
  <c r="AG14" i="1" s="1"/>
  <c r="AD5" i="1"/>
  <c r="AE5" i="1" s="1"/>
  <c r="AG5" i="1" s="1"/>
  <c r="AD9" i="1"/>
  <c r="AS9" i="1" s="1"/>
  <c r="AD13" i="1"/>
  <c r="AE13" i="1" s="1"/>
  <c r="AG13" i="1" s="1"/>
  <c r="AD17" i="1"/>
  <c r="AT17" i="1" s="1"/>
  <c r="AD3" i="1"/>
  <c r="AE3" i="1" s="1"/>
  <c r="AG3" i="1" s="1"/>
  <c r="AD7" i="1"/>
  <c r="AE7" i="1" s="1"/>
  <c r="AG7" i="1" s="1"/>
  <c r="AD15" i="1"/>
  <c r="AI15" i="1" s="1"/>
  <c r="AD4" i="1"/>
  <c r="AE4" i="1" s="1"/>
  <c r="AG4" i="1" s="1"/>
  <c r="AD8" i="1"/>
  <c r="AI8" i="1" s="1"/>
  <c r="AD12" i="1"/>
  <c r="AE12" i="1" s="1"/>
  <c r="AG12" i="1" s="1"/>
  <c r="AD16" i="1"/>
  <c r="AE16" i="1" s="1"/>
  <c r="AG16" i="1" s="1"/>
  <c r="AD6" i="1"/>
  <c r="AE6" i="1" s="1"/>
  <c r="AG6" i="1" s="1"/>
  <c r="AD18" i="1"/>
  <c r="AT18" i="1" s="1"/>
  <c r="AE15" i="1"/>
  <c r="AG15" i="1" s="1"/>
  <c r="BF6" i="1"/>
  <c r="BF4" i="1"/>
  <c r="BF18" i="1"/>
  <c r="BF11" i="1"/>
  <c r="BF14" i="1"/>
  <c r="BA18" i="1"/>
  <c r="BD18" i="1" s="1"/>
  <c r="BA3" i="1"/>
  <c r="BA8" i="1"/>
  <c r="BD8" i="1" s="1"/>
  <c r="BA4" i="1"/>
  <c r="BD4" i="1" s="1"/>
  <c r="BA16" i="1"/>
  <c r="BD16" i="1" s="1"/>
  <c r="BA12" i="1"/>
  <c r="BD12" i="1" s="1"/>
  <c r="BB5" i="1"/>
  <c r="BE5" i="1" s="1"/>
  <c r="BB9" i="1"/>
  <c r="BE9" i="1" s="1"/>
  <c r="BB13" i="1"/>
  <c r="BE13" i="1" s="1"/>
  <c r="BB17" i="1"/>
  <c r="BE17" i="1" s="1"/>
  <c r="BB3" i="1"/>
  <c r="BB15" i="1"/>
  <c r="BE15" i="1" s="1"/>
  <c r="BB6" i="1"/>
  <c r="BE6" i="1" s="1"/>
  <c r="BB10" i="1"/>
  <c r="BE10" i="1" s="1"/>
  <c r="BB14" i="1"/>
  <c r="BE14" i="1" s="1"/>
  <c r="BB18" i="1"/>
  <c r="BE18" i="1" s="1"/>
  <c r="BB7" i="1"/>
  <c r="BE7" i="1" s="1"/>
  <c r="BB4" i="1"/>
  <c r="BE4" i="1" s="1"/>
  <c r="BB8" i="1"/>
  <c r="BE8" i="1" s="1"/>
  <c r="BB12" i="1"/>
  <c r="BE12" i="1" s="1"/>
  <c r="BB16" i="1"/>
  <c r="BE16" i="1" s="1"/>
  <c r="BB11" i="1"/>
  <c r="BE11" i="1" s="1"/>
  <c r="BA10" i="1"/>
  <c r="BD10" i="1" s="1"/>
  <c r="BA11" i="1"/>
  <c r="BD11" i="1" s="1"/>
  <c r="BA13" i="1"/>
  <c r="BD13" i="1" s="1"/>
  <c r="BF10" i="1"/>
  <c r="BA14" i="1"/>
  <c r="BD14" i="1" s="1"/>
  <c r="BA15" i="1"/>
  <c r="BD15" i="1" s="1"/>
  <c r="BA17" i="1"/>
  <c r="BD17" i="1" s="1"/>
  <c r="BA6" i="1"/>
  <c r="BD6" i="1" s="1"/>
  <c r="AU16" i="1"/>
  <c r="AW16" i="1" s="1"/>
  <c r="AU17" i="1"/>
  <c r="AU18" i="1"/>
  <c r="AW18" i="1" s="1"/>
  <c r="AU12" i="1"/>
  <c r="AW12" i="1" s="1"/>
  <c r="AU13" i="1"/>
  <c r="AW13" i="1" s="1"/>
  <c r="AU14" i="1"/>
  <c r="AW14" i="1" s="1"/>
  <c r="AU15" i="1"/>
  <c r="AU8" i="1"/>
  <c r="AW8" i="1" s="1"/>
  <c r="AU9" i="1"/>
  <c r="AW9" i="1" s="1"/>
  <c r="AU10" i="1"/>
  <c r="AW10" i="1" s="1"/>
  <c r="AU11" i="1"/>
  <c r="AW11" i="1" s="1"/>
  <c r="AU5" i="1"/>
  <c r="AW5" i="1" s="1"/>
  <c r="AU6" i="1"/>
  <c r="AW6" i="1" s="1"/>
  <c r="AU7" i="1"/>
  <c r="AW7" i="1" s="1"/>
  <c r="AU4" i="1"/>
  <c r="AW4" i="1" s="1"/>
  <c r="AJ5" i="1"/>
  <c r="AJ9" i="1"/>
  <c r="AJ13" i="1"/>
  <c r="AJ17" i="1"/>
  <c r="AL17" i="1" s="1"/>
  <c r="AJ8" i="1"/>
  <c r="AJ6" i="1"/>
  <c r="AJ10" i="1"/>
  <c r="AJ14" i="1"/>
  <c r="AJ18" i="1"/>
  <c r="AJ12" i="1"/>
  <c r="AJ7" i="1"/>
  <c r="AJ11" i="1"/>
  <c r="AJ15" i="1"/>
  <c r="AJ4" i="1"/>
  <c r="AJ16" i="1"/>
  <c r="B48" i="3"/>
  <c r="AY23" i="1" l="1"/>
  <c r="AY28" i="1"/>
  <c r="AN29" i="1"/>
  <c r="AE33" i="1"/>
  <c r="AG33" i="1" s="1"/>
  <c r="AI24" i="1"/>
  <c r="AN24" i="1" s="1"/>
  <c r="BF5" i="1"/>
  <c r="BC3" i="1"/>
  <c r="BF3" i="1"/>
  <c r="BF9" i="1"/>
  <c r="BF7" i="1"/>
  <c r="BF17" i="1"/>
  <c r="BF13" i="1"/>
  <c r="BD35" i="1"/>
  <c r="BG36" i="1"/>
  <c r="BG40" i="1"/>
  <c r="BG44" i="1"/>
  <c r="BG48" i="1"/>
  <c r="BG37" i="1"/>
  <c r="BG41" i="1"/>
  <c r="BG45" i="1"/>
  <c r="BG49" i="1"/>
  <c r="BG39" i="1"/>
  <c r="BG43" i="1"/>
  <c r="BG47" i="1"/>
  <c r="BG35" i="1"/>
  <c r="BG38" i="1"/>
  <c r="BG42" i="1"/>
  <c r="BG46" i="1"/>
  <c r="BG50" i="1"/>
  <c r="BF36" i="1"/>
  <c r="BF40" i="1"/>
  <c r="BF44" i="1"/>
  <c r="BF48" i="1"/>
  <c r="BF37" i="1"/>
  <c r="BF41" i="1"/>
  <c r="BF45" i="1"/>
  <c r="BF49" i="1"/>
  <c r="BF39" i="1"/>
  <c r="BF43" i="1"/>
  <c r="BF47" i="1"/>
  <c r="BF35" i="1"/>
  <c r="BF38" i="1"/>
  <c r="BF42" i="1"/>
  <c r="BC35" i="1"/>
  <c r="BF46" i="1"/>
  <c r="BF50" i="1"/>
  <c r="BD19" i="1"/>
  <c r="BG20" i="1"/>
  <c r="BG22" i="1"/>
  <c r="BG24" i="1"/>
  <c r="BG26" i="1"/>
  <c r="BG28" i="1"/>
  <c r="BG30" i="1"/>
  <c r="BG32" i="1"/>
  <c r="BG34" i="1"/>
  <c r="BG19" i="1"/>
  <c r="BG21" i="1"/>
  <c r="BG29" i="1"/>
  <c r="BG23" i="1"/>
  <c r="BG31" i="1"/>
  <c r="BG25" i="1"/>
  <c r="BG33" i="1"/>
  <c r="BG27" i="1"/>
  <c r="BH37" i="1"/>
  <c r="BH41" i="1"/>
  <c r="BH45" i="1"/>
  <c r="BH49" i="1"/>
  <c r="BH38" i="1"/>
  <c r="BH42" i="1"/>
  <c r="BH46" i="1"/>
  <c r="BH50" i="1"/>
  <c r="BH20" i="1"/>
  <c r="BH22" i="1"/>
  <c r="BH24" i="1"/>
  <c r="BH26" i="1"/>
  <c r="BH28" i="1"/>
  <c r="BH30" i="1"/>
  <c r="BH32" i="1"/>
  <c r="BH34" i="1"/>
  <c r="BH36" i="1"/>
  <c r="BH40" i="1"/>
  <c r="BH44" i="1"/>
  <c r="BH48" i="1"/>
  <c r="BH21" i="1"/>
  <c r="BH23" i="1"/>
  <c r="BH25" i="1"/>
  <c r="BH27" i="1"/>
  <c r="BH29" i="1"/>
  <c r="BH31" i="1"/>
  <c r="BH33" i="1"/>
  <c r="BH39" i="1"/>
  <c r="BE35" i="1"/>
  <c r="BH43" i="1"/>
  <c r="BH47" i="1"/>
  <c r="BH35" i="1"/>
  <c r="BH19" i="1"/>
  <c r="BF20" i="1"/>
  <c r="BF24" i="1"/>
  <c r="BF28" i="1"/>
  <c r="BF32" i="1"/>
  <c r="BF21" i="1"/>
  <c r="BF25" i="1"/>
  <c r="BF29" i="1"/>
  <c r="BF33" i="1"/>
  <c r="BF23" i="1"/>
  <c r="BF27" i="1"/>
  <c r="BF31" i="1"/>
  <c r="BF19" i="1"/>
  <c r="BF22" i="1"/>
  <c r="BF26" i="1"/>
  <c r="BC19" i="1"/>
  <c r="BF30" i="1"/>
  <c r="BF34" i="1"/>
  <c r="AE26" i="1"/>
  <c r="AG26" i="1" s="1"/>
  <c r="AI31" i="1"/>
  <c r="AN31" i="1" s="1"/>
  <c r="AT47" i="1"/>
  <c r="AY47" i="1" s="1"/>
  <c r="AI25" i="1"/>
  <c r="AN25" i="1" s="1"/>
  <c r="AT21" i="1"/>
  <c r="AY21" i="1" s="1"/>
  <c r="AI37" i="1"/>
  <c r="AN37" i="1" s="1"/>
  <c r="AE45" i="1"/>
  <c r="AG45" i="1" s="1"/>
  <c r="AH45" i="1" s="1"/>
  <c r="AM45" i="1" s="1"/>
  <c r="AE27" i="1"/>
  <c r="AG27" i="1" s="1"/>
  <c r="AH27" i="1" s="1"/>
  <c r="AI46" i="1"/>
  <c r="AN46" i="1" s="1"/>
  <c r="AE21" i="1"/>
  <c r="AG21" i="1" s="1"/>
  <c r="AH21" i="1" s="1"/>
  <c r="AE31" i="1"/>
  <c r="AG31" i="1" s="1"/>
  <c r="AH31" i="1" s="1"/>
  <c r="BI31" i="1" s="1"/>
  <c r="AE30" i="1"/>
  <c r="AG30" i="1" s="1"/>
  <c r="AH30" i="1" s="1"/>
  <c r="BI30" i="1" s="1"/>
  <c r="AE46" i="1"/>
  <c r="AG46" i="1" s="1"/>
  <c r="AH46" i="1" s="1"/>
  <c r="AI26" i="1"/>
  <c r="AN26" i="1" s="1"/>
  <c r="AE47" i="1"/>
  <c r="AG47" i="1" s="1"/>
  <c r="AH47" i="1" s="1"/>
  <c r="AT45" i="1"/>
  <c r="AY45" i="1" s="1"/>
  <c r="AI22" i="1"/>
  <c r="AN22" i="1" s="1"/>
  <c r="AE20" i="1"/>
  <c r="AG20" i="1" s="1"/>
  <c r="AH20" i="1" s="1"/>
  <c r="AT25" i="1"/>
  <c r="AY25" i="1" s="1"/>
  <c r="AT27" i="1"/>
  <c r="AY27" i="1" s="1"/>
  <c r="AI34" i="1"/>
  <c r="AN34" i="1" s="1"/>
  <c r="AE29" i="1"/>
  <c r="AG29" i="1" s="1"/>
  <c r="AH29" i="1" s="1"/>
  <c r="AT46" i="1"/>
  <c r="AY46" i="1" s="1"/>
  <c r="AT49" i="1"/>
  <c r="AY49" i="1" s="1"/>
  <c r="AE38" i="1"/>
  <c r="AG38" i="1" s="1"/>
  <c r="AH38" i="1" s="1"/>
  <c r="AI32" i="1"/>
  <c r="AN32" i="1" s="1"/>
  <c r="AE22" i="1"/>
  <c r="AG22" i="1" s="1"/>
  <c r="AH22" i="1" s="1"/>
  <c r="AE36" i="1"/>
  <c r="AG36" i="1" s="1"/>
  <c r="AH36" i="1" s="1"/>
  <c r="AE25" i="1"/>
  <c r="AG25" i="1" s="1"/>
  <c r="AH25" i="1" s="1"/>
  <c r="AE28" i="1"/>
  <c r="AG28" i="1" s="1"/>
  <c r="AH28" i="1" s="1"/>
  <c r="AH39" i="1"/>
  <c r="AM39" i="1" s="1"/>
  <c r="AH24" i="1"/>
  <c r="BK24" i="1" s="1"/>
  <c r="AH33" i="1"/>
  <c r="BI33" i="1" s="1"/>
  <c r="AH44" i="1"/>
  <c r="AX44" i="1" s="1"/>
  <c r="AH42" i="1"/>
  <c r="BJ42" i="1" s="1"/>
  <c r="AH50" i="1"/>
  <c r="AM50" i="1" s="1"/>
  <c r="AE37" i="1"/>
  <c r="AG37" i="1" s="1"/>
  <c r="AH37" i="1" s="1"/>
  <c r="AM37" i="1" s="1"/>
  <c r="AI50" i="1"/>
  <c r="AN50" i="1" s="1"/>
  <c r="AI23" i="1"/>
  <c r="AN23" i="1" s="1"/>
  <c r="AE32" i="1"/>
  <c r="AG32" i="1" s="1"/>
  <c r="AH32" i="1" s="1"/>
  <c r="AM32" i="1" s="1"/>
  <c r="AT24" i="1"/>
  <c r="AY24" i="1" s="1"/>
  <c r="AI20" i="1"/>
  <c r="AN20" i="1" s="1"/>
  <c r="AI41" i="1"/>
  <c r="AN41" i="1" s="1"/>
  <c r="AE34" i="1"/>
  <c r="AG34" i="1" s="1"/>
  <c r="AH34" i="1" s="1"/>
  <c r="AM34" i="1" s="1"/>
  <c r="AE48" i="1"/>
  <c r="AG48" i="1" s="1"/>
  <c r="AH48" i="1" s="1"/>
  <c r="BI48" i="1" s="1"/>
  <c r="AE41" i="1"/>
  <c r="AG41" i="1" s="1"/>
  <c r="AH41" i="1" s="1"/>
  <c r="BI41" i="1" s="1"/>
  <c r="AE23" i="1"/>
  <c r="AG23" i="1" s="1"/>
  <c r="AH23" i="1" s="1"/>
  <c r="BK23" i="1" s="1"/>
  <c r="AH49" i="1"/>
  <c r="BI49" i="1" s="1"/>
  <c r="AE43" i="1"/>
  <c r="AG43" i="1" s="1"/>
  <c r="AH43" i="1" s="1"/>
  <c r="AX43" i="1" s="1"/>
  <c r="AH26" i="1"/>
  <c r="BI26" i="1" s="1"/>
  <c r="AT41" i="1"/>
  <c r="AY41" i="1" s="1"/>
  <c r="AE40" i="1"/>
  <c r="AG40" i="1" s="1"/>
  <c r="AH40" i="1" s="1"/>
  <c r="BK40" i="1" s="1"/>
  <c r="AI38" i="1"/>
  <c r="AN38" i="1" s="1"/>
  <c r="AI28" i="1"/>
  <c r="AN28" i="1" s="1"/>
  <c r="AI48" i="1"/>
  <c r="AN48" i="1" s="1"/>
  <c r="AT40" i="1"/>
  <c r="AY40" i="1" s="1"/>
  <c r="BK33" i="1"/>
  <c r="AX33" i="1"/>
  <c r="AT29" i="1"/>
  <c r="AY29" i="1" s="1"/>
  <c r="AT20" i="1"/>
  <c r="AY20" i="1" s="1"/>
  <c r="AT30" i="1"/>
  <c r="AY30" i="1" s="1"/>
  <c r="AI30" i="1"/>
  <c r="AN30" i="1" s="1"/>
  <c r="AI9" i="1"/>
  <c r="AN9" i="1" s="1"/>
  <c r="AI18" i="1"/>
  <c r="AN18" i="1" s="1"/>
  <c r="AT15" i="1"/>
  <c r="AY15" i="1" s="1"/>
  <c r="AE18" i="1"/>
  <c r="AG18" i="1" s="1"/>
  <c r="AH18" i="1" s="1"/>
  <c r="AX18" i="1" s="1"/>
  <c r="AE9" i="1"/>
  <c r="AG9" i="1" s="1"/>
  <c r="AH9" i="1" s="1"/>
  <c r="AX9" i="1" s="1"/>
  <c r="AH15" i="1"/>
  <c r="AX15" i="1" s="1"/>
  <c r="AT9" i="1"/>
  <c r="AY9" i="1" s="1"/>
  <c r="AE17" i="1"/>
  <c r="AG17" i="1" s="1"/>
  <c r="AH17" i="1" s="1"/>
  <c r="AX17" i="1" s="1"/>
  <c r="AE8" i="1"/>
  <c r="AG8" i="1" s="1"/>
  <c r="AH8" i="1" s="1"/>
  <c r="AX8" i="1" s="1"/>
  <c r="AT6" i="1"/>
  <c r="AY6" i="1" s="1"/>
  <c r="AI6" i="1"/>
  <c r="AN6" i="1" s="1"/>
  <c r="AS4" i="1"/>
  <c r="AI4" i="1"/>
  <c r="AN4" i="1" s="1"/>
  <c r="AT4" i="1"/>
  <c r="AY4" i="1" s="1"/>
  <c r="AT5" i="1"/>
  <c r="AY5" i="1" s="1"/>
  <c r="AI5" i="1"/>
  <c r="AN5" i="1" s="1"/>
  <c r="AT11" i="1"/>
  <c r="AY11" i="1" s="1"/>
  <c r="AI11" i="1"/>
  <c r="AN11" i="1" s="1"/>
  <c r="AT16" i="1"/>
  <c r="AY16" i="1" s="1"/>
  <c r="AI16" i="1"/>
  <c r="AN16" i="1" s="1"/>
  <c r="AS14" i="1"/>
  <c r="AI14" i="1"/>
  <c r="AN14" i="1" s="1"/>
  <c r="AT14" i="1"/>
  <c r="AY14" i="1" s="1"/>
  <c r="AI12" i="1"/>
  <c r="AN12" i="1" s="1"/>
  <c r="AT12" i="1"/>
  <c r="AY12" i="1" s="1"/>
  <c r="AT13" i="1"/>
  <c r="AY13" i="1" s="1"/>
  <c r="AI13" i="1"/>
  <c r="AN13" i="1" s="1"/>
  <c r="AI10" i="1"/>
  <c r="AN10" i="1" s="1"/>
  <c r="AT10" i="1"/>
  <c r="AY10" i="1" s="1"/>
  <c r="AI17" i="1"/>
  <c r="AN17" i="1" s="1"/>
  <c r="AT7" i="1"/>
  <c r="AY7" i="1" s="1"/>
  <c r="AI7" i="1"/>
  <c r="AN7" i="1" s="1"/>
  <c r="AT8" i="1"/>
  <c r="AY8" i="1" s="1"/>
  <c r="BH5" i="1"/>
  <c r="BH16" i="1"/>
  <c r="BH14" i="1"/>
  <c r="BH8" i="1"/>
  <c r="BH13" i="1"/>
  <c r="BE3" i="1"/>
  <c r="BH10" i="1"/>
  <c r="BH4" i="1"/>
  <c r="BH11" i="1"/>
  <c r="BH6" i="1"/>
  <c r="BH3" i="1"/>
  <c r="BH17" i="1"/>
  <c r="BH9" i="1"/>
  <c r="BH18" i="1"/>
  <c r="BH12" i="1"/>
  <c r="BH15" i="1"/>
  <c r="BH7" i="1"/>
  <c r="BG3" i="1"/>
  <c r="BD3" i="1"/>
  <c r="BG7" i="1"/>
  <c r="BG9" i="1"/>
  <c r="BG16" i="1"/>
  <c r="BG8" i="1"/>
  <c r="BG14" i="1"/>
  <c r="BG6" i="1"/>
  <c r="BG17" i="1"/>
  <c r="BG11" i="1"/>
  <c r="BG12" i="1"/>
  <c r="BG4" i="1"/>
  <c r="BG5" i="1"/>
  <c r="BG15" i="1"/>
  <c r="BG13" i="1"/>
  <c r="BG18" i="1"/>
  <c r="BG10" i="1"/>
  <c r="AW15" i="1"/>
  <c r="AY18" i="1"/>
  <c r="AW17" i="1"/>
  <c r="AY17" i="1"/>
  <c r="AH11" i="1"/>
  <c r="AX11" i="1" s="1"/>
  <c r="AL7" i="1"/>
  <c r="AL13" i="1"/>
  <c r="AL4" i="1"/>
  <c r="AL12" i="1"/>
  <c r="AL6" i="1"/>
  <c r="AL9" i="1"/>
  <c r="AL10" i="1"/>
  <c r="AN15" i="1"/>
  <c r="AL15" i="1"/>
  <c r="AL18" i="1"/>
  <c r="AN8" i="1"/>
  <c r="AL8" i="1"/>
  <c r="AL5" i="1"/>
  <c r="AL16" i="1"/>
  <c r="AL11" i="1"/>
  <c r="AL14" i="1"/>
  <c r="AH16" i="1"/>
  <c r="AX16" i="1" s="1"/>
  <c r="AH13" i="1"/>
  <c r="AX13" i="1" s="1"/>
  <c r="AH4" i="1"/>
  <c r="AX4" i="1" s="1"/>
  <c r="AH10" i="1"/>
  <c r="AX10" i="1" s="1"/>
  <c r="AH12" i="1"/>
  <c r="AX12" i="1" s="1"/>
  <c r="AH6" i="1"/>
  <c r="AX6" i="1" s="1"/>
  <c r="AH5" i="1"/>
  <c r="AX5" i="1" s="1"/>
  <c r="AH14" i="1"/>
  <c r="AX14" i="1" s="1"/>
  <c r="AH7" i="1"/>
  <c r="AX7" i="1" s="1"/>
  <c r="BK37" i="1" l="1"/>
  <c r="BJ37" i="1"/>
  <c r="BK44" i="1"/>
  <c r="AX49" i="1"/>
  <c r="BK49" i="1"/>
  <c r="BI32" i="1"/>
  <c r="BK42" i="1"/>
  <c r="AM23" i="1"/>
  <c r="BJ23" i="1"/>
  <c r="AX50" i="1"/>
  <c r="BJ34" i="1"/>
  <c r="AX45" i="1"/>
  <c r="BJ49" i="1"/>
  <c r="BI39" i="1"/>
  <c r="AX42" i="1"/>
  <c r="AM48" i="1"/>
  <c r="AM49" i="1"/>
  <c r="BJ39" i="1"/>
  <c r="BJ27" i="1"/>
  <c r="AM27" i="1"/>
  <c r="BJ22" i="1"/>
  <c r="BI22" i="1"/>
  <c r="AX22" i="1"/>
  <c r="AM22" i="1"/>
  <c r="BJ47" i="1"/>
  <c r="BI47" i="1"/>
  <c r="BK48" i="1"/>
  <c r="AX26" i="1"/>
  <c r="BJ50" i="1"/>
  <c r="BI45" i="1"/>
  <c r="BI42" i="1"/>
  <c r="BJ48" i="1"/>
  <c r="AX39" i="1"/>
  <c r="BK39" i="1"/>
  <c r="BK31" i="1"/>
  <c r="AM30" i="1"/>
  <c r="AM42" i="1"/>
  <c r="AX48" i="1"/>
  <c r="BJ32" i="1"/>
  <c r="AM40" i="1"/>
  <c r="BJ28" i="1"/>
  <c r="AM28" i="1"/>
  <c r="BK28" i="1"/>
  <c r="AX28" i="1"/>
  <c r="BI28" i="1"/>
  <c r="AM29" i="1"/>
  <c r="BI29" i="1"/>
  <c r="AX29" i="1"/>
  <c r="BJ29" i="1"/>
  <c r="BK29" i="1"/>
  <c r="BI20" i="1"/>
  <c r="BK20" i="1"/>
  <c r="AM20" i="1"/>
  <c r="BJ20" i="1"/>
  <c r="AX20" i="1"/>
  <c r="BK21" i="1"/>
  <c r="AM21" i="1"/>
  <c r="BJ25" i="1"/>
  <c r="BK25" i="1"/>
  <c r="BJ38" i="1"/>
  <c r="BI38" i="1"/>
  <c r="BI46" i="1"/>
  <c r="AX46" i="1"/>
  <c r="BJ46" i="1"/>
  <c r="AM46" i="1"/>
  <c r="BK46" i="1"/>
  <c r="BK36" i="1"/>
  <c r="BI36" i="1"/>
  <c r="AM36" i="1"/>
  <c r="BJ36" i="1"/>
  <c r="AX36" i="1"/>
  <c r="BK34" i="1"/>
  <c r="BJ44" i="1"/>
  <c r="BK30" i="1"/>
  <c r="AM47" i="1"/>
  <c r="BK47" i="1"/>
  <c r="AX23" i="1"/>
  <c r="BI27" i="1"/>
  <c r="AM31" i="1"/>
  <c r="BJ31" i="1"/>
  <c r="BK26" i="1"/>
  <c r="BJ40" i="1"/>
  <c r="AX34" i="1"/>
  <c r="BI34" i="1"/>
  <c r="AM44" i="1"/>
  <c r="BI44" i="1"/>
  <c r="BJ30" i="1"/>
  <c r="BK22" i="1"/>
  <c r="AX47" i="1"/>
  <c r="AX37" i="1"/>
  <c r="BI37" i="1"/>
  <c r="BI23" i="1"/>
  <c r="BJ33" i="1"/>
  <c r="BK27" i="1"/>
  <c r="AX31" i="1"/>
  <c r="AX32" i="1"/>
  <c r="BK32" i="1"/>
  <c r="BJ26" i="1"/>
  <c r="BI40" i="1"/>
  <c r="BK41" i="1"/>
  <c r="AX30" i="1"/>
  <c r="BI24" i="1"/>
  <c r="AM33" i="1"/>
  <c r="AX27" i="1"/>
  <c r="AM26" i="1"/>
  <c r="AX40" i="1"/>
  <c r="BJ41" i="1"/>
  <c r="AM25" i="1"/>
  <c r="BI25" i="1"/>
  <c r="BK45" i="1"/>
  <c r="AX38" i="1"/>
  <c r="BJ21" i="1"/>
  <c r="AX24" i="1"/>
  <c r="BI50" i="1"/>
  <c r="AM41" i="1"/>
  <c r="AX25" i="1"/>
  <c r="BJ45" i="1"/>
  <c r="BK38" i="1"/>
  <c r="AX21" i="1"/>
  <c r="BI21" i="1"/>
  <c r="BJ24" i="1"/>
  <c r="BK50" i="1"/>
  <c r="AM38" i="1"/>
  <c r="AM24" i="1"/>
  <c r="AX41" i="1"/>
  <c r="BK43" i="1"/>
  <c r="BI43" i="1"/>
  <c r="BJ43" i="1"/>
  <c r="AM43" i="1"/>
  <c r="BI15" i="1"/>
  <c r="BJ15" i="1"/>
  <c r="AM15" i="1"/>
  <c r="BK15" i="1"/>
  <c r="BK11" i="1"/>
  <c r="AM11" i="1"/>
  <c r="BI11" i="1"/>
  <c r="BJ11" i="1"/>
  <c r="BJ6" i="1"/>
  <c r="BK6" i="1"/>
  <c r="BJ4" i="1"/>
  <c r="BK4" i="1"/>
  <c r="BK5" i="1"/>
  <c r="BJ5" i="1"/>
  <c r="BK17" i="1"/>
  <c r="BJ17" i="1"/>
  <c r="BK13" i="1"/>
  <c r="BJ13" i="1"/>
  <c r="BJ8" i="1"/>
  <c r="BK8" i="1"/>
  <c r="BJ12" i="1"/>
  <c r="BK12" i="1"/>
  <c r="BJ18" i="1"/>
  <c r="BK18" i="1"/>
  <c r="BK14" i="1"/>
  <c r="BJ14" i="1"/>
  <c r="BK7" i="1"/>
  <c r="BJ7" i="1"/>
  <c r="BK9" i="1"/>
  <c r="BJ9" i="1"/>
  <c r="BJ10" i="1"/>
  <c r="BK10" i="1"/>
  <c r="BJ16" i="1"/>
  <c r="BK16" i="1"/>
  <c r="AM7" i="1"/>
  <c r="BI7" i="1"/>
  <c r="AM9" i="1"/>
  <c r="BI9" i="1"/>
  <c r="AM10" i="1"/>
  <c r="BI10" i="1"/>
  <c r="AM16" i="1"/>
  <c r="BI16" i="1"/>
  <c r="AM14" i="1"/>
  <c r="BI14" i="1"/>
  <c r="AM6" i="1"/>
  <c r="BI6" i="1"/>
  <c r="AM4" i="1"/>
  <c r="BI4" i="1"/>
  <c r="AM5" i="1"/>
  <c r="BI5" i="1"/>
  <c r="AM17" i="1"/>
  <c r="BI17" i="1"/>
  <c r="AM13" i="1"/>
  <c r="BI13" i="1"/>
  <c r="AM8" i="1"/>
  <c r="BI8" i="1"/>
  <c r="AM12" i="1"/>
  <c r="BI12" i="1"/>
  <c r="AM18" i="1"/>
  <c r="BI18" i="1"/>
</calcChain>
</file>

<file path=xl/comments1.xml><?xml version="1.0" encoding="utf-8"?>
<comments xmlns="http://schemas.openxmlformats.org/spreadsheetml/2006/main">
  <authors>
    <author>Ranjit</author>
  </authors>
  <commentList>
    <comment ref="BW1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This assumes that all electricity is generated by existing generators
</t>
        </r>
      </text>
    </comment>
    <comment ref="BA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B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D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E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G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H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J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  <comment ref="BK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revise based on India coal numbers
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This aligns with CERC's USD 22.4/kW
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This aligns with CERC's USD 22.4/kW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Slightly lower than CERC's 7920. But there are some plants in CERC's reg that have heat rates as low as 7300 Btu/kWh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sharedStrings.xml><?xml version="1.0" encoding="utf-8"?>
<sst xmlns="http://schemas.openxmlformats.org/spreadsheetml/2006/main" count="436" uniqueCount="198">
  <si>
    <t>ann_gen_coal_MWh</t>
  </si>
  <si>
    <t>ann_gen_diesel_MWh</t>
  </si>
  <si>
    <t>ann_gen_gas_ccgt_MWh</t>
  </si>
  <si>
    <t>ann_gen_gas_ct_MWh</t>
  </si>
  <si>
    <t>ann_gen_hydro_MWh</t>
  </si>
  <si>
    <t>ann_gen_nuclear_MWh</t>
  </si>
  <si>
    <t>ann_gen_other_MWh</t>
  </si>
  <si>
    <t>ann_gen_solarPV_MWh</t>
  </si>
  <si>
    <t>ann_gen_total_MWh</t>
  </si>
  <si>
    <t>ann_gen_vre_MWh</t>
  </si>
  <si>
    <t>ann_gen_vre_nocurt_MWh</t>
  </si>
  <si>
    <t>ann_gen_wind_MWh</t>
  </si>
  <si>
    <t>capacity_solarPV_MW</t>
  </si>
  <si>
    <t>capacity_vre_MW</t>
  </si>
  <si>
    <t>capacity_wind_MW</t>
  </si>
  <si>
    <t>date_time</t>
  </si>
  <si>
    <t>dispatch_cost</t>
  </si>
  <si>
    <t>new_capacity_coal_MW</t>
  </si>
  <si>
    <t>new_capacity_gas_ccgt_MW</t>
  </si>
  <si>
    <t>new_capacity_gas_ct_MW</t>
  </si>
  <si>
    <t>scenario</t>
  </si>
  <si>
    <t>S600W0</t>
  </si>
  <si>
    <t>S450W150</t>
  </si>
  <si>
    <t>S300W300</t>
  </si>
  <si>
    <t>S150W450</t>
  </si>
  <si>
    <t>S0W600</t>
  </si>
  <si>
    <t>S0W0</t>
  </si>
  <si>
    <t>S0W200</t>
  </si>
  <si>
    <t>S50W150</t>
  </si>
  <si>
    <t>S100W100</t>
  </si>
  <si>
    <t>S150W50</t>
  </si>
  <si>
    <t>S200W0</t>
  </si>
  <si>
    <t>S0W400</t>
  </si>
  <si>
    <t>S100W300</t>
  </si>
  <si>
    <t>S200W200</t>
  </si>
  <si>
    <t>S300W100</t>
  </si>
  <si>
    <t>S400W0</t>
  </si>
  <si>
    <t>Financial parameters</t>
  </si>
  <si>
    <t>Renewables</t>
  </si>
  <si>
    <t>Capital cost (USD/kW)</t>
  </si>
  <si>
    <t>Wind</t>
  </si>
  <si>
    <t>Solar PV</t>
  </si>
  <si>
    <t>Discount Factor</t>
  </si>
  <si>
    <t>Plant Life (yrs)</t>
  </si>
  <si>
    <t>O&amp;M (USD/kW)</t>
  </si>
  <si>
    <t>CRF</t>
  </si>
  <si>
    <t>Annualized cost (USD/kW/year)</t>
  </si>
  <si>
    <t>Screening curves</t>
  </si>
  <si>
    <t>INR per USD</t>
  </si>
  <si>
    <t>lbs per kg</t>
  </si>
  <si>
    <t>GJ per MMBTU</t>
  </si>
  <si>
    <t>Btu per kcal</t>
  </si>
  <si>
    <t>Fuel cost (Rangan's article)</t>
  </si>
  <si>
    <t>Coal (INR/GJ)</t>
  </si>
  <si>
    <t>Coal (USD/GJ)</t>
  </si>
  <si>
    <t>Coal Calorific value (kcal/kg)</t>
  </si>
  <si>
    <t>Coal Calorific value (GJ/tonne)</t>
  </si>
  <si>
    <t>Coal (INR/tonne)</t>
  </si>
  <si>
    <t>Coal (USD/tonne)</t>
  </si>
  <si>
    <t>Coal (kg/kWh)</t>
  </si>
  <si>
    <t>0.61 - IESS coal and gas power stations GoI</t>
  </si>
  <si>
    <t>Coal (kcal/kWh)</t>
  </si>
  <si>
    <t>CERC 2014</t>
  </si>
  <si>
    <t>NG (INR/GJ)</t>
  </si>
  <si>
    <t>NG (USD/GJ)</t>
  </si>
  <si>
    <t>LNG (USD/MMBTU) - FERC</t>
  </si>
  <si>
    <t>FERC - 5.57 landed in India - https://www.ferc.gov/market-oversight/mkt-gas/overview/ngas-ovr-lng-wld-pr-est.pdf</t>
  </si>
  <si>
    <t>12.7 - Indonesian LNG in Japan - source IMF - Quarterly average from 2014 Q1 to 2016 Q2 ; 10.7 - Indonesian LNG in Japan - IMF - average of medium term commodity baseline that includes past baseline data from 2009 to 2016, and future projections till 2021</t>
  </si>
  <si>
    <t>NG heat rate - CT (kcal/kWh)</t>
  </si>
  <si>
    <t>CERC 2014 average</t>
  </si>
  <si>
    <t>NG heat rate - CCGT (kcal/kWh)</t>
  </si>
  <si>
    <t>NG heat rate - CT (Btu/kWh)</t>
  </si>
  <si>
    <t>B&amp;V average</t>
  </si>
  <si>
    <t>NG heat rate - CCGT (Btu/kWh)</t>
  </si>
  <si>
    <t>source: http://cercind.gov.in/2014/regulation/reg21.pdf</t>
  </si>
  <si>
    <t>source: B&amp;V 2012</t>
  </si>
  <si>
    <t>CT</t>
  </si>
  <si>
    <t>CCGT</t>
  </si>
  <si>
    <t>Coal</t>
  </si>
  <si>
    <t>source</t>
  </si>
  <si>
    <t>B&amp;V - 2890 coal cost is too high</t>
  </si>
  <si>
    <t>Capital cost (INR/kW)</t>
  </si>
  <si>
    <t>Fixed O&amp;M (USD/kW-y)</t>
  </si>
  <si>
    <t>Fixed O&amp;M (INR/kW-y)</t>
  </si>
  <si>
    <t>Variable O&amp;M (USD/MWh)</t>
  </si>
  <si>
    <t>Variable O&amp;M (INR/MWh)</t>
  </si>
  <si>
    <t>Heat Rate (Btu/kWh)</t>
  </si>
  <si>
    <t>B&amp;V</t>
  </si>
  <si>
    <t>Minimum load</t>
  </si>
  <si>
    <t>CERC</t>
  </si>
  <si>
    <t>Emissions CO2 (lbs/mmbtu)</t>
  </si>
  <si>
    <t>Emissions SO2 (lbs/mmbtu)</t>
  </si>
  <si>
    <t>Emissions Nox (lbs/mmbtu)</t>
  </si>
  <si>
    <t>PM10 (lbs/mmbtu)</t>
  </si>
  <si>
    <t>Emissions CO2 (tonnes/MWh)</t>
  </si>
  <si>
    <t>Emissions SO2 (kg/MWh)</t>
  </si>
  <si>
    <t>Emissions Nox (kg/MWh)</t>
  </si>
  <si>
    <t>PM10 (kg/MWh)</t>
  </si>
  <si>
    <t>Auxillary consumption</t>
  </si>
  <si>
    <t>Discount rate</t>
  </si>
  <si>
    <t>Plant life</t>
  </si>
  <si>
    <t>Annualized fixed costs (USD/kW-y)</t>
  </si>
  <si>
    <t>Annualized fixed costs (INR/kW-y)</t>
  </si>
  <si>
    <t>Variable cost (USD/MWh)</t>
  </si>
  <si>
    <t>Variable cost (INR/MWh)</t>
  </si>
  <si>
    <t>Breakeven Capacity Factor</t>
  </si>
  <si>
    <t>new_coal</t>
  </si>
  <si>
    <t>new_ccgt</t>
  </si>
  <si>
    <t>new_ct</t>
  </si>
  <si>
    <t>solarPV</t>
  </si>
  <si>
    <t>wind</t>
  </si>
  <si>
    <t>Annualized cost (million USD/y)</t>
  </si>
  <si>
    <t>dispatch</t>
  </si>
  <si>
    <t>Rank</t>
  </si>
  <si>
    <t>total_fixed</t>
  </si>
  <si>
    <t>VRE</t>
  </si>
  <si>
    <t>VRE cost</t>
  </si>
  <si>
    <t>VRE overall cost</t>
  </si>
  <si>
    <t>Difference from S0W0 (-ve is value, +ve is cost)</t>
  </si>
  <si>
    <t>Capacity value</t>
  </si>
  <si>
    <t>Energy value</t>
  </si>
  <si>
    <t>VRE overall cost check</t>
  </si>
  <si>
    <t>solar PV</t>
  </si>
  <si>
    <t>Curtailment</t>
  </si>
  <si>
    <t>VRE curtailment (%)</t>
  </si>
  <si>
    <t>CO2</t>
  </si>
  <si>
    <t>SO2</t>
  </si>
  <si>
    <t>NOx</t>
  </si>
  <si>
    <t>Diesel</t>
  </si>
  <si>
    <t>Total Emissions (million tonnes/year)</t>
  </si>
  <si>
    <t>Emissions reduction (%)</t>
  </si>
  <si>
    <t>VRE share (with curtailment)</t>
  </si>
  <si>
    <t>Cost of mitigation (USD/tonne)</t>
  </si>
  <si>
    <t>Conventional Gen PLFs</t>
  </si>
  <si>
    <t>coal</t>
  </si>
  <si>
    <t>ccgt</t>
  </si>
  <si>
    <t>ct</t>
  </si>
  <si>
    <t>Existing conventional</t>
  </si>
  <si>
    <t>Other</t>
  </si>
  <si>
    <t>MW</t>
  </si>
  <si>
    <t>Share of total generation</t>
  </si>
  <si>
    <t>hydro</t>
  </si>
  <si>
    <t>nuclear</t>
  </si>
  <si>
    <t>diesel</t>
  </si>
  <si>
    <t>other</t>
  </si>
  <si>
    <t>vre</t>
  </si>
  <si>
    <t>Conventional PLF based on existing capacity</t>
  </si>
  <si>
    <t xml:space="preserve">Emissions per unit of generation </t>
  </si>
  <si>
    <t>CO2 (kg/kWh)</t>
  </si>
  <si>
    <t>SO2 (g/kWh)</t>
  </si>
  <si>
    <t>Nox (g/kWh)</t>
  </si>
  <si>
    <t>Total value</t>
  </si>
  <si>
    <t>Cost per RE generation uncurtailed (USD/MWh) Note - VRE UNCURTAILED</t>
  </si>
  <si>
    <r>
      <t xml:space="preserve">Cost per RE generation (curtailed) (USD/MWh) </t>
    </r>
    <r>
      <rPr>
        <b/>
        <sz val="11"/>
        <color theme="1"/>
        <rFont val="Calibri"/>
        <family val="2"/>
        <scheme val="minor"/>
      </rPr>
      <t>USE THESE NUMBERS</t>
    </r>
  </si>
  <si>
    <t>total_cost</t>
  </si>
  <si>
    <t>VRE capacity value</t>
  </si>
  <si>
    <t>(Conventional MW avoided)</t>
  </si>
  <si>
    <t>technology</t>
  </si>
  <si>
    <t>High Coal</t>
  </si>
  <si>
    <t>Low Coal</t>
  </si>
  <si>
    <t>hydro_storage</t>
  </si>
  <si>
    <t>hydro_pondage</t>
  </si>
  <si>
    <t>hydro_ror</t>
  </si>
  <si>
    <t>gas_ct</t>
  </si>
  <si>
    <t>gas_ccgt</t>
  </si>
  <si>
    <t>capacity_MW</t>
  </si>
  <si>
    <t>co2_tonnes_mwh</t>
  </si>
  <si>
    <t>Diesel (See HR spreadsheet and http://blueskymodel.org/kilowatt-hour)</t>
  </si>
  <si>
    <t>10% reduction</t>
  </si>
  <si>
    <t>20% reduction</t>
  </si>
  <si>
    <t>0 GW</t>
  </si>
  <si>
    <t>0-0</t>
  </si>
  <si>
    <t>high_coal_cost</t>
  </si>
  <si>
    <t>200 GW</t>
  </si>
  <si>
    <t>0-100</t>
  </si>
  <si>
    <t>25-75</t>
  </si>
  <si>
    <t>50-50</t>
  </si>
  <si>
    <t>75-25</t>
  </si>
  <si>
    <t>100-0</t>
  </si>
  <si>
    <t>400 GW</t>
  </si>
  <si>
    <t>600 GW</t>
  </si>
  <si>
    <t>all_coal</t>
  </si>
  <si>
    <t>low_coal_cost</t>
  </si>
  <si>
    <t>cost_type</t>
  </si>
  <si>
    <t>capital</t>
  </si>
  <si>
    <t>coalHC</t>
  </si>
  <si>
    <t>coalLC</t>
  </si>
  <si>
    <t>coalLC_solarLC20p</t>
  </si>
  <si>
    <t>coalLC_windLC20p</t>
  </si>
  <si>
    <t>om</t>
  </si>
  <si>
    <t>hours</t>
  </si>
  <si>
    <t>Breakeven Capacity Factor-only coal CT</t>
  </si>
  <si>
    <t>Low Cost Coal</t>
  </si>
  <si>
    <t>hour</t>
  </si>
  <si>
    <t>value</t>
  </si>
  <si>
    <t>CCGT-LNG</t>
  </si>
  <si>
    <t>CT-LNG</t>
  </si>
  <si>
    <t>High Cost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</si>
</sst>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22" fontId="0" fillId="0" borderId="0" xfId="0" applyNumberForma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0" fontId="16" fillId="0" borderId="0" xfId="0" applyNumberFormat="1" applyFont="1"/>
    <xf numFmtId="164" fontId="18" fillId="0" borderId="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0" fillId="33" borderId="0" xfId="0" applyFill="1"/>
    <xf numFmtId="11" fontId="0" fillId="33" borderId="0" xfId="0" applyNumberFormat="1" applyFill="1"/>
    <xf numFmtId="1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1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1" fontId="0" fillId="35" borderId="0" xfId="0" applyNumberFormat="1" applyFill="1"/>
    <xf numFmtId="165" fontId="0" fillId="35" borderId="0" xfId="0" applyNumberFormat="1" applyFill="1"/>
    <xf numFmtId="9" fontId="0" fillId="33" borderId="0" xfId="1" applyFont="1" applyFill="1"/>
    <xf numFmtId="10" fontId="0" fillId="0" borderId="0" xfId="1" applyNumberFormat="1" applyFont="1"/>
    <xf numFmtId="0" fontId="0" fillId="0" borderId="0" xfId="0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curve'!$B$3</c:f>
              <c:strCache>
                <c:ptCount val="1"/>
                <c:pt idx="0">
                  <c:v>coal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'screening curve'!$A$4:$A$7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8760</c:v>
                </c:pt>
              </c:numCache>
            </c:numRef>
          </c:xVal>
          <c:yVal>
            <c:numRef>
              <c:f>'screening curve'!$B$4:$B$7</c:f>
              <c:numCache>
                <c:formatCode>0</c:formatCode>
                <c:ptCount val="4"/>
                <c:pt idx="0">
                  <c:v>140010.0939222491</c:v>
                </c:pt>
                <c:pt idx="1">
                  <c:v>173153.5830564333</c:v>
                </c:pt>
                <c:pt idx="2">
                  <c:v>272584.0504589859</c:v>
                </c:pt>
                <c:pt idx="3">
                  <c:v>430347.05873770267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'screening curve'!$C$3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'screening curve'!$A$4:$A$7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8760</c:v>
                </c:pt>
              </c:numCache>
            </c:numRef>
          </c:xVal>
          <c:yVal>
            <c:numRef>
              <c:f>'screening curve'!$C$4:$C$7</c:f>
              <c:numCache>
                <c:formatCode>0</c:formatCode>
                <c:ptCount val="4"/>
                <c:pt idx="0">
                  <c:v>150232.4155243664</c:v>
                </c:pt>
                <c:pt idx="1">
                  <c:v>241037.89039616127</c:v>
                </c:pt>
                <c:pt idx="2">
                  <c:v>513454.3150115459</c:v>
                </c:pt>
                <c:pt idx="3">
                  <c:v>945688.37540128955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'screening curve'!$D$3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'screening curve'!$A$4:$A$7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8760</c:v>
                </c:pt>
              </c:numCache>
            </c:numRef>
          </c:xVal>
          <c:yVal>
            <c:numRef>
              <c:f>'screening curve'!$D$4:$D$7</c:f>
              <c:numCache>
                <c:formatCode>0</c:formatCode>
                <c:ptCount val="4"/>
                <c:pt idx="0">
                  <c:v>81316.561049461903</c:v>
                </c:pt>
                <c:pt idx="1">
                  <c:v>240102.42670602753</c:v>
                </c:pt>
                <c:pt idx="2">
                  <c:v>716460.02367572451</c:v>
                </c:pt>
                <c:pt idx="3">
                  <c:v>1472280.7442009768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5360"/>
        <c:axId val="457695752"/>
      </c:scatterChart>
      <c:valAx>
        <c:axId val="4576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5752"/>
        <c:crosses val="autoZero"/>
        <c:crossBetween val="midCat"/>
      </c:valAx>
      <c:valAx>
        <c:axId val="4576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4762</xdr:rowOff>
    </xdr:from>
    <xdr:to>
      <xdr:col>15</xdr:col>
      <xdr:colOff>461962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50"/>
  <sheetViews>
    <sheetView tabSelected="1" topLeftCell="M1" workbookViewId="0">
      <selection activeCell="O8" sqref="O8"/>
    </sheetView>
  </sheetViews>
  <sheetFormatPr defaultRowHeight="15" x14ac:dyDescent="0.25"/>
  <cols>
    <col min="1" max="1" width="19.140625" bestFit="1" customWidth="1"/>
    <col min="2" max="2" width="21" bestFit="1" customWidth="1"/>
    <col min="3" max="3" width="23" bestFit="1" customWidth="1"/>
    <col min="4" max="4" width="21" bestFit="1" customWidth="1"/>
    <col min="5" max="5" width="20.7109375" bestFit="1" customWidth="1"/>
    <col min="6" max="6" width="22.28515625" bestFit="1" customWidth="1"/>
    <col min="7" max="7" width="20.42578125" bestFit="1" customWidth="1"/>
    <col min="8" max="8" width="22.42578125" bestFit="1" customWidth="1"/>
    <col min="9" max="9" width="19.7109375" bestFit="1" customWidth="1"/>
    <col min="10" max="10" width="18.42578125" bestFit="1" customWidth="1"/>
    <col min="11" max="11" width="25.28515625" bestFit="1" customWidth="1"/>
    <col min="12" max="12" width="20" bestFit="1" customWidth="1"/>
    <col min="13" max="13" width="20.7109375" bestFit="1" customWidth="1"/>
    <col min="14" max="14" width="16.7109375" bestFit="1" customWidth="1"/>
    <col min="15" max="15" width="18.42578125" bestFit="1" customWidth="1"/>
    <col min="16" max="16" width="15.85546875" bestFit="1" customWidth="1"/>
    <col min="17" max="17" width="13.140625" bestFit="1" customWidth="1"/>
    <col min="18" max="18" width="22.5703125" bestFit="1" customWidth="1"/>
    <col min="19" max="19" width="26.42578125" bestFit="1" customWidth="1"/>
    <col min="20" max="20" width="24.42578125" bestFit="1" customWidth="1"/>
    <col min="21" max="21" width="9.85546875" bestFit="1" customWidth="1"/>
    <col min="22" max="25" width="9.85546875" customWidth="1"/>
    <col min="32" max="32" width="8.5703125" bestFit="1" customWidth="1"/>
    <col min="34" max="34" width="20.7109375" bestFit="1" customWidth="1"/>
    <col min="37" max="37" width="12" bestFit="1" customWidth="1"/>
    <col min="38" max="38" width="12" customWidth="1"/>
    <col min="39" max="39" width="15.140625" bestFit="1" customWidth="1"/>
    <col min="40" max="40" width="20.7109375" bestFit="1" customWidth="1"/>
    <col min="41" max="41" width="26.85546875" bestFit="1" customWidth="1"/>
    <col min="42" max="43" width="20.7109375" customWidth="1"/>
    <col min="44" max="44" width="8.42578125" customWidth="1"/>
    <col min="45" max="45" width="5.42578125" bestFit="1" customWidth="1"/>
    <col min="46" max="46" width="4.5703125" bestFit="1" customWidth="1"/>
    <col min="47" max="47" width="13.85546875" bestFit="1" customWidth="1"/>
    <col min="48" max="48" width="12.28515625" bestFit="1" customWidth="1"/>
    <col min="49" max="49" width="10.7109375" bestFit="1" customWidth="1"/>
    <col min="50" max="50" width="15.140625" bestFit="1" customWidth="1"/>
    <col min="51" max="51" width="17.42578125" customWidth="1"/>
    <col min="52" max="52" width="11" customWidth="1"/>
    <col min="53" max="53" width="10.7109375" customWidth="1"/>
    <col min="54" max="56" width="12.7109375" customWidth="1"/>
    <col min="57" max="57" width="15.140625" customWidth="1"/>
    <col min="63" max="63" width="11" customWidth="1"/>
    <col min="72" max="72" width="12" bestFit="1" customWidth="1"/>
    <col min="75" max="75" width="19" customWidth="1"/>
    <col min="76" max="76" width="20.42578125" customWidth="1"/>
  </cols>
  <sheetData>
    <row r="1" spans="1:76" x14ac:dyDescent="0.25">
      <c r="Z1" t="s">
        <v>111</v>
      </c>
      <c r="AF1">
        <v>65</v>
      </c>
      <c r="AI1" t="s">
        <v>153</v>
      </c>
      <c r="AO1" t="s">
        <v>131</v>
      </c>
      <c r="AP1" t="s">
        <v>123</v>
      </c>
      <c r="AQ1" t="s">
        <v>155</v>
      </c>
      <c r="AR1" t="s">
        <v>152</v>
      </c>
      <c r="AZ1" t="s">
        <v>129</v>
      </c>
      <c r="BC1" t="s">
        <v>147</v>
      </c>
      <c r="BF1" t="s">
        <v>130</v>
      </c>
      <c r="BI1" t="s">
        <v>132</v>
      </c>
      <c r="BL1" t="s">
        <v>133</v>
      </c>
      <c r="BO1" t="s">
        <v>140</v>
      </c>
      <c r="BW1" t="s">
        <v>146</v>
      </c>
    </row>
    <row r="2" spans="1:7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113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114</v>
      </c>
      <c r="AF2" t="s">
        <v>112</v>
      </c>
      <c r="AG2" t="s">
        <v>154</v>
      </c>
      <c r="AH2" t="s">
        <v>118</v>
      </c>
      <c r="AI2" t="s">
        <v>116</v>
      </c>
      <c r="AJ2" t="s">
        <v>119</v>
      </c>
      <c r="AK2" t="s">
        <v>120</v>
      </c>
      <c r="AL2" t="s">
        <v>151</v>
      </c>
      <c r="AM2" t="s">
        <v>117</v>
      </c>
      <c r="AN2" t="s">
        <v>121</v>
      </c>
      <c r="AP2" t="s">
        <v>124</v>
      </c>
      <c r="AQ2" t="s">
        <v>156</v>
      </c>
      <c r="AR2" t="s">
        <v>122</v>
      </c>
      <c r="AS2" t="s">
        <v>110</v>
      </c>
      <c r="AT2" t="s">
        <v>115</v>
      </c>
      <c r="AU2" t="s">
        <v>119</v>
      </c>
      <c r="AV2" t="s">
        <v>120</v>
      </c>
      <c r="AW2" t="s">
        <v>151</v>
      </c>
      <c r="AX2" t="s">
        <v>117</v>
      </c>
      <c r="AY2" t="s">
        <v>121</v>
      </c>
      <c r="AZ2" t="s">
        <v>125</v>
      </c>
      <c r="BA2" t="s">
        <v>126</v>
      </c>
      <c r="BB2" t="s">
        <v>127</v>
      </c>
      <c r="BC2" t="s">
        <v>148</v>
      </c>
      <c r="BD2" t="s">
        <v>149</v>
      </c>
      <c r="BE2" t="s">
        <v>150</v>
      </c>
      <c r="BF2" t="s">
        <v>125</v>
      </c>
      <c r="BG2" t="s">
        <v>126</v>
      </c>
      <c r="BH2" t="s">
        <v>127</v>
      </c>
      <c r="BI2" t="s">
        <v>125</v>
      </c>
      <c r="BJ2" t="s">
        <v>126</v>
      </c>
      <c r="BK2" t="s">
        <v>127</v>
      </c>
      <c r="BL2" t="s">
        <v>134</v>
      </c>
      <c r="BM2" t="s">
        <v>135</v>
      </c>
      <c r="BN2" t="s">
        <v>136</v>
      </c>
      <c r="BO2" t="s">
        <v>134</v>
      </c>
      <c r="BP2" t="s">
        <v>135</v>
      </c>
      <c r="BQ2" t="s">
        <v>136</v>
      </c>
      <c r="BR2" t="s">
        <v>141</v>
      </c>
      <c r="BS2" t="s">
        <v>142</v>
      </c>
      <c r="BT2" t="s">
        <v>143</v>
      </c>
      <c r="BU2" t="s">
        <v>144</v>
      </c>
      <c r="BV2" t="s">
        <v>145</v>
      </c>
      <c r="BW2" t="s">
        <v>135</v>
      </c>
      <c r="BX2" t="s">
        <v>136</v>
      </c>
    </row>
    <row r="3" spans="1:76" x14ac:dyDescent="0.25">
      <c r="A3" s="7">
        <v>3295897980</v>
      </c>
      <c r="B3" s="7">
        <v>210849.53</v>
      </c>
      <c r="C3" s="7">
        <v>26391115.210000001</v>
      </c>
      <c r="D3" s="7">
        <v>1569848.8</v>
      </c>
      <c r="E3" s="7">
        <v>128787887.3</v>
      </c>
      <c r="F3" s="7">
        <v>30046800</v>
      </c>
      <c r="G3" s="7">
        <v>0</v>
      </c>
      <c r="H3" s="7">
        <v>0</v>
      </c>
      <c r="I3" s="7">
        <v>3482904481</v>
      </c>
      <c r="J3" s="7">
        <v>0</v>
      </c>
      <c r="K3" s="7">
        <v>0</v>
      </c>
      <c r="L3">
        <v>0</v>
      </c>
      <c r="M3">
        <v>0</v>
      </c>
      <c r="N3">
        <v>0</v>
      </c>
      <c r="O3">
        <v>0</v>
      </c>
      <c r="P3" s="1">
        <v>42686.036805555559</v>
      </c>
      <c r="Q3" s="2">
        <v>7200000000000</v>
      </c>
      <c r="R3">
        <v>368280</v>
      </c>
      <c r="S3">
        <v>8750</v>
      </c>
      <c r="T3">
        <v>42250</v>
      </c>
      <c r="U3" t="s">
        <v>26</v>
      </c>
      <c r="V3">
        <v>1</v>
      </c>
      <c r="W3" t="s">
        <v>172</v>
      </c>
      <c r="X3" t="s">
        <v>170</v>
      </c>
      <c r="Y3" t="s">
        <v>171</v>
      </c>
      <c r="Z3" s="7">
        <f>Conventional!$D$44*results_all_scenarios!R3/10^3</f>
        <v>133007.69965619224</v>
      </c>
      <c r="AA3" s="7">
        <f>Conventional!$C$44*results_all_scenarios!S3/10^3</f>
        <v>1314.533635838206</v>
      </c>
      <c r="AB3" s="7">
        <f>Conventional!$B$44*results_all_scenarios!T3/10^3</f>
        <v>3435.6247043397657</v>
      </c>
      <c r="AC3" s="7">
        <f>Renewables!$C$11*results_all_scenarios!M3/10^3</f>
        <v>0</v>
      </c>
      <c r="AD3" s="7">
        <f>Renewables!$B$11*results_all_scenarios!O3/10^3</f>
        <v>0</v>
      </c>
      <c r="AE3" s="7">
        <f>SUM(Z3:AD3)</f>
        <v>137757.85799637024</v>
      </c>
      <c r="AF3" s="2">
        <f t="shared" ref="AF3:AF50" si="0">Q3/10^6/$AF$1</f>
        <v>110769.23076923077</v>
      </c>
      <c r="AG3" s="7">
        <f>SUM(AE3:AF3)</f>
        <v>248527.08876560099</v>
      </c>
      <c r="AI3">
        <v>0</v>
      </c>
      <c r="AO3">
        <v>0</v>
      </c>
      <c r="AQ3">
        <v>0</v>
      </c>
      <c r="AZ3" s="7">
        <f>(D3*Conventional!$B$35+results_all_scenarios!C3*Conventional!$C$35+results_all_scenarios!A3*Conventional!$D$35+B3*Conventional!$F$35)*10^-6</f>
        <v>3030.3667625759936</v>
      </c>
      <c r="BA3" s="5">
        <f>(D3*Conventional!$B$36+results_all_scenarios!C3*Conventional!$C$36+results_all_scenarios!A3*Conventional!$D$36)*10^-9</f>
        <v>0.77208482848905291</v>
      </c>
      <c r="BB3" s="5">
        <f>(D3*Conventional!$B$37+results_all_scenarios!C3*Conventional!$C$37+results_all_scenarios!A3*Conventional!$D$37)*10^-9</f>
        <v>0.70285115535593612</v>
      </c>
      <c r="BC3" s="5">
        <f t="shared" ref="BC3:BC50" si="1">AZ3/I3*10^6</f>
        <v>0.87006886898773772</v>
      </c>
      <c r="BD3" s="5">
        <f t="shared" ref="BD3:BD50" si="2">BA3/I3*10^9</f>
        <v>0.22167843898704179</v>
      </c>
      <c r="BE3" s="5">
        <f t="shared" ref="BE3:BE50" si="3">BB3/I3*10^9</f>
        <v>0.20180029604318514</v>
      </c>
      <c r="BF3" s="11">
        <f>($AZ$3-AZ3)/$AZ$3</f>
        <v>0</v>
      </c>
      <c r="BG3" s="11">
        <f>($BA$3-BA3)/$BA$3</f>
        <v>0</v>
      </c>
      <c r="BH3" s="11">
        <f>($BB$3-BB3)/$BB$3</f>
        <v>0</v>
      </c>
      <c r="BI3">
        <v>0</v>
      </c>
      <c r="BL3" s="14">
        <f>A3/(R3+Conventional!$B$54)/8760</f>
        <v>0.67423747089100317</v>
      </c>
      <c r="BM3" s="14">
        <f>C3/(S3+Conventional!$B$53)/8760</f>
        <v>9.8152224692226384E-2</v>
      </c>
      <c r="BN3" s="14">
        <f>D3/(T3+Conventional!$B$52)/8760</f>
        <v>4.0888583558059879E-3</v>
      </c>
      <c r="BO3" s="14">
        <f t="shared" ref="BO3:BO50" si="4">A3/I3</f>
        <v>0.94630731275572988</v>
      </c>
      <c r="BP3" s="14">
        <f t="shared" ref="BP3:BP50" si="5">C3/I3</f>
        <v>7.5773295977450035E-3</v>
      </c>
      <c r="BQ3" s="14">
        <f t="shared" ref="BQ3:BQ50" si="6">D3/I3</f>
        <v>4.5072978847506901E-4</v>
      </c>
      <c r="BR3" s="14">
        <f t="shared" ref="BR3:BR50" si="7">E3/I3</f>
        <v>3.6977151685487181E-2</v>
      </c>
      <c r="BS3" s="14">
        <f t="shared" ref="BS3:BS50" si="8">F3/I3</f>
        <v>8.6269377078561343E-3</v>
      </c>
      <c r="BT3" s="14">
        <f t="shared" ref="BT3:BT50" si="9">B3/I3</f>
        <v>6.0538418768079907E-5</v>
      </c>
      <c r="BU3" s="14">
        <f t="shared" ref="BU3:BU50" si="10">G3/I3</f>
        <v>0</v>
      </c>
      <c r="BV3" s="14">
        <f t="shared" ref="BV3:BV50" si="11">J3/I3</f>
        <v>0</v>
      </c>
      <c r="BW3" s="11">
        <f>C3/(Conventional!$B$53*8760)</f>
        <v>0.13728966390371838</v>
      </c>
      <c r="BX3" s="11">
        <f>D3/(Conventional!$B$52*8760)</f>
        <v>0.11356557922576986</v>
      </c>
    </row>
    <row r="4" spans="1:76" s="15" customFormat="1" x14ac:dyDescent="0.25">
      <c r="A4">
        <v>2819788393</v>
      </c>
      <c r="B4">
        <v>341506.05</v>
      </c>
      <c r="C4">
        <v>25085019.34</v>
      </c>
      <c r="D4">
        <v>1576990.23</v>
      </c>
      <c r="E4">
        <v>128787887.3</v>
      </c>
      <c r="F4">
        <v>30046800</v>
      </c>
      <c r="G4">
        <v>111060.96</v>
      </c>
      <c r="H4">
        <v>0</v>
      </c>
      <c r="I4">
        <v>3482904481</v>
      </c>
      <c r="J4">
        <v>477166824.60000002</v>
      </c>
      <c r="K4">
        <v>477166824.60000002</v>
      </c>
      <c r="L4">
        <v>477166824.60000002</v>
      </c>
      <c r="M4">
        <v>0</v>
      </c>
      <c r="N4">
        <v>200005</v>
      </c>
      <c r="O4">
        <v>200005</v>
      </c>
      <c r="P4" s="1">
        <v>42686.136111111111</v>
      </c>
      <c r="Q4" s="2">
        <v>6050000000000</v>
      </c>
      <c r="R4">
        <v>312180</v>
      </c>
      <c r="S4">
        <v>20750</v>
      </c>
      <c r="T4">
        <v>76750</v>
      </c>
      <c r="U4" t="s">
        <v>27</v>
      </c>
      <c r="V4">
        <v>2</v>
      </c>
      <c r="W4" t="s">
        <v>172</v>
      </c>
      <c r="X4" t="s">
        <v>173</v>
      </c>
      <c r="Y4" t="s">
        <v>174</v>
      </c>
      <c r="Z4" s="17">
        <f>Conventional!$D$44*results_all_scenarios!R4/10^3</f>
        <v>112746.67013867192</v>
      </c>
      <c r="AA4" s="17">
        <f>Conventional!$C$44*results_all_scenarios!S4/10^3</f>
        <v>3117.3226221306027</v>
      </c>
      <c r="AB4" s="17">
        <f>Conventional!$B$44*results_all_scenarios!T4/10^3</f>
        <v>6241.0460605462013</v>
      </c>
      <c r="AC4" s="17">
        <f>Renewables!$C$11*results_all_scenarios!M4/10^3</f>
        <v>0</v>
      </c>
      <c r="AD4" s="17">
        <f>Renewables!$B$11*results_all_scenarios!O4/10^3</f>
        <v>35785.377716950898</v>
      </c>
      <c r="AE4" s="17">
        <f t="shared" ref="AE4:AE18" si="12">SUM(Z4:AD4)</f>
        <v>157890.41653829961</v>
      </c>
      <c r="AF4" s="16">
        <f t="shared" si="0"/>
        <v>93076.923076923078</v>
      </c>
      <c r="AG4" s="17">
        <f t="shared" ref="AG4:AG18" si="13">SUM(AE4:AF4)</f>
        <v>250967.33961522271</v>
      </c>
      <c r="AH4" s="17">
        <f>AG4-$AG$3</f>
        <v>2440.2508496217197</v>
      </c>
      <c r="AI4" s="17">
        <f t="shared" ref="AI4:AI18" si="14">(AC4+AD4)*10^6/J4</f>
        <v>74.995527501202758</v>
      </c>
      <c r="AJ4" s="17">
        <f t="shared" ref="AJ4:AJ18" si="15">(SUM($Z$3:$AB$3)-SUM(Z4:AB4))/J4*10^6</f>
        <v>32.803661881026585</v>
      </c>
      <c r="AK4" s="17">
        <f t="shared" ref="AK4:AK18" si="16">($AF$3-AF4)/J4*10^6</f>
        <v>37.077824316765557</v>
      </c>
      <c r="AL4" s="17">
        <f>AJ4+AK4</f>
        <v>69.881486197792142</v>
      </c>
      <c r="AM4" s="18">
        <f t="shared" ref="AM4:AM18" si="17">AH4/J4*10^6</f>
        <v>5.1140413034106809</v>
      </c>
      <c r="AN4" s="18">
        <f>AI4-AJ4-AK4</f>
        <v>5.114041303410616</v>
      </c>
      <c r="AO4" s="27">
        <f t="shared" ref="AO4:AO18" si="18">J4/I4</f>
        <v>0.13700255841153516</v>
      </c>
      <c r="AP4" s="27">
        <f t="shared" ref="AP4:AP18" si="19">(K4-J4)/K4</f>
        <v>0</v>
      </c>
      <c r="AQ4" s="27">
        <f t="shared" ref="AQ4:AQ18" si="20">(SUM($R$3:$T$3)-SUM(R4:T4))/SUM(N4)</f>
        <v>4.7998800029999247E-2</v>
      </c>
      <c r="AS4" s="18">
        <f>AD4/K4*10^6</f>
        <v>74.995527501202758</v>
      </c>
      <c r="AT4" s="18">
        <f t="shared" ref="AT4:AT18" si="21">(AC4+AD4)/K4*10^6</f>
        <v>74.995527501202758</v>
      </c>
      <c r="AU4" s="18">
        <f t="shared" ref="AU4:AU18" si="22">(SUM($Z$3:$AB$3)-SUM(Z4:AB4))/K4*10^6</f>
        <v>32.803661881026585</v>
      </c>
      <c r="AV4" s="18">
        <f t="shared" ref="AV4:AV18" si="23">($AF$3-AF4)/K4*10^6</f>
        <v>37.077824316765557</v>
      </c>
      <c r="AW4" s="18">
        <f>AU4+AV4</f>
        <v>69.881486197792142</v>
      </c>
      <c r="AX4" s="18">
        <f t="shared" ref="AX4:AX18" si="24">AH4/K4*10^6</f>
        <v>5.1140413034106809</v>
      </c>
      <c r="AY4" s="18">
        <f>AT4-AU4-AV4</f>
        <v>5.114041303410616</v>
      </c>
      <c r="AZ4" s="7">
        <f>(D4*Conventional!$B$35+results_all_scenarios!C4*Conventional!$C$35+results_all_scenarios!A4*Conventional!$D$35+B4*Conventional!$F$35)*10^-6</f>
        <v>2593.9517911246653</v>
      </c>
      <c r="BA4" s="5">
        <f>(D4*Conventional!$B$36+results_all_scenarios!C4*Conventional!$C$36+results_all_scenarios!A4*Conventional!$D$36)*10^-9</f>
        <v>0.66055522372259812</v>
      </c>
      <c r="BB4" s="5">
        <f>(D4*Conventional!$B$37+results_all_scenarios!C4*Conventional!$C$37+results_all_scenarios!A4*Conventional!$D$37)*10^-9</f>
        <v>0.60142835574928522</v>
      </c>
      <c r="BC4" s="5">
        <f t="shared" si="1"/>
        <v>0.74476684769141255</v>
      </c>
      <c r="BD4" s="5">
        <f t="shared" si="2"/>
        <v>0.18965642822709328</v>
      </c>
      <c r="BE4" s="5">
        <f t="shared" si="3"/>
        <v>0.17268011770928759</v>
      </c>
      <c r="BF4" s="11">
        <f t="shared" ref="BF4:BF18" si="25">($AZ$3-AZ4)/$AZ$3</f>
        <v>0.14401391172874051</v>
      </c>
      <c r="BG4" s="11">
        <f t="shared" ref="BG4:BG18" si="26">($BA$3-BA4)/$BA$3</f>
        <v>0.14445252730158539</v>
      </c>
      <c r="BH4" s="11">
        <f t="shared" ref="BH4:BH18" si="27">($BB$3-BB4)/$BB$3</f>
        <v>0.14430196042757962</v>
      </c>
      <c r="BI4" s="5">
        <f t="shared" ref="BI4:BI18" si="28">AH4/($AZ$3-AZ4)</f>
        <v>5.5915837202067022</v>
      </c>
      <c r="BJ4" s="7">
        <f t="shared" ref="BJ4:BJ18" si="29">AH4/($BA$3-BA4)</f>
        <v>21879.848446801669</v>
      </c>
      <c r="BK4" s="7">
        <f t="shared" ref="BK4:BK18" si="30">AH4/($BB$3-BB4)</f>
        <v>24060.180344910314</v>
      </c>
      <c r="BL4" s="14">
        <f>A4/(R4+Conventional!$B$54)/8760</f>
        <v>0.64131311832739246</v>
      </c>
      <c r="BM4" s="14">
        <f>C4/(S4+Conventional!$B$53)/8760</f>
        <v>6.7072344653778093E-2</v>
      </c>
      <c r="BN4" s="14">
        <f>D4/(T4+Conventional!$B$52)/8760</f>
        <v>2.2983060432211298E-3</v>
      </c>
      <c r="BO4" s="14">
        <f t="shared" si="4"/>
        <v>0.80960830490257707</v>
      </c>
      <c r="BP4" s="14">
        <f t="shared" si="5"/>
        <v>7.202327677042028E-3</v>
      </c>
      <c r="BQ4" s="14">
        <f t="shared" si="6"/>
        <v>4.5278021220588276E-4</v>
      </c>
      <c r="BR4" s="14">
        <f t="shared" si="7"/>
        <v>3.6977151685487181E-2</v>
      </c>
      <c r="BS4" s="14">
        <f t="shared" si="8"/>
        <v>8.6269377078561343E-3</v>
      </c>
      <c r="BT4" s="14">
        <f t="shared" si="9"/>
        <v>9.8052086085906066E-5</v>
      </c>
      <c r="BU4" s="14">
        <f t="shared" si="10"/>
        <v>3.1887455026648489E-5</v>
      </c>
      <c r="BV4" s="14">
        <f t="shared" si="11"/>
        <v>0.13700255841153516</v>
      </c>
      <c r="BW4" s="11">
        <f>C4/(Conventional!$B$53*8760)</f>
        <v>0.13049520063107919</v>
      </c>
      <c r="BX4" s="11">
        <f>D4/(Conventional!$B$52*8760)</f>
        <v>0.11408220263208153</v>
      </c>
    </row>
    <row r="5" spans="1:76" s="15" customFormat="1" x14ac:dyDescent="0.25">
      <c r="A5">
        <v>2841978340</v>
      </c>
      <c r="B5">
        <v>430887.62</v>
      </c>
      <c r="C5">
        <v>25035410.73</v>
      </c>
      <c r="D5">
        <v>1733041.07</v>
      </c>
      <c r="E5">
        <v>128787887.3</v>
      </c>
      <c r="F5">
        <v>30046800</v>
      </c>
      <c r="G5">
        <v>70346.759999999995</v>
      </c>
      <c r="H5">
        <v>87844246.670000002</v>
      </c>
      <c r="I5">
        <v>3482904481</v>
      </c>
      <c r="J5">
        <v>454821767.89999998</v>
      </c>
      <c r="K5">
        <v>454821768</v>
      </c>
      <c r="L5">
        <v>366977521.19999999</v>
      </c>
      <c r="M5">
        <v>50015</v>
      </c>
      <c r="N5">
        <v>200025</v>
      </c>
      <c r="O5">
        <v>150010</v>
      </c>
      <c r="P5" s="1">
        <v>42686.23333333333</v>
      </c>
      <c r="Q5" s="2">
        <v>6100000000000</v>
      </c>
      <c r="R5">
        <v>306900</v>
      </c>
      <c r="S5">
        <v>19250</v>
      </c>
      <c r="T5">
        <v>74600</v>
      </c>
      <c r="U5" t="s">
        <v>28</v>
      </c>
      <c r="V5">
        <v>3</v>
      </c>
      <c r="W5" t="s">
        <v>172</v>
      </c>
      <c r="X5" t="s">
        <v>173</v>
      </c>
      <c r="Y5" t="s">
        <v>175</v>
      </c>
      <c r="Z5" s="17">
        <f>Conventional!$D$44*results_all_scenarios!R5/10^3</f>
        <v>110839.74971349353</v>
      </c>
      <c r="AA5" s="17">
        <f>Conventional!$C$44*results_all_scenarios!S5/10^3</f>
        <v>2891.9739988440533</v>
      </c>
      <c r="AB5" s="17">
        <f>Conventional!$B$44*results_all_scenarios!T5/10^3</f>
        <v>6066.2154542898579</v>
      </c>
      <c r="AC5" s="17">
        <f>Renewables!$C$11*results_all_scenarios!M5/10^3</f>
        <v>7278.2026429469279</v>
      </c>
      <c r="AD5" s="17">
        <f>Renewables!$B$11*results_all_scenarios!O5/10^3</f>
        <v>26840.151552810203</v>
      </c>
      <c r="AE5" s="17">
        <f t="shared" si="12"/>
        <v>153916.29336238457</v>
      </c>
      <c r="AF5" s="16">
        <f t="shared" si="0"/>
        <v>93846.153846153844</v>
      </c>
      <c r="AG5" s="17">
        <f t="shared" si="13"/>
        <v>247762.44720853842</v>
      </c>
      <c r="AH5" s="17">
        <f t="shared" ref="AH5:AH18" si="31">AG5-$AG$3</f>
        <v>-764.64155706256861</v>
      </c>
      <c r="AI5" s="17">
        <f t="shared" si="14"/>
        <v>75.01477854344607</v>
      </c>
      <c r="AJ5" s="17">
        <f t="shared" si="15"/>
        <v>39.487817200718439</v>
      </c>
      <c r="AK5" s="17">
        <f t="shared" si="16"/>
        <v>37.20815079105391</v>
      </c>
      <c r="AL5" s="17">
        <f t="shared" ref="AL5:AL18" si="32">AJ5+AK5</f>
        <v>76.695967991772349</v>
      </c>
      <c r="AM5" s="18">
        <f t="shared" si="17"/>
        <v>-1.6811894483262455</v>
      </c>
      <c r="AN5" s="18">
        <f t="shared" ref="AN5:AN18" si="33">AI5-AJ5-AK5</f>
        <v>-1.681189448326279</v>
      </c>
      <c r="AO5" s="27">
        <f t="shared" si="18"/>
        <v>0.13058691973355901</v>
      </c>
      <c r="AP5" s="27">
        <f t="shared" si="19"/>
        <v>2.1986639795538086E-10</v>
      </c>
      <c r="AQ5" s="27">
        <f t="shared" si="20"/>
        <v>9.2638420197475313E-2</v>
      </c>
      <c r="AT5" s="18">
        <f t="shared" si="21"/>
        <v>75.014778526952853</v>
      </c>
      <c r="AU5" s="18">
        <f t="shared" si="22"/>
        <v>39.487817192036403</v>
      </c>
      <c r="AV5" s="18">
        <f t="shared" si="23"/>
        <v>37.208150782873084</v>
      </c>
      <c r="AW5" s="18">
        <f t="shared" ref="AW5:AW18" si="34">AU5+AV5</f>
        <v>76.695967974909479</v>
      </c>
      <c r="AX5" s="18">
        <f t="shared" si="24"/>
        <v>-1.6811894479566083</v>
      </c>
      <c r="AY5" s="18">
        <f t="shared" ref="AY5:AY18" si="35">AT5-AU5-AV5</f>
        <v>-1.6811894479566334</v>
      </c>
      <c r="AZ5" s="7">
        <f>(D5*Conventional!$B$35+results_all_scenarios!C5*Conventional!$C$35+results_all_scenarios!A5*Conventional!$D$35+B5*Conventional!$F$35)*10^-6</f>
        <v>2614.4223283666265</v>
      </c>
      <c r="BA5" s="5">
        <f>(D5*Conventional!$B$36+results_all_scenarios!C5*Conventional!$C$36+results_all_scenarios!A5*Conventional!$D$36)*10^-9</f>
        <v>0.66575335181422546</v>
      </c>
      <c r="BB5" s="5">
        <f>(D5*Conventional!$B$37+results_all_scenarios!C5*Conventional!$C$37+results_all_scenarios!A5*Conventional!$D$37)*10^-9</f>
        <v>0.60618034832143797</v>
      </c>
      <c r="BC5" s="5">
        <f t="shared" si="1"/>
        <v>0.75064428055057719</v>
      </c>
      <c r="BD5" s="5">
        <f t="shared" si="2"/>
        <v>0.19114889754974751</v>
      </c>
      <c r="BE5" s="5">
        <f t="shared" si="3"/>
        <v>0.17404449407908926</v>
      </c>
      <c r="BF5" s="11">
        <f t="shared" si="25"/>
        <v>0.13725877651053345</v>
      </c>
      <c r="BG5" s="11">
        <f t="shared" si="26"/>
        <v>0.13771994054450595</v>
      </c>
      <c r="BH5" s="11">
        <f t="shared" si="27"/>
        <v>0.13754093779008211</v>
      </c>
      <c r="BI5" s="5">
        <f t="shared" si="28"/>
        <v>-1.8383262142117851</v>
      </c>
      <c r="BJ5" s="7">
        <f t="shared" si="29"/>
        <v>-7191.1119921800846</v>
      </c>
      <c r="BK5" s="7">
        <f t="shared" si="30"/>
        <v>-7909.7462876222498</v>
      </c>
      <c r="BL5" s="14">
        <f>A5/(R5+Conventional!$B$54)/8760</f>
        <v>0.65323145952484052</v>
      </c>
      <c r="BM5" s="14">
        <f>C5/(S5+Conventional!$B$53)/8760</f>
        <v>6.9377181126257917E-2</v>
      </c>
      <c r="BN5" s="14">
        <f>D5/(T5+Conventional!$B$52)/8760</f>
        <v>2.5970193308366574E-3</v>
      </c>
      <c r="BO5" s="14">
        <f t="shared" si="4"/>
        <v>0.81597940899717714</v>
      </c>
      <c r="BP5" s="14">
        <f t="shared" si="5"/>
        <v>7.1880842172312217E-3</v>
      </c>
      <c r="BQ5" s="14">
        <f t="shared" si="6"/>
        <v>4.9758501258191699E-4</v>
      </c>
      <c r="BR5" s="14">
        <f t="shared" si="7"/>
        <v>3.6977151685487181E-2</v>
      </c>
      <c r="BS5" s="14">
        <f t="shared" si="8"/>
        <v>8.6269377078561343E-3</v>
      </c>
      <c r="BT5" s="14">
        <f t="shared" si="9"/>
        <v>1.2371502645294624E-4</v>
      </c>
      <c r="BU5" s="14">
        <f t="shared" si="10"/>
        <v>2.0197728758786478E-5</v>
      </c>
      <c r="BV5" s="14">
        <f t="shared" si="11"/>
        <v>0.13058691973355901</v>
      </c>
      <c r="BW5" s="11">
        <f>C5/(Conventional!$B$53*8760)</f>
        <v>0.13023713084738736</v>
      </c>
      <c r="BX5" s="11">
        <f>D5/(Conventional!$B$52*8760)</f>
        <v>0.12537119048445811</v>
      </c>
    </row>
    <row r="6" spans="1:76" s="15" customFormat="1" x14ac:dyDescent="0.25">
      <c r="A6">
        <v>2865384046</v>
      </c>
      <c r="B6">
        <v>587429.29</v>
      </c>
      <c r="C6">
        <v>28880519.620000001</v>
      </c>
      <c r="D6">
        <v>1926862.58</v>
      </c>
      <c r="E6">
        <v>128787887.3</v>
      </c>
      <c r="F6">
        <v>30046800</v>
      </c>
      <c r="G6">
        <v>73094.45</v>
      </c>
      <c r="H6">
        <v>175038224</v>
      </c>
      <c r="I6">
        <v>3482904481</v>
      </c>
      <c r="J6">
        <v>427217841.39999998</v>
      </c>
      <c r="K6">
        <v>427217841.30000001</v>
      </c>
      <c r="L6">
        <v>252179617.30000001</v>
      </c>
      <c r="M6">
        <v>100079</v>
      </c>
      <c r="N6">
        <v>200102</v>
      </c>
      <c r="O6">
        <v>100023</v>
      </c>
      <c r="P6" s="1">
        <v>42686.334027777775</v>
      </c>
      <c r="Q6" s="2">
        <v>6180000000000</v>
      </c>
      <c r="R6">
        <v>305580</v>
      </c>
      <c r="S6">
        <v>22500</v>
      </c>
      <c r="T6">
        <v>75800</v>
      </c>
      <c r="U6" t="s">
        <v>29</v>
      </c>
      <c r="V6">
        <v>4</v>
      </c>
      <c r="W6" t="s">
        <v>172</v>
      </c>
      <c r="X6" t="s">
        <v>173</v>
      </c>
      <c r="Y6" t="s">
        <v>176</v>
      </c>
      <c r="Z6" s="17">
        <f>Conventional!$D$44*results_all_scenarios!R6/10^3</f>
        <v>110363.01960719893</v>
      </c>
      <c r="AA6" s="17">
        <f>Conventional!$C$44*results_all_scenarios!S6/10^3</f>
        <v>3380.229349298244</v>
      </c>
      <c r="AB6" s="17">
        <f>Conventional!$B$44*results_all_scenarios!T6/10^3</f>
        <v>6163.7953275492127</v>
      </c>
      <c r="AC6" s="17">
        <f>Renewables!$C$11*results_all_scenarios!M6/10^3</f>
        <v>14563.53578533411</v>
      </c>
      <c r="AD6" s="17">
        <f>Renewables!$B$11*results_all_scenarios!O6/10^3</f>
        <v>17896.3567679937</v>
      </c>
      <c r="AE6" s="17">
        <f t="shared" si="12"/>
        <v>152366.9368373742</v>
      </c>
      <c r="AF6" s="16">
        <f t="shared" si="0"/>
        <v>95076.923076923078</v>
      </c>
      <c r="AG6" s="17">
        <f t="shared" si="13"/>
        <v>247443.8599142973</v>
      </c>
      <c r="AH6" s="17">
        <f t="shared" si="31"/>
        <v>-1083.228851303691</v>
      </c>
      <c r="AI6" s="17">
        <f t="shared" si="14"/>
        <v>75.979721368742929</v>
      </c>
      <c r="AJ6" s="17">
        <f t="shared" si="15"/>
        <v>41.783867578719153</v>
      </c>
      <c r="AK6" s="17">
        <f t="shared" si="16"/>
        <v>36.731395956881698</v>
      </c>
      <c r="AL6" s="17">
        <f t="shared" si="32"/>
        <v>78.515263535600852</v>
      </c>
      <c r="AM6" s="18">
        <f t="shared" si="17"/>
        <v>-2.5355421668578542</v>
      </c>
      <c r="AN6" s="18">
        <f t="shared" si="33"/>
        <v>-2.5355421668579226</v>
      </c>
      <c r="AO6" s="27">
        <f t="shared" si="18"/>
        <v>0.12266137177478338</v>
      </c>
      <c r="AP6" s="27">
        <f t="shared" si="19"/>
        <v>-2.3407253763775135E-10</v>
      </c>
      <c r="AQ6" s="27">
        <f t="shared" si="20"/>
        <v>7.6960750017491086E-2</v>
      </c>
      <c r="AT6" s="18">
        <f t="shared" si="21"/>
        <v>75.9797213865277</v>
      </c>
      <c r="AU6" s="18">
        <f t="shared" si="22"/>
        <v>41.783867588499618</v>
      </c>
      <c r="AV6" s="18">
        <f t="shared" si="23"/>
        <v>36.731395965479514</v>
      </c>
      <c r="AW6" s="18">
        <f t="shared" si="34"/>
        <v>78.515263553979139</v>
      </c>
      <c r="AX6" s="18">
        <f t="shared" si="24"/>
        <v>-2.535542167451355</v>
      </c>
      <c r="AY6" s="18">
        <f t="shared" si="35"/>
        <v>-2.5355421674514318</v>
      </c>
      <c r="AZ6" s="7">
        <f>(D6*Conventional!$B$35+results_all_scenarios!C6*Conventional!$C$35+results_all_scenarios!A6*Conventional!$D$35+B6*Conventional!$F$35)*10^-6</f>
        <v>2637.7279144548884</v>
      </c>
      <c r="BA6" s="5">
        <f>(D6*Conventional!$B$36+results_all_scenarios!C6*Conventional!$C$36+results_all_scenarios!A6*Conventional!$D$36)*10^-9</f>
        <v>0.67123912051403334</v>
      </c>
      <c r="BB6" s="5">
        <f>(D6*Conventional!$B$37+results_all_scenarios!C6*Conventional!$C$37+results_all_scenarios!A6*Conventional!$D$37)*10^-9</f>
        <v>0.61130048239643653</v>
      </c>
      <c r="BC6" s="5">
        <f t="shared" si="1"/>
        <v>0.75733570324545696</v>
      </c>
      <c r="BD6" s="5">
        <f t="shared" si="2"/>
        <v>0.19272395329122244</v>
      </c>
      <c r="BE6" s="5">
        <f t="shared" si="3"/>
        <v>0.1755145700179874</v>
      </c>
      <c r="BF6" s="11">
        <f t="shared" si="25"/>
        <v>0.12956809484913259</v>
      </c>
      <c r="BG6" s="11">
        <f t="shared" si="26"/>
        <v>0.13061480326244931</v>
      </c>
      <c r="BH6" s="11">
        <f t="shared" si="27"/>
        <v>0.13025613212962101</v>
      </c>
      <c r="BI6" s="5">
        <f t="shared" si="28"/>
        <v>-2.7588427800439677</v>
      </c>
      <c r="BJ6" s="7">
        <f t="shared" si="29"/>
        <v>-10741.447237120066</v>
      </c>
      <c r="BK6" s="7">
        <f t="shared" si="30"/>
        <v>-11832.014077961967</v>
      </c>
      <c r="BL6" s="14">
        <f>A6/(R6+Conventional!$B$54)/8760</f>
        <v>0.6603664138141071</v>
      </c>
      <c r="BM6" s="14">
        <f>C6/(S6+Conventional!$B$53)/8760</f>
        <v>7.4180158633778123E-2</v>
      </c>
      <c r="BN6" s="14">
        <f>D6/(T6+Conventional!$B$52)/8760</f>
        <v>2.8426876080431106E-3</v>
      </c>
      <c r="BO6" s="14">
        <f t="shared" si="4"/>
        <v>0.82269957778954084</v>
      </c>
      <c r="BP6" s="14">
        <f t="shared" si="5"/>
        <v>8.2920791476049673E-3</v>
      </c>
      <c r="BQ6" s="14">
        <f t="shared" si="6"/>
        <v>5.5323440264051272E-4</v>
      </c>
      <c r="BR6" s="14">
        <f t="shared" si="7"/>
        <v>3.6977151685487181E-2</v>
      </c>
      <c r="BS6" s="14">
        <f t="shared" si="8"/>
        <v>8.6269377078561343E-3</v>
      </c>
      <c r="BT6" s="14">
        <f t="shared" si="9"/>
        <v>1.6866075231306352E-4</v>
      </c>
      <c r="BU6" s="14">
        <f t="shared" si="10"/>
        <v>2.0986636411864317E-5</v>
      </c>
      <c r="BV6" s="14">
        <f t="shared" si="11"/>
        <v>0.12266137177478338</v>
      </c>
      <c r="BW6" s="11">
        <f>C6/(Conventional!$B$53*8760)</f>
        <v>0.15023983641631583</v>
      </c>
      <c r="BX6" s="11">
        <f>D6/(Conventional!$B$52*8760)</f>
        <v>0.13939257397665389</v>
      </c>
    </row>
    <row r="7" spans="1:76" s="15" customFormat="1" x14ac:dyDescent="0.25">
      <c r="A7">
        <v>2898538015</v>
      </c>
      <c r="B7">
        <v>658215.51</v>
      </c>
      <c r="C7">
        <v>30067173.57</v>
      </c>
      <c r="D7">
        <v>1833998.68</v>
      </c>
      <c r="E7">
        <v>128787887.3</v>
      </c>
      <c r="F7">
        <v>30046800</v>
      </c>
      <c r="G7">
        <v>26830.67</v>
      </c>
      <c r="H7">
        <v>261665558.19999999</v>
      </c>
      <c r="I7">
        <v>3482904481</v>
      </c>
      <c r="J7">
        <v>392945560.39999998</v>
      </c>
      <c r="K7">
        <v>392945560.5</v>
      </c>
      <c r="L7">
        <v>131280002.5</v>
      </c>
      <c r="M7">
        <v>150010</v>
      </c>
      <c r="N7">
        <v>200039</v>
      </c>
      <c r="O7">
        <v>50029</v>
      </c>
      <c r="P7" s="1">
        <v>42686.428472222222</v>
      </c>
      <c r="Q7" s="2">
        <v>6280000000000</v>
      </c>
      <c r="R7">
        <v>316140</v>
      </c>
      <c r="S7">
        <v>23750</v>
      </c>
      <c r="T7">
        <v>68150</v>
      </c>
      <c r="U7" t="s">
        <v>30</v>
      </c>
      <c r="V7">
        <v>5</v>
      </c>
      <c r="W7" t="s">
        <v>172</v>
      </c>
      <c r="X7" t="s">
        <v>173</v>
      </c>
      <c r="Y7" t="s">
        <v>177</v>
      </c>
      <c r="Z7" s="17">
        <f>Conventional!$D$44*results_all_scenarios!R7/10^3</f>
        <v>114176.8604575557</v>
      </c>
      <c r="AA7" s="17">
        <f>Conventional!$C$44*results_all_scenarios!S7/10^3</f>
        <v>3568.0198687037014</v>
      </c>
      <c r="AB7" s="17">
        <f>Conventional!$B$44*results_all_scenarios!T7/10^3</f>
        <v>5541.7236355208288</v>
      </c>
      <c r="AC7" s="17">
        <f>Renewables!$C$11*results_all_scenarios!M7/10^3</f>
        <v>21829.514714954887</v>
      </c>
      <c r="AD7" s="17">
        <f>Renewables!$B$11*results_all_scenarios!O7/10^3</f>
        <v>8951.3095262685256</v>
      </c>
      <c r="AE7" s="17">
        <f t="shared" si="12"/>
        <v>154067.42820300366</v>
      </c>
      <c r="AF7" s="16">
        <f t="shared" si="0"/>
        <v>96615.38461538461</v>
      </c>
      <c r="AG7" s="17">
        <f t="shared" si="13"/>
        <v>250682.81281838828</v>
      </c>
      <c r="AH7" s="17">
        <f t="shared" si="31"/>
        <v>2155.7240527872927</v>
      </c>
      <c r="AI7" s="17">
        <f t="shared" si="14"/>
        <v>78.333559004687544</v>
      </c>
      <c r="AJ7" s="17">
        <f t="shared" si="15"/>
        <v>36.827630829723475</v>
      </c>
      <c r="AK7" s="17">
        <f t="shared" si="16"/>
        <v>36.019865294923321</v>
      </c>
      <c r="AL7" s="17">
        <f t="shared" si="32"/>
        <v>72.847496124646796</v>
      </c>
      <c r="AM7" s="18">
        <f t="shared" si="17"/>
        <v>5.4860628800408584</v>
      </c>
      <c r="AN7" s="18">
        <f t="shared" si="33"/>
        <v>5.4860628800407483</v>
      </c>
      <c r="AO7" s="27">
        <f t="shared" si="18"/>
        <v>0.11282122795603591</v>
      </c>
      <c r="AP7" s="27">
        <f t="shared" si="19"/>
        <v>2.5448823932407782E-10</v>
      </c>
      <c r="AQ7" s="27">
        <f t="shared" si="20"/>
        <v>5.6189043136588367E-2</v>
      </c>
      <c r="AT7" s="18">
        <f t="shared" si="21"/>
        <v>78.333558984752571</v>
      </c>
      <c r="AU7" s="18">
        <f t="shared" si="22"/>
        <v>36.827630820351267</v>
      </c>
      <c r="AV7" s="18">
        <f t="shared" si="23"/>
        <v>36.019865285756687</v>
      </c>
      <c r="AW7" s="18">
        <f t="shared" si="34"/>
        <v>72.847496106107954</v>
      </c>
      <c r="AX7" s="18">
        <f t="shared" si="24"/>
        <v>5.4860628786447192</v>
      </c>
      <c r="AY7" s="18">
        <f t="shared" si="35"/>
        <v>5.4860628786446171</v>
      </c>
      <c r="AZ7" s="7">
        <f>(D7*Conventional!$B$35+results_all_scenarios!C7*Conventional!$C$35+results_all_scenarios!A7*Conventional!$D$35+B7*Conventional!$F$35)*10^-6</f>
        <v>2668.586978142795</v>
      </c>
      <c r="BA7" s="5">
        <f>(D7*Conventional!$B$36+results_all_scenarios!C7*Conventional!$C$36+results_all_scenarios!A7*Conventional!$D$36)*10^-9</f>
        <v>0.67900619292984632</v>
      </c>
      <c r="BB7" s="5">
        <f>(D7*Conventional!$B$37+results_all_scenarios!C7*Conventional!$C$37+results_all_scenarios!A7*Conventional!$D$37)*10^-9</f>
        <v>0.61837542867107809</v>
      </c>
      <c r="BC7" s="5">
        <f t="shared" si="1"/>
        <v>0.76619585541335289</v>
      </c>
      <c r="BD7" s="5">
        <f t="shared" si="2"/>
        <v>0.19495400940047952</v>
      </c>
      <c r="BE7" s="5">
        <f t="shared" si="3"/>
        <v>0.17754590516175517</v>
      </c>
      <c r="BF7" s="11">
        <f t="shared" si="25"/>
        <v>0.11938481800323866</v>
      </c>
      <c r="BG7" s="11">
        <f t="shared" si="26"/>
        <v>0.12055493402371177</v>
      </c>
      <c r="BH7" s="11">
        <f t="shared" si="27"/>
        <v>0.1201900659067396</v>
      </c>
      <c r="BI7" s="5">
        <f t="shared" si="28"/>
        <v>5.958663655473929</v>
      </c>
      <c r="BJ7" s="7">
        <f t="shared" si="29"/>
        <v>23160.245526118113</v>
      </c>
      <c r="BK7" s="7">
        <f t="shared" si="30"/>
        <v>25518.857752231666</v>
      </c>
      <c r="BL7" s="14">
        <f>A7/(R7+Conventional!$B$54)/8760</f>
        <v>0.65406311472608047</v>
      </c>
      <c r="BM7" s="14">
        <f>C7/(S7+Conventional!$B$53)/8760</f>
        <v>7.5115458265855473E-2</v>
      </c>
      <c r="BN7" s="14">
        <f>D7/(T7+Conventional!$B$52)/8760</f>
        <v>3.0025324103470025E-3</v>
      </c>
      <c r="BO7" s="14">
        <f t="shared" si="4"/>
        <v>0.8322186355704424</v>
      </c>
      <c r="BP7" s="14">
        <f t="shared" si="5"/>
        <v>8.6327872998019205E-3</v>
      </c>
      <c r="BQ7" s="14">
        <f t="shared" si="6"/>
        <v>5.2657162721655472E-4</v>
      </c>
      <c r="BR7" s="14">
        <f t="shared" si="7"/>
        <v>3.6977151685487181E-2</v>
      </c>
      <c r="BS7" s="14">
        <f t="shared" si="8"/>
        <v>8.6269377078561343E-3</v>
      </c>
      <c r="BT7" s="14">
        <f t="shared" si="9"/>
        <v>1.8898465737165877E-4</v>
      </c>
      <c r="BU7" s="14">
        <f t="shared" si="10"/>
        <v>7.7035331133446604E-6</v>
      </c>
      <c r="BV7" s="14">
        <f t="shared" si="11"/>
        <v>0.11282122795603591</v>
      </c>
      <c r="BW7" s="11">
        <f>C7/(Conventional!$B$53*8760)</f>
        <v>0.15641294886985052</v>
      </c>
      <c r="BX7" s="11">
        <f>D7/(Conventional!$B$52*8760)</f>
        <v>0.13267463872539656</v>
      </c>
    </row>
    <row r="8" spans="1:76" s="15" customFormat="1" x14ac:dyDescent="0.25">
      <c r="A8">
        <v>2942559881</v>
      </c>
      <c r="B8">
        <v>827920.02</v>
      </c>
      <c r="C8">
        <v>30855541.149999999</v>
      </c>
      <c r="D8">
        <v>1800755.96</v>
      </c>
      <c r="E8">
        <v>128787887.3</v>
      </c>
      <c r="F8">
        <v>30046800</v>
      </c>
      <c r="G8">
        <v>18146.64</v>
      </c>
      <c r="H8">
        <v>348007549.39999998</v>
      </c>
      <c r="I8">
        <v>3482904481</v>
      </c>
      <c r="J8">
        <v>348007549.39999998</v>
      </c>
      <c r="K8">
        <v>348007549.39999998</v>
      </c>
      <c r="L8">
        <v>0</v>
      </c>
      <c r="M8">
        <v>200004</v>
      </c>
      <c r="N8">
        <v>200004</v>
      </c>
      <c r="O8">
        <v>0</v>
      </c>
      <c r="P8" s="1">
        <v>42686.518055555556</v>
      </c>
      <c r="Q8" s="2">
        <v>6410000000000</v>
      </c>
      <c r="R8">
        <v>333300</v>
      </c>
      <c r="S8">
        <v>28500</v>
      </c>
      <c r="T8">
        <v>51650</v>
      </c>
      <c r="U8" t="s">
        <v>31</v>
      </c>
      <c r="V8">
        <v>6</v>
      </c>
      <c r="W8" t="s">
        <v>172</v>
      </c>
      <c r="X8" t="s">
        <v>173</v>
      </c>
      <c r="Y8" t="s">
        <v>178</v>
      </c>
      <c r="Z8" s="17">
        <f>Conventional!$D$44*results_all_scenarios!R8/10^3</f>
        <v>120374.35183938545</v>
      </c>
      <c r="AA8" s="17">
        <f>Conventional!$C$44*results_all_scenarios!S8/10^3</f>
        <v>4281.6238424444418</v>
      </c>
      <c r="AB8" s="17">
        <f>Conventional!$B$44*results_all_scenarios!T8/10^3</f>
        <v>4200.0003782047079</v>
      </c>
      <c r="AC8" s="17">
        <f>Renewables!$C$11*results_all_scenarios!M8/10^3</f>
        <v>29104.661429570275</v>
      </c>
      <c r="AD8" s="17">
        <f>Renewables!$B$11*results_all_scenarios!O8/10^3</f>
        <v>0</v>
      </c>
      <c r="AE8" s="17">
        <f t="shared" si="12"/>
        <v>157960.63748960488</v>
      </c>
      <c r="AF8" s="16">
        <f t="shared" si="0"/>
        <v>98615.38461538461</v>
      </c>
      <c r="AG8" s="17">
        <f t="shared" si="13"/>
        <v>256576.0221049895</v>
      </c>
      <c r="AH8" s="17">
        <f t="shared" si="31"/>
        <v>8048.9333393885172</v>
      </c>
      <c r="AI8" s="17">
        <f t="shared" si="14"/>
        <v>83.632270276175447</v>
      </c>
      <c r="AJ8" s="17">
        <f t="shared" si="15"/>
        <v>25.579565591848137</v>
      </c>
      <c r="AK8" s="17">
        <f t="shared" si="16"/>
        <v>34.924087637755584</v>
      </c>
      <c r="AL8" s="17">
        <f t="shared" si="32"/>
        <v>60.503653229603721</v>
      </c>
      <c r="AM8" s="18">
        <f t="shared" si="17"/>
        <v>23.128617046571801</v>
      </c>
      <c r="AN8" s="18">
        <f t="shared" si="33"/>
        <v>23.128617046571726</v>
      </c>
      <c r="AO8" s="27">
        <f t="shared" si="18"/>
        <v>9.9918775062151924E-2</v>
      </c>
      <c r="AP8" s="27">
        <f t="shared" si="19"/>
        <v>0</v>
      </c>
      <c r="AQ8" s="27">
        <f t="shared" si="20"/>
        <v>2.9149417011659767E-2</v>
      </c>
      <c r="AR8" s="18">
        <f>AC8/H8*10^6</f>
        <v>83.632270276175433</v>
      </c>
      <c r="AT8" s="18">
        <f t="shared" si="21"/>
        <v>83.632270276175433</v>
      </c>
      <c r="AU8" s="18">
        <f t="shared" si="22"/>
        <v>25.579565591848137</v>
      </c>
      <c r="AV8" s="18">
        <f t="shared" si="23"/>
        <v>34.924087637755584</v>
      </c>
      <c r="AW8" s="18">
        <f t="shared" si="34"/>
        <v>60.503653229603721</v>
      </c>
      <c r="AX8" s="18">
        <f t="shared" si="24"/>
        <v>23.128617046571801</v>
      </c>
      <c r="AY8" s="18">
        <f t="shared" si="35"/>
        <v>23.128617046571712</v>
      </c>
      <c r="AZ8" s="7">
        <f>(D8*Conventional!$B$35+results_all_scenarios!C8*Conventional!$C$35+results_all_scenarios!A8*Conventional!$D$35+B8*Conventional!$F$35)*10^-6</f>
        <v>2709.3486616888194</v>
      </c>
      <c r="BA8" s="5">
        <f>(D8*Conventional!$B$36+results_all_scenarios!C8*Conventional!$C$36+results_all_scenarios!A8*Conventional!$D$36)*10^-9</f>
        <v>0.68931884752419637</v>
      </c>
      <c r="BB8" s="5">
        <f>(D8*Conventional!$B$37+results_all_scenarios!C8*Conventional!$C$37+results_all_scenarios!A8*Conventional!$D$37)*10^-9</f>
        <v>0.62776490076542613</v>
      </c>
      <c r="BC8" s="5">
        <f t="shared" si="1"/>
        <v>0.77789921499969472</v>
      </c>
      <c r="BD8" s="5">
        <f t="shared" si="2"/>
        <v>0.19791494463445103</v>
      </c>
      <c r="BE8" s="5">
        <f t="shared" si="3"/>
        <v>0.18024177929369578</v>
      </c>
      <c r="BF8" s="11">
        <f t="shared" si="25"/>
        <v>0.10593374533130422</v>
      </c>
      <c r="BG8" s="11">
        <f t="shared" si="26"/>
        <v>0.1071980408251605</v>
      </c>
      <c r="BH8" s="11">
        <f t="shared" si="27"/>
        <v>0.10683094709076063</v>
      </c>
      <c r="BI8" s="5">
        <f t="shared" si="28"/>
        <v>25.073144838699974</v>
      </c>
      <c r="BJ8" s="7">
        <f t="shared" si="29"/>
        <v>97249.29549021105</v>
      </c>
      <c r="BK8" s="7">
        <f t="shared" si="30"/>
        <v>107195.82942689229</v>
      </c>
      <c r="BL8" s="14">
        <f>A8/(R8+Conventional!$B$54)/8760</f>
        <v>0.6422126076421365</v>
      </c>
      <c r="BM8" s="14">
        <f>C8/(S8+Conventional!$B$53)/8760</f>
        <v>6.9826382703329581E-2</v>
      </c>
      <c r="BN8" s="14">
        <f>D8/(T8+Conventional!$B$52)/8760</f>
        <v>3.861985211889372E-3</v>
      </c>
      <c r="BO8" s="14">
        <f t="shared" si="4"/>
        <v>0.84485804794598962</v>
      </c>
      <c r="BP8" s="14">
        <f t="shared" si="5"/>
        <v>8.8591407884780291E-3</v>
      </c>
      <c r="BQ8" s="14">
        <f t="shared" si="6"/>
        <v>5.1702708754245623E-4</v>
      </c>
      <c r="BR8" s="14">
        <f t="shared" si="7"/>
        <v>3.6977151685487181E-2</v>
      </c>
      <c r="BS8" s="14">
        <f t="shared" si="8"/>
        <v>8.6269377078561343E-3</v>
      </c>
      <c r="BT8" s="14">
        <f t="shared" si="9"/>
        <v>2.3770965426025417E-4</v>
      </c>
      <c r="BU8" s="14">
        <f t="shared" si="10"/>
        <v>5.21020317927002E-6</v>
      </c>
      <c r="BV8" s="14">
        <f t="shared" si="11"/>
        <v>9.9918775062151924E-2</v>
      </c>
      <c r="BW8" s="11">
        <f>C8/(Conventional!$B$53*8760)</f>
        <v>0.16051412910530249</v>
      </c>
      <c r="BX8" s="11">
        <f>D8/(Conventional!$B$52*8760)</f>
        <v>0.13026980282537864</v>
      </c>
    </row>
    <row r="9" spans="1:76" s="19" customFormat="1" x14ac:dyDescent="0.25">
      <c r="A9">
        <v>2400429416</v>
      </c>
      <c r="B9">
        <v>950462.83</v>
      </c>
      <c r="C9">
        <v>33390957.800000001</v>
      </c>
      <c r="D9">
        <v>1974887.48</v>
      </c>
      <c r="E9">
        <v>128787887.3</v>
      </c>
      <c r="F9">
        <v>30046800</v>
      </c>
      <c r="G9">
        <v>507253.34</v>
      </c>
      <c r="H9">
        <v>0</v>
      </c>
      <c r="I9">
        <v>3482904481</v>
      </c>
      <c r="J9">
        <v>886816815.70000005</v>
      </c>
      <c r="K9">
        <v>888594834.60000002</v>
      </c>
      <c r="L9">
        <v>886816815.70000005</v>
      </c>
      <c r="M9">
        <v>0</v>
      </c>
      <c r="N9">
        <v>400031</v>
      </c>
      <c r="O9">
        <v>400031</v>
      </c>
      <c r="P9" s="1">
        <v>42686.71875</v>
      </c>
      <c r="Q9" s="2">
        <v>5170000000000</v>
      </c>
      <c r="R9">
        <v>277200</v>
      </c>
      <c r="S9">
        <v>35750</v>
      </c>
      <c r="T9">
        <v>91550</v>
      </c>
      <c r="U9" t="s">
        <v>32</v>
      </c>
      <c r="V9">
        <v>7</v>
      </c>
      <c r="W9" t="s">
        <v>172</v>
      </c>
      <c r="X9" t="s">
        <v>179</v>
      </c>
      <c r="Y9" t="s">
        <v>174</v>
      </c>
      <c r="Z9" s="21">
        <f>Conventional!$D$44*results_all_scenarios!R9/10^3</f>
        <v>100113.32232186513</v>
      </c>
      <c r="AA9" s="21">
        <f>Conventional!$C$44*results_all_scenarios!S9/10^3</f>
        <v>5370.8088549960985</v>
      </c>
      <c r="AB9" s="21">
        <f>Conventional!$B$44*results_all_scenarios!T9/10^3</f>
        <v>7444.5311640782375</v>
      </c>
      <c r="AC9" s="21">
        <f>Renewables!$C$11*results_all_scenarios!M9/10^3</f>
        <v>0</v>
      </c>
      <c r="AD9" s="21">
        <f>Renewables!$B$11*results_all_scenarios!O9/10^3</f>
        <v>71574.512804627811</v>
      </c>
      <c r="AE9" s="21">
        <f t="shared" si="12"/>
        <v>184503.17514556728</v>
      </c>
      <c r="AF9" s="20">
        <f t="shared" si="0"/>
        <v>79538.461538461532</v>
      </c>
      <c r="AG9" s="21">
        <f t="shared" si="13"/>
        <v>264041.63668402878</v>
      </c>
      <c r="AH9" s="21">
        <f t="shared" si="31"/>
        <v>15514.547918427794</v>
      </c>
      <c r="AI9" s="21">
        <f t="shared" si="14"/>
        <v>80.709467318942501</v>
      </c>
      <c r="AJ9" s="21">
        <f t="shared" si="15"/>
        <v>27.998111014428726</v>
      </c>
      <c r="AK9" s="21">
        <f t="shared" si="16"/>
        <v>35.216708431625236</v>
      </c>
      <c r="AL9" s="17">
        <f t="shared" si="32"/>
        <v>63.214819446053966</v>
      </c>
      <c r="AM9" s="22">
        <f t="shared" si="17"/>
        <v>17.494647872888539</v>
      </c>
      <c r="AN9" s="22">
        <f t="shared" si="33"/>
        <v>17.494647872888535</v>
      </c>
      <c r="AO9" s="27">
        <f t="shared" si="18"/>
        <v>0.25461990718889316</v>
      </c>
      <c r="AP9" s="27">
        <f t="shared" si="19"/>
        <v>2.000933193360672E-3</v>
      </c>
      <c r="AQ9" s="27">
        <f t="shared" si="20"/>
        <v>3.6947136596913739E-2</v>
      </c>
      <c r="AS9" s="22">
        <f>AD9/K9*10^6</f>
        <v>80.547973066765579</v>
      </c>
      <c r="AT9" s="18">
        <f t="shared" si="21"/>
        <v>80.547973066765579</v>
      </c>
      <c r="AU9" s="18">
        <f t="shared" si="22"/>
        <v>27.942088664748564</v>
      </c>
      <c r="AV9" s="18">
        <f t="shared" si="23"/>
        <v>35.146242150763491</v>
      </c>
      <c r="AW9" s="18">
        <f t="shared" si="34"/>
        <v>63.088330815512052</v>
      </c>
      <c r="AX9" s="18">
        <f t="shared" si="24"/>
        <v>17.45964225125352</v>
      </c>
      <c r="AY9" s="18">
        <f t="shared" si="35"/>
        <v>17.45964225125352</v>
      </c>
      <c r="AZ9" s="7">
        <f>(D9*Conventional!$B$35+results_all_scenarios!C9*Conventional!$C$35+results_all_scenarios!A9*Conventional!$D$35+B9*Conventional!$F$35)*10^-6</f>
        <v>2214.1974361374623</v>
      </c>
      <c r="BA9" s="5">
        <f>(D9*Conventional!$B$36+results_all_scenarios!C9*Conventional!$C$36+results_all_scenarios!A9*Conventional!$D$36)*10^-9</f>
        <v>0.56232680254303069</v>
      </c>
      <c r="BB9" s="5">
        <f>(D9*Conventional!$B$37+results_all_scenarios!C9*Conventional!$C$37+results_all_scenarios!A9*Conventional!$D$37)*10^-9</f>
        <v>0.51241355483349171</v>
      </c>
      <c r="BC9" s="5">
        <f t="shared" si="1"/>
        <v>0.63573303494723721</v>
      </c>
      <c r="BD9" s="5">
        <f t="shared" si="2"/>
        <v>0.16145340924812765</v>
      </c>
      <c r="BE9" s="5">
        <f t="shared" si="3"/>
        <v>0.14712248286704929</v>
      </c>
      <c r="BF9" s="11">
        <f t="shared" si="25"/>
        <v>0.2693302132659145</v>
      </c>
      <c r="BG9" s="11">
        <f t="shared" si="26"/>
        <v>0.27167743518094051</v>
      </c>
      <c r="BH9" s="11">
        <f t="shared" si="27"/>
        <v>0.27095011379187883</v>
      </c>
      <c r="BI9" s="5">
        <f t="shared" si="28"/>
        <v>19.008981856899339</v>
      </c>
      <c r="BJ9" s="7">
        <f t="shared" si="29"/>
        <v>73964.025206931576</v>
      </c>
      <c r="BK9" s="7">
        <f t="shared" si="30"/>
        <v>81467.881741133868</v>
      </c>
      <c r="BL9" s="14">
        <f>A9/(R9+Conventional!$B$54)/8760</f>
        <v>0.58683415711576692</v>
      </c>
      <c r="BM9" s="14">
        <f>C9/(S9+Conventional!$B$53)/8760</f>
        <v>6.6068450333067241E-2</v>
      </c>
      <c r="BN9" s="14">
        <f>D9/(T9+Conventional!$B$52)/8760</f>
        <v>2.4207947798267735E-3</v>
      </c>
      <c r="BO9" s="14">
        <f t="shared" si="4"/>
        <v>0.68920334424755647</v>
      </c>
      <c r="BP9" s="14">
        <f t="shared" si="5"/>
        <v>9.587101220304756E-3</v>
      </c>
      <c r="BQ9" s="14">
        <f t="shared" si="6"/>
        <v>5.6702315288100489E-4</v>
      </c>
      <c r="BR9" s="14">
        <f t="shared" si="7"/>
        <v>3.6977151685487181E-2</v>
      </c>
      <c r="BS9" s="14">
        <f t="shared" si="8"/>
        <v>8.6269377078561343E-3</v>
      </c>
      <c r="BT9" s="14">
        <f t="shared" si="9"/>
        <v>2.7289374003363601E-4</v>
      </c>
      <c r="BU9" s="14">
        <f t="shared" si="10"/>
        <v>1.4564089907351095E-4</v>
      </c>
      <c r="BV9" s="14">
        <f t="shared" si="11"/>
        <v>0.25461990718889316</v>
      </c>
      <c r="BW9" s="11">
        <f>C9/(Conventional!$B$53*8760)</f>
        <v>0.17370366266478227</v>
      </c>
      <c r="BX9" s="11">
        <f>D9/(Conventional!$B$52*8760)</f>
        <v>0.14286677836229897</v>
      </c>
    </row>
    <row r="10" spans="1:76" s="19" customFormat="1" x14ac:dyDescent="0.25">
      <c r="A10" s="7">
        <v>2423377779</v>
      </c>
      <c r="B10" s="7">
        <v>940630.18</v>
      </c>
      <c r="C10" s="7">
        <v>34932819.710000001</v>
      </c>
      <c r="D10" s="7">
        <v>2936245.23</v>
      </c>
      <c r="E10" s="7">
        <v>128787887.3</v>
      </c>
      <c r="F10" s="7">
        <v>30046800</v>
      </c>
      <c r="G10" s="7">
        <v>482534.64</v>
      </c>
      <c r="H10" s="7">
        <v>174284144.19999999</v>
      </c>
      <c r="I10" s="7">
        <v>3482904481</v>
      </c>
      <c r="J10" s="7">
        <v>861399785.29999995</v>
      </c>
      <c r="K10" s="7">
        <v>862515831</v>
      </c>
      <c r="L10">
        <v>687115641.20000005</v>
      </c>
      <c r="M10">
        <v>100079</v>
      </c>
      <c r="N10">
        <v>400086</v>
      </c>
      <c r="O10">
        <v>300007</v>
      </c>
      <c r="P10" s="1">
        <v>42686.833333333336</v>
      </c>
      <c r="Q10" s="2">
        <v>5220000000000</v>
      </c>
      <c r="R10">
        <v>261360</v>
      </c>
      <c r="S10">
        <v>34000</v>
      </c>
      <c r="T10">
        <v>97500</v>
      </c>
      <c r="U10" t="s">
        <v>33</v>
      </c>
      <c r="V10">
        <v>8</v>
      </c>
      <c r="W10" t="s">
        <v>172</v>
      </c>
      <c r="X10" t="s">
        <v>179</v>
      </c>
      <c r="Y10" t="s">
        <v>175</v>
      </c>
      <c r="Z10" s="21">
        <f>Conventional!$D$44*results_all_scenarios!R10/10^3</f>
        <v>94392.561046329982</v>
      </c>
      <c r="AA10" s="21">
        <f>Conventional!$C$44*results_all_scenarios!S10/10^3</f>
        <v>5107.9021278284572</v>
      </c>
      <c r="AB10" s="21">
        <f>Conventional!$B$44*results_all_scenarios!T10/10^3</f>
        <v>7928.3647023225358</v>
      </c>
      <c r="AC10" s="21">
        <f>Renewables!$C$11*results_all_scenarios!M10/10^3</f>
        <v>14563.53578533411</v>
      </c>
      <c r="AD10" s="21">
        <f>Renewables!$B$11*results_all_scenarios!O10/10^3</f>
        <v>53677.977114218585</v>
      </c>
      <c r="AE10" s="21">
        <f t="shared" si="12"/>
        <v>175670.34077603367</v>
      </c>
      <c r="AF10" s="20">
        <f t="shared" si="0"/>
        <v>80307.692307692312</v>
      </c>
      <c r="AG10" s="21">
        <f t="shared" si="13"/>
        <v>255978.03308372598</v>
      </c>
      <c r="AH10" s="21">
        <f t="shared" si="31"/>
        <v>7450.9443181249953</v>
      </c>
      <c r="AI10" s="21">
        <f t="shared" si="14"/>
        <v>79.221650694730783</v>
      </c>
      <c r="AJ10" s="21">
        <f t="shared" si="15"/>
        <v>35.20900589652058</v>
      </c>
      <c r="AK10" s="21">
        <f t="shared" si="16"/>
        <v>35.362834982515821</v>
      </c>
      <c r="AL10" s="17">
        <f t="shared" si="32"/>
        <v>70.571840879036401</v>
      </c>
      <c r="AM10" s="22">
        <f t="shared" si="17"/>
        <v>8.6498098156944074</v>
      </c>
      <c r="AN10" s="22">
        <f t="shared" si="33"/>
        <v>8.6498098156943826</v>
      </c>
      <c r="AO10" s="27">
        <f t="shared" si="18"/>
        <v>0.24732225359584875</v>
      </c>
      <c r="AP10" s="27">
        <f t="shared" si="19"/>
        <v>1.2939422789563242E-3</v>
      </c>
      <c r="AQ10" s="27">
        <f t="shared" si="20"/>
        <v>6.6035802302504956E-2</v>
      </c>
      <c r="AT10" s="18">
        <f t="shared" si="21"/>
        <v>79.119142451488159</v>
      </c>
      <c r="AU10" s="18">
        <f t="shared" si="22"/>
        <v>35.163447475191042</v>
      </c>
      <c r="AV10" s="18">
        <f t="shared" si="23"/>
        <v>35.317077515228185</v>
      </c>
      <c r="AW10" s="18">
        <f t="shared" si="34"/>
        <v>70.480524990419227</v>
      </c>
      <c r="AX10" s="18">
        <f t="shared" si="24"/>
        <v>8.6386174610689501</v>
      </c>
      <c r="AY10" s="18">
        <f t="shared" si="35"/>
        <v>8.6386174610689324</v>
      </c>
      <c r="AZ10" s="7">
        <f>(D10*Conventional!$B$35+results_all_scenarios!C10*Conventional!$C$35+results_all_scenarios!A10*Conventional!$D$35+B10*Conventional!$F$35)*10^-6</f>
        <v>2236.4619112721989</v>
      </c>
      <c r="BA10" s="5">
        <f>(D10*Conventional!$B$36+results_all_scenarios!C10*Conventional!$C$36+results_all_scenarios!A10*Conventional!$D$36)*10^-9</f>
        <v>0.56770460805885403</v>
      </c>
      <c r="BB10" s="5">
        <f>(D10*Conventional!$B$37+results_all_scenarios!C10*Conventional!$C$37+results_all_scenarios!A10*Conventional!$D$37)*10^-9</f>
        <v>0.5175126504350176</v>
      </c>
      <c r="BC10" s="5">
        <f t="shared" si="1"/>
        <v>0.64212553731306266</v>
      </c>
      <c r="BD10" s="5">
        <f t="shared" si="2"/>
        <v>0.1629974669577664</v>
      </c>
      <c r="BE10" s="5">
        <f t="shared" si="3"/>
        <v>0.14858651830911856</v>
      </c>
      <c r="BF10" s="11">
        <f t="shared" si="25"/>
        <v>0.26198309099355616</v>
      </c>
      <c r="BG10" s="11">
        <f t="shared" si="26"/>
        <v>0.26471213121771203</v>
      </c>
      <c r="BH10" s="11">
        <f t="shared" si="27"/>
        <v>0.26369524117387255</v>
      </c>
      <c r="BI10" s="5">
        <f t="shared" si="28"/>
        <v>9.3851855242963182</v>
      </c>
      <c r="BJ10" s="7">
        <f t="shared" si="29"/>
        <v>36456.288688022454</v>
      </c>
      <c r="BK10" s="7">
        <f t="shared" si="30"/>
        <v>40201.815166817141</v>
      </c>
      <c r="BL10" s="14">
        <f>A10/(R10+Conventional!$B$54)/8760</f>
        <v>0.61324712868198761</v>
      </c>
      <c r="BM10" s="14">
        <f>C10/(S10+Conventional!$B$53)/8760</f>
        <v>7.1281367207879767E-2</v>
      </c>
      <c r="BN10" s="14">
        <f>D10/(T10+Conventional!$B$52)/8760</f>
        <v>3.3830700220415792E-3</v>
      </c>
      <c r="BO10" s="14">
        <f t="shared" si="4"/>
        <v>0.69579220223237581</v>
      </c>
      <c r="BP10" s="14">
        <f t="shared" si="5"/>
        <v>1.0029795505609217E-2</v>
      </c>
      <c r="BQ10" s="14">
        <f t="shared" si="6"/>
        <v>8.4304500626355245E-4</v>
      </c>
      <c r="BR10" s="14">
        <f t="shared" si="7"/>
        <v>3.6977151685487181E-2</v>
      </c>
      <c r="BS10" s="14">
        <f t="shared" si="8"/>
        <v>8.6269377078561343E-3</v>
      </c>
      <c r="BT10" s="14">
        <f t="shared" si="9"/>
        <v>2.7007062212912867E-4</v>
      </c>
      <c r="BU10" s="14">
        <f t="shared" si="10"/>
        <v>1.3854374779220368E-4</v>
      </c>
      <c r="BV10" s="14">
        <f t="shared" si="11"/>
        <v>0.24732225359584875</v>
      </c>
      <c r="BW10" s="11">
        <f>C10/(Conventional!$B$53*8760)</f>
        <v>0.18172460841585972</v>
      </c>
      <c r="BX10" s="11">
        <f>D10/(Conventional!$B$52*8760)</f>
        <v>0.21241306187822281</v>
      </c>
    </row>
    <row r="11" spans="1:76" s="19" customFormat="1" x14ac:dyDescent="0.25">
      <c r="A11" s="7">
        <v>2455297352</v>
      </c>
      <c r="B11" s="7">
        <v>1298215.96</v>
      </c>
      <c r="C11" s="7">
        <v>42381338.18</v>
      </c>
      <c r="D11" s="7">
        <v>3835196.94</v>
      </c>
      <c r="E11" s="7">
        <v>128787887.3</v>
      </c>
      <c r="F11" s="7">
        <v>30046800</v>
      </c>
      <c r="G11" s="7">
        <v>577742.41</v>
      </c>
      <c r="H11" s="7">
        <v>345445689.30000001</v>
      </c>
      <c r="I11" s="7">
        <v>3482904481</v>
      </c>
      <c r="J11" s="7">
        <v>820679948.60000002</v>
      </c>
      <c r="K11" s="7">
        <v>825174374</v>
      </c>
      <c r="L11">
        <v>475234259.39999998</v>
      </c>
      <c r="M11">
        <v>200004</v>
      </c>
      <c r="N11">
        <v>400009</v>
      </c>
      <c r="O11">
        <v>200005</v>
      </c>
      <c r="P11" s="1">
        <v>42686.951388888891</v>
      </c>
      <c r="Q11" s="2">
        <v>5370000000000</v>
      </c>
      <c r="R11">
        <v>262020</v>
      </c>
      <c r="S11">
        <v>41500</v>
      </c>
      <c r="T11">
        <v>94500</v>
      </c>
      <c r="U11" t="s">
        <v>34</v>
      </c>
      <c r="V11">
        <v>9</v>
      </c>
      <c r="W11" t="s">
        <v>172</v>
      </c>
      <c r="X11" t="s">
        <v>179</v>
      </c>
      <c r="Y11" t="s">
        <v>176</v>
      </c>
      <c r="Z11" s="21">
        <f>Conventional!$D$44*results_all_scenarios!R11/10^3</f>
        <v>94630.926099477278</v>
      </c>
      <c r="AA11" s="21">
        <f>Conventional!$C$44*results_all_scenarios!S11/10^3</f>
        <v>6234.6452442612053</v>
      </c>
      <c r="AB11" s="21">
        <f>Conventional!$B$44*results_all_scenarios!T11/10^3</f>
        <v>7684.4150191741501</v>
      </c>
      <c r="AC11" s="21">
        <f>Renewables!$C$11*results_all_scenarios!M11/10^3</f>
        <v>29104.661429570275</v>
      </c>
      <c r="AD11" s="21">
        <f>Renewables!$B$11*results_all_scenarios!O11/10^3</f>
        <v>35785.377716950898</v>
      </c>
      <c r="AE11" s="21">
        <f t="shared" si="12"/>
        <v>173440.02550943382</v>
      </c>
      <c r="AF11" s="20">
        <f t="shared" si="0"/>
        <v>82615.38461538461</v>
      </c>
      <c r="AG11" s="21">
        <f t="shared" si="13"/>
        <v>256055.41012481845</v>
      </c>
      <c r="AH11" s="21">
        <f t="shared" si="31"/>
        <v>7528.3213592174579</v>
      </c>
      <c r="AI11" s="21">
        <f t="shared" si="14"/>
        <v>79.068629929630006</v>
      </c>
      <c r="AJ11" s="21">
        <f t="shared" si="15"/>
        <v>35.589844351971053</v>
      </c>
      <c r="AK11" s="21">
        <f t="shared" si="16"/>
        <v>34.305512400874264</v>
      </c>
      <c r="AL11" s="17">
        <f t="shared" si="32"/>
        <v>69.895356752845316</v>
      </c>
      <c r="AM11" s="22">
        <f t="shared" si="17"/>
        <v>9.173273176784738</v>
      </c>
      <c r="AN11" s="22">
        <f t="shared" si="33"/>
        <v>9.17327317678469</v>
      </c>
      <c r="AO11" s="27">
        <f t="shared" si="18"/>
        <v>0.23563090893735023</v>
      </c>
      <c r="AP11" s="27">
        <f t="shared" si="19"/>
        <v>5.4466371492045097E-3</v>
      </c>
      <c r="AQ11" s="27">
        <f t="shared" si="20"/>
        <v>5.3148804151906585E-2</v>
      </c>
      <c r="AT11" s="18">
        <f t="shared" si="21"/>
        <v>78.637971792518584</v>
      </c>
      <c r="AU11" s="18">
        <f t="shared" si="22"/>
        <v>35.395999383589199</v>
      </c>
      <c r="AV11" s="18">
        <f t="shared" si="23"/>
        <v>34.118662722609166</v>
      </c>
      <c r="AW11" s="18">
        <f t="shared" si="34"/>
        <v>69.514662106198358</v>
      </c>
      <c r="AX11" s="18">
        <f t="shared" si="24"/>
        <v>9.1233096863202601</v>
      </c>
      <c r="AY11" s="18">
        <f t="shared" si="35"/>
        <v>9.1233096863202192</v>
      </c>
      <c r="AZ11" s="7">
        <f>(D11*Conventional!$B$35+results_all_scenarios!C11*Conventional!$C$35+results_all_scenarios!A11*Conventional!$D$35+B11*Conventional!$F$35)*10^-6</f>
        <v>2269.6946086450184</v>
      </c>
      <c r="BA11" s="5">
        <f>(D11*Conventional!$B$36+results_all_scenarios!C11*Conventional!$C$36+results_all_scenarios!A11*Conventional!$D$36)*10^-9</f>
        <v>0.57518811090410082</v>
      </c>
      <c r="BB11" s="5">
        <f>(D11*Conventional!$B$37+results_all_scenarios!C11*Conventional!$C$37+results_all_scenarios!A11*Conventional!$D$37)*10^-9</f>
        <v>0.52466651849618551</v>
      </c>
      <c r="BC11" s="5">
        <f t="shared" si="1"/>
        <v>0.65166719932363781</v>
      </c>
      <c r="BD11" s="5">
        <f t="shared" si="2"/>
        <v>0.16514610551104023</v>
      </c>
      <c r="BE11" s="5">
        <f t="shared" si="3"/>
        <v>0.15064051321486285</v>
      </c>
      <c r="BF11" s="11">
        <f t="shared" si="25"/>
        <v>0.2510165315053674</v>
      </c>
      <c r="BG11" s="11">
        <f t="shared" si="26"/>
        <v>0.25501953971854768</v>
      </c>
      <c r="BH11" s="11">
        <f t="shared" si="27"/>
        <v>0.25351688689978008</v>
      </c>
      <c r="BI11" s="5">
        <f t="shared" si="28"/>
        <v>9.8969330220816687</v>
      </c>
      <c r="BJ11" s="7">
        <f t="shared" si="29"/>
        <v>38234.874870218824</v>
      </c>
      <c r="BK11" s="7">
        <f t="shared" si="30"/>
        <v>42250.114779216405</v>
      </c>
      <c r="BL11" s="14">
        <f>A11/(R11+Conventional!$B$54)/8760</f>
        <v>0.62041681887147826</v>
      </c>
      <c r="BM11" s="14">
        <f>C11/(S11+Conventional!$B$53)/8760</f>
        <v>7.6257050369664084E-2</v>
      </c>
      <c r="BN11" s="14">
        <f>D11/(T11+Conventional!$B$52)/8760</f>
        <v>4.5567962474553358E-3</v>
      </c>
      <c r="BO11" s="14">
        <f t="shared" si="4"/>
        <v>0.70495684432179517</v>
      </c>
      <c r="BP11" s="14">
        <f t="shared" si="5"/>
        <v>1.2168389460922456E-2</v>
      </c>
      <c r="BQ11" s="14">
        <f t="shared" si="6"/>
        <v>1.1011490441158612E-3</v>
      </c>
      <c r="BR11" s="14">
        <f t="shared" si="7"/>
        <v>3.6977151685487181E-2</v>
      </c>
      <c r="BS11" s="14">
        <f t="shared" si="8"/>
        <v>8.6269377078561343E-3</v>
      </c>
      <c r="BT11" s="14">
        <f t="shared" si="9"/>
        <v>3.7273946704023892E-4</v>
      </c>
      <c r="BU11" s="14">
        <f t="shared" si="10"/>
        <v>1.6587948740819918E-4</v>
      </c>
      <c r="BV11" s="14">
        <f t="shared" si="11"/>
        <v>0.23563090893735023</v>
      </c>
      <c r="BW11" s="11">
        <f>C11/(Conventional!$B$53*8760)</f>
        <v>0.22047267151171018</v>
      </c>
      <c r="BX11" s="11">
        <f>D11/(Conventional!$B$52*8760)</f>
        <v>0.27744478445057902</v>
      </c>
    </row>
    <row r="12" spans="1:76" s="19" customFormat="1" x14ac:dyDescent="0.25">
      <c r="A12">
        <v>2547046979</v>
      </c>
      <c r="B12">
        <v>1371075.25</v>
      </c>
      <c r="C12">
        <v>36457314.609999999</v>
      </c>
      <c r="D12">
        <v>3623738.48</v>
      </c>
      <c r="E12">
        <v>128787887.3</v>
      </c>
      <c r="F12">
        <v>30046800</v>
      </c>
      <c r="G12">
        <v>236632.08</v>
      </c>
      <c r="H12">
        <v>497398474.60000002</v>
      </c>
      <c r="I12">
        <v>3482904481</v>
      </c>
      <c r="J12">
        <v>735334053.89999998</v>
      </c>
      <c r="K12">
        <v>771532273.39999998</v>
      </c>
      <c r="L12">
        <v>237935579.30000001</v>
      </c>
      <c r="M12">
        <v>300014</v>
      </c>
      <c r="N12">
        <v>400037</v>
      </c>
      <c r="O12">
        <v>100023</v>
      </c>
      <c r="P12" s="1">
        <v>42687.073611111111</v>
      </c>
      <c r="Q12" s="2">
        <v>5580000000000</v>
      </c>
      <c r="R12">
        <v>288420</v>
      </c>
      <c r="S12">
        <v>34500</v>
      </c>
      <c r="T12">
        <v>80850</v>
      </c>
      <c r="U12" t="s">
        <v>35</v>
      </c>
      <c r="V12">
        <v>10</v>
      </c>
      <c r="W12" t="s">
        <v>172</v>
      </c>
      <c r="X12" t="s">
        <v>179</v>
      </c>
      <c r="Y12" t="s">
        <v>177</v>
      </c>
      <c r="Z12" s="21">
        <f>Conventional!$D$44*results_all_scenarios!R12/10^3</f>
        <v>104165.52822536918</v>
      </c>
      <c r="AA12" s="21">
        <f>Conventional!$C$44*results_all_scenarios!S12/10^3</f>
        <v>5183.0183355906402</v>
      </c>
      <c r="AB12" s="21">
        <f>Conventional!$B$44*results_all_scenarios!T12/10^3</f>
        <v>6574.4439608489956</v>
      </c>
      <c r="AC12" s="21">
        <f>Renewables!$C$11*results_all_scenarios!M12/10^3</f>
        <v>43658.156307529331</v>
      </c>
      <c r="AD12" s="21">
        <f>Renewables!$B$11*results_all_scenarios!O12/10^3</f>
        <v>17896.3567679937</v>
      </c>
      <c r="AE12" s="21">
        <f t="shared" si="12"/>
        <v>177477.50359733184</v>
      </c>
      <c r="AF12" s="20">
        <f t="shared" si="0"/>
        <v>85846.153846153844</v>
      </c>
      <c r="AG12" s="21">
        <f t="shared" si="13"/>
        <v>263323.65744348569</v>
      </c>
      <c r="AH12" s="21">
        <f t="shared" si="31"/>
        <v>14796.568677884701</v>
      </c>
      <c r="AI12" s="21">
        <f t="shared" si="14"/>
        <v>83.709591238234694</v>
      </c>
      <c r="AJ12" s="21">
        <f t="shared" si="15"/>
        <v>29.693806996637214</v>
      </c>
      <c r="AK12" s="21">
        <f t="shared" si="16"/>
        <v>33.893543745039558</v>
      </c>
      <c r="AL12" s="17">
        <f t="shared" si="32"/>
        <v>63.587350741676772</v>
      </c>
      <c r="AM12" s="22">
        <f t="shared" si="17"/>
        <v>20.122240496557943</v>
      </c>
      <c r="AN12" s="22">
        <f t="shared" si="33"/>
        <v>20.122240496557922</v>
      </c>
      <c r="AO12" s="27">
        <f t="shared" si="18"/>
        <v>0.21112667829721052</v>
      </c>
      <c r="AP12" s="27">
        <f t="shared" si="19"/>
        <v>4.6917310847517948E-2</v>
      </c>
      <c r="AQ12" s="27">
        <f t="shared" si="20"/>
        <v>3.8771413644237911E-2</v>
      </c>
      <c r="AT12" s="18">
        <f t="shared" si="21"/>
        <v>79.782162325191777</v>
      </c>
      <c r="AU12" s="18">
        <f t="shared" si="22"/>
        <v>28.300653423529781</v>
      </c>
      <c r="AV12" s="18">
        <f t="shared" si="23"/>
        <v>32.303349817429584</v>
      </c>
      <c r="AW12" s="18">
        <f t="shared" si="34"/>
        <v>60.604003240959365</v>
      </c>
      <c r="AX12" s="18">
        <f t="shared" si="24"/>
        <v>19.178159084232423</v>
      </c>
      <c r="AY12" s="18">
        <f t="shared" si="35"/>
        <v>19.178159084232412</v>
      </c>
      <c r="AZ12" s="7">
        <f>(D12*Conventional!$B$35+results_all_scenarios!C12*Conventional!$C$35+results_all_scenarios!A12*Conventional!$D$35+B12*Conventional!$F$35)*10^-6</f>
        <v>2351.1373416067313</v>
      </c>
      <c r="BA12" s="5">
        <f>(D12*Conventional!$B$36+results_all_scenarios!C12*Conventional!$C$36+results_all_scenarios!A12*Conventional!$D$36)*10^-9</f>
        <v>0.5966759609226221</v>
      </c>
      <c r="BB12" s="5">
        <f>(D12*Conventional!$B$37+results_all_scenarios!C12*Conventional!$C$37+results_all_scenarios!A12*Conventional!$D$37)*10^-9</f>
        <v>0.54401137650874098</v>
      </c>
      <c r="BC12" s="5">
        <f t="shared" si="1"/>
        <v>0.6750507670918614</v>
      </c>
      <c r="BD12" s="5">
        <f t="shared" si="2"/>
        <v>0.17131562584550308</v>
      </c>
      <c r="BE12" s="5">
        <f t="shared" si="3"/>
        <v>0.15619474478167319</v>
      </c>
      <c r="BF12" s="11">
        <f t="shared" si="25"/>
        <v>0.22414099486488445</v>
      </c>
      <c r="BG12" s="11">
        <f t="shared" si="26"/>
        <v>0.22718859520876838</v>
      </c>
      <c r="BH12" s="11">
        <f t="shared" si="27"/>
        <v>0.2259934804642327</v>
      </c>
      <c r="BI12" s="5">
        <f t="shared" si="28"/>
        <v>21.784345938328109</v>
      </c>
      <c r="BJ12" s="7">
        <f t="shared" si="29"/>
        <v>84354.735784842502</v>
      </c>
      <c r="BK12" s="7">
        <f t="shared" si="30"/>
        <v>93154.049856233396</v>
      </c>
      <c r="BL12" s="14">
        <f>A12/(R12+Conventional!$B$54)/8760</f>
        <v>0.60806699630690741</v>
      </c>
      <c r="BM12" s="14">
        <f>C12/(S12+Conventional!$B$53)/8760</f>
        <v>7.373314976350262E-2</v>
      </c>
      <c r="BN12" s="14">
        <f>D12/(T12+Conventional!$B$52)/8760</f>
        <v>5.0185468075861087E-3</v>
      </c>
      <c r="BO12" s="14">
        <f t="shared" si="4"/>
        <v>0.73129969337221112</v>
      </c>
      <c r="BP12" s="14">
        <f t="shared" si="5"/>
        <v>1.046750343251805E-2</v>
      </c>
      <c r="BQ12" s="14">
        <f t="shared" si="6"/>
        <v>1.0404357913828186E-3</v>
      </c>
      <c r="BR12" s="14">
        <f t="shared" si="7"/>
        <v>3.6977151685487181E-2</v>
      </c>
      <c r="BS12" s="14">
        <f t="shared" si="8"/>
        <v>8.6269377078561343E-3</v>
      </c>
      <c r="BT12" s="14">
        <f t="shared" si="9"/>
        <v>3.936585850916995E-4</v>
      </c>
      <c r="BU12" s="14">
        <f t="shared" si="10"/>
        <v>6.7941019138158783E-5</v>
      </c>
      <c r="BV12" s="14">
        <f t="shared" si="11"/>
        <v>0.21112667829721052</v>
      </c>
      <c r="BW12" s="11">
        <f>C12/(Conventional!$B$53*8760)</f>
        <v>0.18965520895238522</v>
      </c>
      <c r="BX12" s="11">
        <f>D12/(Conventional!$B$52*8760)</f>
        <v>0.26214751347003029</v>
      </c>
    </row>
    <row r="13" spans="1:76" s="19" customFormat="1" x14ac:dyDescent="0.25">
      <c r="A13">
        <v>2725565354</v>
      </c>
      <c r="B13">
        <v>1545256.41</v>
      </c>
      <c r="C13">
        <v>34591286.539999999</v>
      </c>
      <c r="D13">
        <v>2951597.43</v>
      </c>
      <c r="E13">
        <v>128787887.3</v>
      </c>
      <c r="F13">
        <v>30046800</v>
      </c>
      <c r="G13">
        <v>16258.72</v>
      </c>
      <c r="H13">
        <v>559400040.39999998</v>
      </c>
      <c r="I13">
        <v>3482904481</v>
      </c>
      <c r="J13">
        <v>559400040.39999998</v>
      </c>
      <c r="K13">
        <v>689271559.20000005</v>
      </c>
      <c r="L13">
        <v>0</v>
      </c>
      <c r="M13">
        <v>400003</v>
      </c>
      <c r="N13">
        <v>400003</v>
      </c>
      <c r="O13">
        <v>0</v>
      </c>
      <c r="P13" s="1">
        <v>42687.177083333336</v>
      </c>
      <c r="Q13" s="2">
        <v>6010000000000</v>
      </c>
      <c r="R13">
        <v>327360</v>
      </c>
      <c r="S13">
        <v>32750</v>
      </c>
      <c r="T13">
        <v>52900</v>
      </c>
      <c r="U13" t="s">
        <v>36</v>
      </c>
      <c r="V13">
        <v>11</v>
      </c>
      <c r="W13" t="s">
        <v>172</v>
      </c>
      <c r="X13" t="s">
        <v>179</v>
      </c>
      <c r="Y13" t="s">
        <v>178</v>
      </c>
      <c r="Z13" s="21">
        <f>Conventional!$D$44*results_all_scenarios!R13/10^3</f>
        <v>118229.06636105977</v>
      </c>
      <c r="AA13" s="21">
        <f>Conventional!$C$44*results_all_scenarios!S13/10^3</f>
        <v>4920.1116084229989</v>
      </c>
      <c r="AB13" s="21">
        <f>Conventional!$B$44*results_all_scenarios!T13/10^3</f>
        <v>4301.6460795165349</v>
      </c>
      <c r="AC13" s="21">
        <f>Renewables!$C$11*results_all_scenarios!M13/10^3</f>
        <v>58208.595257156849</v>
      </c>
      <c r="AD13" s="21">
        <f>Renewables!$B$11*results_all_scenarios!O13/10^3</f>
        <v>0</v>
      </c>
      <c r="AE13" s="21">
        <f t="shared" si="12"/>
        <v>185659.41930615617</v>
      </c>
      <c r="AF13" s="20">
        <f t="shared" si="0"/>
        <v>92461.538461538468</v>
      </c>
      <c r="AG13" s="21">
        <f t="shared" si="13"/>
        <v>278120.95776769461</v>
      </c>
      <c r="AH13" s="21">
        <f t="shared" si="31"/>
        <v>29593.869002093619</v>
      </c>
      <c r="AI13" s="21">
        <f t="shared" si="14"/>
        <v>104.05540052434513</v>
      </c>
      <c r="AJ13" s="21">
        <f t="shared" si="15"/>
        <v>18.425157674284165</v>
      </c>
      <c r="AK13" s="21">
        <f t="shared" si="16"/>
        <v>32.727370370944826</v>
      </c>
      <c r="AL13" s="17">
        <f t="shared" si="32"/>
        <v>51.152528045228991</v>
      </c>
      <c r="AM13" s="22">
        <f t="shared" si="17"/>
        <v>52.902872479116148</v>
      </c>
      <c r="AN13" s="22">
        <f t="shared" si="33"/>
        <v>52.902872479116141</v>
      </c>
      <c r="AO13" s="27">
        <f t="shared" si="18"/>
        <v>0.16061308699438892</v>
      </c>
      <c r="AP13" s="27">
        <f t="shared" si="19"/>
        <v>0.1884185080126255</v>
      </c>
      <c r="AQ13" s="27">
        <f t="shared" si="20"/>
        <v>1.567488243838171E-2</v>
      </c>
      <c r="AR13" s="22">
        <f>AC13/K13*10^6</f>
        <v>84.449437206891858</v>
      </c>
      <c r="AT13" s="18">
        <f t="shared" si="21"/>
        <v>84.449437206891858</v>
      </c>
      <c r="AU13" s="18">
        <f t="shared" si="22"/>
        <v>14.953516955398166</v>
      </c>
      <c r="AV13" s="18">
        <f t="shared" si="23"/>
        <v>26.560928074474798</v>
      </c>
      <c r="AW13" s="18">
        <f t="shared" si="34"/>
        <v>41.514445029872967</v>
      </c>
      <c r="AX13" s="18">
        <f t="shared" si="24"/>
        <v>42.934992177018891</v>
      </c>
      <c r="AY13" s="18">
        <f t="shared" si="35"/>
        <v>42.934992177018884</v>
      </c>
      <c r="AZ13" s="7">
        <f>(D13*Conventional!$B$35+results_all_scenarios!C13*Conventional!$C$35+results_all_scenarios!A13*Conventional!$D$35+B13*Conventional!$F$35)*10^-6</f>
        <v>2513.537894452445</v>
      </c>
      <c r="BA13" s="5">
        <f>(D13*Conventional!$B$36+results_all_scenarios!C13*Conventional!$C$36+results_all_scenarios!A13*Conventional!$D$36)*10^-9</f>
        <v>0.63849181785074793</v>
      </c>
      <c r="BB13" s="5">
        <f>(D13*Conventional!$B$37+results_all_scenarios!C13*Conventional!$C$37+results_all_scenarios!A13*Conventional!$D$37)*10^-9</f>
        <v>0.58185861944732797</v>
      </c>
      <c r="BC13" s="5">
        <f t="shared" si="1"/>
        <v>0.72167867599135715</v>
      </c>
      <c r="BD13" s="5">
        <f t="shared" si="2"/>
        <v>0.18332165620213228</v>
      </c>
      <c r="BE13" s="5">
        <f t="shared" si="3"/>
        <v>0.16706131983276976</v>
      </c>
      <c r="BF13" s="11">
        <f t="shared" si="25"/>
        <v>0.17054993953412192</v>
      </c>
      <c r="BG13" s="11">
        <f t="shared" si="26"/>
        <v>0.173028928569601</v>
      </c>
      <c r="BH13" s="11">
        <f t="shared" si="27"/>
        <v>0.17214531837446495</v>
      </c>
      <c r="BI13" s="5">
        <f t="shared" si="28"/>
        <v>57.260479875166666</v>
      </c>
      <c r="BJ13" s="7">
        <f t="shared" si="29"/>
        <v>221522.58460749296</v>
      </c>
      <c r="BK13" s="7">
        <f t="shared" si="30"/>
        <v>244592.51787603975</v>
      </c>
      <c r="BL13" s="14">
        <f>A13/(R13+Conventional!$B$54)/8760</f>
        <v>0.60168668015560445</v>
      </c>
      <c r="BM13" s="14">
        <f>C13/(S13+Conventional!$B$53)/8760</f>
        <v>7.2197626838101159E-2</v>
      </c>
      <c r="BN13" s="14">
        <f>D13/(T13+Conventional!$B$52)/8760</f>
        <v>6.1848883198797854E-3</v>
      </c>
      <c r="BO13" s="14">
        <f t="shared" si="4"/>
        <v>0.78255529799009726</v>
      </c>
      <c r="BP13" s="14">
        <f t="shared" si="5"/>
        <v>9.9317356329187249E-3</v>
      </c>
      <c r="BQ13" s="14">
        <f t="shared" si="6"/>
        <v>8.4745287908457006E-4</v>
      </c>
      <c r="BR13" s="14">
        <f t="shared" si="7"/>
        <v>3.6977151685487181E-2</v>
      </c>
      <c r="BS13" s="14">
        <f t="shared" si="8"/>
        <v>8.6269377078561343E-3</v>
      </c>
      <c r="BT13" s="14">
        <f t="shared" si="9"/>
        <v>4.4366890290265182E-4</v>
      </c>
      <c r="BU13" s="14">
        <f t="shared" si="10"/>
        <v>4.6681498412301703E-6</v>
      </c>
      <c r="BV13" s="14">
        <f t="shared" si="11"/>
        <v>0.16061308699438892</v>
      </c>
      <c r="BW13" s="11">
        <f>C13/(Conventional!$B$53*8760)</f>
        <v>0.17994791297316373</v>
      </c>
      <c r="BX13" s="11">
        <f>D13/(Conventional!$B$52*8760)</f>
        <v>0.21352366659721861</v>
      </c>
    </row>
    <row r="14" spans="1:76" s="23" customFormat="1" x14ac:dyDescent="0.25">
      <c r="A14">
        <v>2059247689</v>
      </c>
      <c r="B14">
        <v>1672716.72</v>
      </c>
      <c r="C14">
        <v>50053078.030000001</v>
      </c>
      <c r="D14">
        <v>3047022.6</v>
      </c>
      <c r="E14">
        <v>128787887.3</v>
      </c>
      <c r="F14">
        <v>30046800</v>
      </c>
      <c r="G14">
        <v>1105806.8</v>
      </c>
      <c r="H14">
        <v>0</v>
      </c>
      <c r="I14">
        <v>3482904481</v>
      </c>
      <c r="J14">
        <v>1208943481</v>
      </c>
      <c r="K14">
        <v>1286680246</v>
      </c>
      <c r="L14">
        <v>1208943481</v>
      </c>
      <c r="M14">
        <v>0</v>
      </c>
      <c r="N14">
        <v>600016</v>
      </c>
      <c r="O14">
        <v>600016</v>
      </c>
      <c r="P14" s="1">
        <v>42687.190972222219</v>
      </c>
      <c r="Q14" s="2">
        <v>4580000000000</v>
      </c>
      <c r="R14">
        <v>244860</v>
      </c>
      <c r="S14">
        <v>55500</v>
      </c>
      <c r="T14">
        <v>101100</v>
      </c>
      <c r="U14" t="s">
        <v>25</v>
      </c>
      <c r="V14">
        <v>12</v>
      </c>
      <c r="W14" t="s">
        <v>172</v>
      </c>
      <c r="X14" t="s">
        <v>180</v>
      </c>
      <c r="Y14" t="s">
        <v>174</v>
      </c>
      <c r="Z14" s="25">
        <f>Conventional!$D$44*results_all_scenarios!R14/10^3</f>
        <v>88433.434717647528</v>
      </c>
      <c r="AA14" s="25">
        <f>Conventional!$C$44*results_all_scenarios!S14/10^3</f>
        <v>8337.8990616023348</v>
      </c>
      <c r="AB14" s="25">
        <f>Conventional!$B$44*results_all_scenarios!T14/10^3</f>
        <v>8221.1043221005984</v>
      </c>
      <c r="AC14" s="25">
        <f>Renewables!$C$11*results_all_scenarios!M14/10^3</f>
        <v>0</v>
      </c>
      <c r="AD14" s="25">
        <f>Renewables!$B$11*results_all_scenarios!O14/10^3</f>
        <v>107356.31207326821</v>
      </c>
      <c r="AE14" s="25">
        <f t="shared" si="12"/>
        <v>212348.75017461868</v>
      </c>
      <c r="AF14" s="24">
        <f t="shared" si="0"/>
        <v>70461.538461538468</v>
      </c>
      <c r="AG14" s="25">
        <f t="shared" si="13"/>
        <v>282810.28863615717</v>
      </c>
      <c r="AH14" s="25">
        <f t="shared" si="31"/>
        <v>34283.199870556185</v>
      </c>
      <c r="AI14" s="25">
        <f t="shared" si="14"/>
        <v>88.801762663434403</v>
      </c>
      <c r="AJ14" s="25">
        <f t="shared" si="15"/>
        <v>27.102524154327917</v>
      </c>
      <c r="AK14" s="25">
        <f t="shared" si="16"/>
        <v>33.341254526101622</v>
      </c>
      <c r="AL14" s="17">
        <f t="shared" si="32"/>
        <v>60.443778680429538</v>
      </c>
      <c r="AM14" s="26">
        <f t="shared" si="17"/>
        <v>28.3579839830049</v>
      </c>
      <c r="AN14" s="26">
        <f t="shared" si="33"/>
        <v>28.357983983004864</v>
      </c>
      <c r="AO14" s="27">
        <f t="shared" si="18"/>
        <v>0.34710784851983428</v>
      </c>
      <c r="AP14" s="27">
        <f t="shared" si="19"/>
        <v>6.0416537241219134E-2</v>
      </c>
      <c r="AQ14" s="27">
        <f t="shared" si="20"/>
        <v>2.9699208021119437E-2</v>
      </c>
      <c r="AS14" s="26">
        <f>AD14/K14*10^6</f>
        <v>83.436667662393106</v>
      </c>
      <c r="AT14" s="18">
        <f t="shared" si="21"/>
        <v>83.436667662393106</v>
      </c>
      <c r="AU14" s="18">
        <f t="shared" si="22"/>
        <v>25.465083494426924</v>
      </c>
      <c r="AV14" s="18">
        <f t="shared" si="23"/>
        <v>31.326891380356432</v>
      </c>
      <c r="AW14" s="18">
        <f t="shared" si="34"/>
        <v>56.791974874783357</v>
      </c>
      <c r="AX14" s="18">
        <f t="shared" si="24"/>
        <v>26.644692787609785</v>
      </c>
      <c r="AY14" s="18">
        <f t="shared" si="35"/>
        <v>26.644692787609753</v>
      </c>
      <c r="AZ14" s="7">
        <f>(D14*Conventional!$B$35+results_all_scenarios!C14*Conventional!$C$35+results_all_scenarios!A14*Conventional!$D$35+B14*Conventional!$F$35)*10^-6</f>
        <v>1910.0745045965823</v>
      </c>
      <c r="BA14" s="5">
        <f>(D14*Conventional!$B$36+results_all_scenarios!C14*Conventional!$C$36+results_all_scenarios!A14*Conventional!$D$36)*10^-9</f>
        <v>0.48241815646081776</v>
      </c>
      <c r="BB14" s="5">
        <f>(D14*Conventional!$B$37+results_all_scenarios!C14*Conventional!$C$37+results_all_scenarios!A14*Conventional!$D$37)*10^-9</f>
        <v>0.44038719076140365</v>
      </c>
      <c r="BC14" s="5">
        <f t="shared" si="1"/>
        <v>0.54841426602895749</v>
      </c>
      <c r="BD14" s="5">
        <f t="shared" si="2"/>
        <v>0.13851030342420054</v>
      </c>
      <c r="BE14" s="5">
        <f t="shared" si="3"/>
        <v>0.12644251174955023</v>
      </c>
      <c r="BF14" s="11">
        <f t="shared" si="25"/>
        <v>0.36968866997046113</v>
      </c>
      <c r="BG14" s="11">
        <f t="shared" si="26"/>
        <v>0.37517467166801377</v>
      </c>
      <c r="BH14" s="11">
        <f t="shared" si="27"/>
        <v>0.37342752102558063</v>
      </c>
      <c r="BI14" s="5">
        <f t="shared" si="28"/>
        <v>30.602014453255503</v>
      </c>
      <c r="BJ14" s="7">
        <f t="shared" si="29"/>
        <v>118353.96744301479</v>
      </c>
      <c r="BK14" s="7">
        <f t="shared" si="30"/>
        <v>130620.5974733278</v>
      </c>
      <c r="BL14" s="14">
        <f>A14/(R14+Conventional!$B$54)/8760</f>
        <v>0.54088603112327782</v>
      </c>
      <c r="BM14" s="14">
        <f>C14/(S14+Conventional!$B$53)/8760</f>
        <v>7.3780043553049623E-2</v>
      </c>
      <c r="BN14" s="14">
        <f>D14/(T14+Conventional!$B$52)/8760</f>
        <v>3.3876159463272202E-3</v>
      </c>
      <c r="BO14" s="14">
        <f t="shared" si="4"/>
        <v>0.59124437670732666</v>
      </c>
      <c r="BP14" s="14">
        <f t="shared" si="5"/>
        <v>1.4371073999603034E-2</v>
      </c>
      <c r="BQ14" s="14">
        <f t="shared" si="6"/>
        <v>8.7485103786858636E-4</v>
      </c>
      <c r="BR14" s="14">
        <f t="shared" si="7"/>
        <v>3.6977151685487181E-2</v>
      </c>
      <c r="BS14" s="14">
        <f t="shared" si="8"/>
        <v>8.6269377078561343E-3</v>
      </c>
      <c r="BT14" s="14">
        <f t="shared" si="9"/>
        <v>4.8026488499039601E-4</v>
      </c>
      <c r="BU14" s="14">
        <f t="shared" si="10"/>
        <v>3.1749558623626233E-4</v>
      </c>
      <c r="BV14" s="14">
        <f t="shared" si="11"/>
        <v>0.34710784851983428</v>
      </c>
      <c r="BW14" s="11">
        <f>C14/(Conventional!$B$53*8760)</f>
        <v>0.26038195829941552</v>
      </c>
      <c r="BX14" s="11">
        <f>D14/(Conventional!$B$52*8760)</f>
        <v>0.22042688855322326</v>
      </c>
    </row>
    <row r="15" spans="1:76" s="23" customFormat="1" x14ac:dyDescent="0.25">
      <c r="A15">
        <v>2031250015</v>
      </c>
      <c r="B15">
        <v>1839597.71</v>
      </c>
      <c r="C15">
        <v>55973641.600000001</v>
      </c>
      <c r="D15">
        <v>5871352.6100000003</v>
      </c>
      <c r="E15">
        <v>128787887.3</v>
      </c>
      <c r="F15">
        <v>30046800</v>
      </c>
      <c r="G15">
        <v>1372004.96</v>
      </c>
      <c r="H15">
        <v>247382018</v>
      </c>
      <c r="I15">
        <v>3482904481</v>
      </c>
      <c r="J15">
        <v>1227763181</v>
      </c>
      <c r="K15">
        <v>1267252346</v>
      </c>
      <c r="L15">
        <v>980381163.20000005</v>
      </c>
      <c r="M15">
        <v>150088</v>
      </c>
      <c r="N15">
        <v>600096</v>
      </c>
      <c r="O15">
        <v>450008</v>
      </c>
      <c r="P15" s="1">
        <v>42687.000694444447</v>
      </c>
      <c r="Q15" s="2">
        <v>4550000000000</v>
      </c>
      <c r="R15">
        <v>218460</v>
      </c>
      <c r="S15">
        <v>52500</v>
      </c>
      <c r="T15">
        <v>120200</v>
      </c>
      <c r="U15" t="s">
        <v>24</v>
      </c>
      <c r="V15">
        <v>13</v>
      </c>
      <c r="W15" t="s">
        <v>172</v>
      </c>
      <c r="X15" t="s">
        <v>180</v>
      </c>
      <c r="Y15" t="s">
        <v>175</v>
      </c>
      <c r="Z15" s="25">
        <f>Conventional!$D$44*results_all_scenarios!R15/10^3</f>
        <v>78898.832591755607</v>
      </c>
      <c r="AA15" s="25">
        <f>Conventional!$C$44*results_all_scenarios!S15/10^3</f>
        <v>7887.2018150292351</v>
      </c>
      <c r="AB15" s="25">
        <f>Conventional!$B$44*results_all_scenarios!T15/10^3</f>
        <v>9774.2506381453222</v>
      </c>
      <c r="AC15" s="25">
        <f>Renewables!$C$11*results_all_scenarios!M15/10^3</f>
        <v>21840.865305900599</v>
      </c>
      <c r="AD15" s="25">
        <f>Renewables!$B$11*results_all_scenarios!O15/10^3</f>
        <v>80516.518365289056</v>
      </c>
      <c r="AE15" s="25">
        <f t="shared" si="12"/>
        <v>198917.66871611984</v>
      </c>
      <c r="AF15" s="24">
        <f t="shared" si="0"/>
        <v>70000</v>
      </c>
      <c r="AG15" s="25">
        <f t="shared" si="13"/>
        <v>268917.66871611984</v>
      </c>
      <c r="AH15" s="25">
        <f t="shared" si="31"/>
        <v>20390.579950518848</v>
      </c>
      <c r="AI15" s="25">
        <f t="shared" si="14"/>
        <v>83.368995955572359</v>
      </c>
      <c r="AJ15" s="25">
        <f t="shared" si="15"/>
        <v>33.554983232096184</v>
      </c>
      <c r="AK15" s="25">
        <f t="shared" si="16"/>
        <v>33.206103098827789</v>
      </c>
      <c r="AL15" s="17">
        <f t="shared" si="32"/>
        <v>66.761086330923973</v>
      </c>
      <c r="AM15" s="26">
        <f t="shared" si="17"/>
        <v>16.607909624648411</v>
      </c>
      <c r="AN15" s="26">
        <f t="shared" si="33"/>
        <v>16.607909624648386</v>
      </c>
      <c r="AO15" s="27">
        <f t="shared" si="18"/>
        <v>0.35251129845728318</v>
      </c>
      <c r="AP15" s="27">
        <f t="shared" si="19"/>
        <v>3.1161248290164933E-2</v>
      </c>
      <c r="AQ15" s="27">
        <f t="shared" si="20"/>
        <v>4.6859169199594729E-2</v>
      </c>
      <c r="AT15" s="18">
        <f t="shared" si="21"/>
        <v>80.771113972899016</v>
      </c>
      <c r="AU15" s="18">
        <f t="shared" si="22"/>
        <v>32.509368068228511</v>
      </c>
      <c r="AV15" s="18">
        <f t="shared" si="23"/>
        <v>32.171359475416402</v>
      </c>
      <c r="AW15" s="18">
        <f t="shared" si="34"/>
        <v>64.680727543644906</v>
      </c>
      <c r="AX15" s="18">
        <f t="shared" si="24"/>
        <v>16.090386429254121</v>
      </c>
      <c r="AY15" s="18">
        <f t="shared" si="35"/>
        <v>16.090386429254103</v>
      </c>
      <c r="AZ15" s="7">
        <f>(D15*Conventional!$B$35+results_all_scenarios!C15*Conventional!$C$35+results_all_scenarios!A15*Conventional!$D$35+B15*Conventional!$F$35)*10^-6</f>
        <v>1888.8580282777887</v>
      </c>
      <c r="BA15" s="5">
        <f>(D15*Conventional!$B$36+results_all_scenarios!C15*Conventional!$C$36+results_all_scenarios!A15*Conventional!$D$36)*10^-9</f>
        <v>0.475867024879503</v>
      </c>
      <c r="BB15" s="5">
        <f>(D15*Conventional!$B$37+results_all_scenarios!C15*Conventional!$C$37+results_all_scenarios!A15*Conventional!$D$37)*10^-9</f>
        <v>0.43508479024719521</v>
      </c>
      <c r="BC15" s="5">
        <f t="shared" si="1"/>
        <v>0.5423226616124327</v>
      </c>
      <c r="BD15" s="5">
        <f t="shared" si="2"/>
        <v>0.13662936422042604</v>
      </c>
      <c r="BE15" s="5">
        <f t="shared" si="3"/>
        <v>0.12492010407425101</v>
      </c>
      <c r="BF15" s="11">
        <f t="shared" si="25"/>
        <v>0.37668995990698301</v>
      </c>
      <c r="BG15" s="11">
        <f t="shared" si="26"/>
        <v>0.38365966106242416</v>
      </c>
      <c r="BH15" s="11">
        <f t="shared" si="27"/>
        <v>0.38097165106478248</v>
      </c>
      <c r="BI15" s="5">
        <f t="shared" si="28"/>
        <v>17.862833054058843</v>
      </c>
      <c r="BJ15" s="7">
        <f t="shared" si="29"/>
        <v>68836.44298907854</v>
      </c>
      <c r="BK15" s="7">
        <f t="shared" si="30"/>
        <v>76150.639540698685</v>
      </c>
      <c r="BL15" s="14">
        <f>A15/(R15+Conventional!$B$54)/8760</f>
        <v>0.5680370976475464</v>
      </c>
      <c r="BM15" s="14">
        <f>C15/(S15+Conventional!$B$53)/8760</f>
        <v>8.5832103516136307E-2</v>
      </c>
      <c r="BN15" s="14">
        <f>D15/(T15+Conventional!$B$52)/8760</f>
        <v>5.5038326441160133E-3</v>
      </c>
      <c r="BO15" s="14">
        <f t="shared" si="4"/>
        <v>0.58320577727035283</v>
      </c>
      <c r="BP15" s="14">
        <f t="shared" si="5"/>
        <v>1.6070966604266171E-2</v>
      </c>
      <c r="BQ15" s="14">
        <f t="shared" si="6"/>
        <v>1.6857633168034045E-3</v>
      </c>
      <c r="BR15" s="14">
        <f t="shared" si="7"/>
        <v>3.6977151685487181E-2</v>
      </c>
      <c r="BS15" s="14">
        <f t="shared" si="8"/>
        <v>8.6269377078561343E-3</v>
      </c>
      <c r="BT15" s="14">
        <f t="shared" si="9"/>
        <v>5.2817920216744526E-4</v>
      </c>
      <c r="BU15" s="14">
        <f t="shared" si="10"/>
        <v>3.9392552034791216E-4</v>
      </c>
      <c r="BV15" s="14">
        <f t="shared" si="11"/>
        <v>0.35251129845728318</v>
      </c>
      <c r="BW15" s="11">
        <f>C15/(Conventional!$B$53*8760)</f>
        <v>0.29118142153459947</v>
      </c>
      <c r="BX15" s="11">
        <f>D15/(Conventional!$B$52*8760)</f>
        <v>0.42474380971809877</v>
      </c>
    </row>
    <row r="16" spans="1:76" s="23" customFormat="1" x14ac:dyDescent="0.25">
      <c r="A16">
        <v>2117282096</v>
      </c>
      <c r="B16">
        <v>2449096.81</v>
      </c>
      <c r="C16">
        <v>60107050.810000002</v>
      </c>
      <c r="D16">
        <v>8080999.3399999999</v>
      </c>
      <c r="E16">
        <v>128787887.3</v>
      </c>
      <c r="F16">
        <v>30046800</v>
      </c>
      <c r="G16">
        <v>1522174.94</v>
      </c>
      <c r="H16">
        <v>485492400.19999999</v>
      </c>
      <c r="I16">
        <v>3482904481</v>
      </c>
      <c r="J16">
        <v>1134628376</v>
      </c>
      <c r="K16">
        <v>1207988452</v>
      </c>
      <c r="L16">
        <v>649135975.89999998</v>
      </c>
      <c r="M16">
        <v>300012</v>
      </c>
      <c r="N16">
        <v>600019</v>
      </c>
      <c r="O16">
        <v>300007</v>
      </c>
      <c r="P16" s="1">
        <v>42686.698611111111</v>
      </c>
      <c r="Q16" s="2">
        <v>4810000000000</v>
      </c>
      <c r="R16">
        <v>225720</v>
      </c>
      <c r="S16">
        <v>59500</v>
      </c>
      <c r="T16">
        <v>107650</v>
      </c>
      <c r="U16" t="s">
        <v>23</v>
      </c>
      <c r="V16">
        <v>14</v>
      </c>
      <c r="W16" t="s">
        <v>172</v>
      </c>
      <c r="X16" t="s">
        <v>180</v>
      </c>
      <c r="Y16" t="s">
        <v>176</v>
      </c>
      <c r="Z16" s="25">
        <f>Conventional!$D$44*results_all_scenarios!R16/10^3</f>
        <v>81520.848176375875</v>
      </c>
      <c r="AA16" s="25">
        <f>Conventional!$C$44*results_all_scenarios!S16/10^3</f>
        <v>8938.8287236998003</v>
      </c>
      <c r="AB16" s="25">
        <f>Conventional!$B$44*results_all_scenarios!T16/10^3</f>
        <v>8753.7277969745755</v>
      </c>
      <c r="AC16" s="25">
        <f>Renewables!$C$11*results_all_scenarios!M16/10^3</f>
        <v>43657.865266735855</v>
      </c>
      <c r="AD16" s="25">
        <f>Renewables!$B$11*results_all_scenarios!O16/10^3</f>
        <v>53677.977114218585</v>
      </c>
      <c r="AE16" s="25">
        <f t="shared" si="12"/>
        <v>196549.2470780047</v>
      </c>
      <c r="AF16" s="24">
        <f t="shared" si="0"/>
        <v>74000</v>
      </c>
      <c r="AG16" s="25">
        <f t="shared" si="13"/>
        <v>270549.2470780047</v>
      </c>
      <c r="AH16" s="25">
        <f t="shared" si="31"/>
        <v>22022.158312403713</v>
      </c>
      <c r="AI16" s="25">
        <f t="shared" si="14"/>
        <v>85.786539839679151</v>
      </c>
      <c r="AJ16" s="25">
        <f t="shared" si="15"/>
        <v>33.970993599863917</v>
      </c>
      <c r="AK16" s="25">
        <f t="shared" si="16"/>
        <v>32.406408606539884</v>
      </c>
      <c r="AL16" s="17">
        <f t="shared" si="32"/>
        <v>66.377402206403801</v>
      </c>
      <c r="AM16" s="26">
        <f t="shared" si="17"/>
        <v>19.409137633275368</v>
      </c>
      <c r="AN16" s="26">
        <f t="shared" si="33"/>
        <v>19.40913763327535</v>
      </c>
      <c r="AO16" s="27">
        <f t="shared" si="18"/>
        <v>0.32577074168690073</v>
      </c>
      <c r="AP16" s="27">
        <f t="shared" si="19"/>
        <v>6.0729120281358448E-2</v>
      </c>
      <c r="AQ16" s="27">
        <f t="shared" si="20"/>
        <v>4.4015272849693095E-2</v>
      </c>
      <c r="AT16" s="18">
        <f t="shared" si="21"/>
        <v>80.576798743233724</v>
      </c>
      <c r="AU16" s="18">
        <f t="shared" si="22"/>
        <v>31.907965043460521</v>
      </c>
      <c r="AV16" s="18">
        <f t="shared" si="23"/>
        <v>30.438395920386469</v>
      </c>
      <c r="AW16" s="18">
        <f t="shared" si="34"/>
        <v>62.34636096384699</v>
      </c>
      <c r="AX16" s="18">
        <f t="shared" si="24"/>
        <v>18.230437779386747</v>
      </c>
      <c r="AY16" s="18">
        <f t="shared" si="35"/>
        <v>18.230437779386733</v>
      </c>
      <c r="AZ16" s="7">
        <f>(D16*Conventional!$B$35+results_all_scenarios!C16*Conventional!$C$35+results_all_scenarios!A16*Conventional!$D$35+B16*Conventional!$F$35)*10^-6</f>
        <v>1971.2793236102611</v>
      </c>
      <c r="BA16" s="5">
        <f>(D16*Conventional!$B$36+results_all_scenarios!C16*Conventional!$C$36+results_all_scenarios!A16*Conventional!$D$36)*10^-9</f>
        <v>0.4960254100049391</v>
      </c>
      <c r="BB16" s="5">
        <f>(D16*Conventional!$B$37+results_all_scenarios!C16*Conventional!$C$37+results_all_scenarios!A16*Conventional!$D$37)*10^-9</f>
        <v>0.45390881731642019</v>
      </c>
      <c r="BC16" s="5">
        <f t="shared" si="1"/>
        <v>0.5659871909677735</v>
      </c>
      <c r="BD16" s="5">
        <f t="shared" si="2"/>
        <v>0.14241717299767059</v>
      </c>
      <c r="BE16" s="5">
        <f t="shared" si="3"/>
        <v>0.13032479638548555</v>
      </c>
      <c r="BF16" s="11">
        <f t="shared" si="25"/>
        <v>0.34949150447566435</v>
      </c>
      <c r="BG16" s="11">
        <f t="shared" si="26"/>
        <v>0.35755063212983201</v>
      </c>
      <c r="BH16" s="11">
        <f t="shared" si="27"/>
        <v>0.35418927057670863</v>
      </c>
      <c r="BI16" s="5">
        <f t="shared" si="28"/>
        <v>20.793522330799977</v>
      </c>
      <c r="BJ16" s="7">
        <f t="shared" si="29"/>
        <v>79773.254733821028</v>
      </c>
      <c r="BK16" s="7">
        <f t="shared" si="30"/>
        <v>88462.888578269965</v>
      </c>
      <c r="BL16" s="14">
        <f>A16/(R16+Conventional!$B$54)/8760</f>
        <v>0.58174946724398857</v>
      </c>
      <c r="BM16" s="14">
        <f>C16/(S16+Conventional!$B$53)/8760</f>
        <v>8.4248507939118991E-2</v>
      </c>
      <c r="BN16" s="14">
        <f>D16/(T16+Conventional!$B$52)/8760</f>
        <v>8.4455314491926996E-3</v>
      </c>
      <c r="BO16" s="14">
        <f t="shared" si="4"/>
        <v>0.60790702344845615</v>
      </c>
      <c r="BP16" s="14">
        <f t="shared" si="5"/>
        <v>1.7257737367733457E-2</v>
      </c>
      <c r="BQ16" s="14">
        <f t="shared" si="6"/>
        <v>2.3201897680753536E-3</v>
      </c>
      <c r="BR16" s="14">
        <f t="shared" si="7"/>
        <v>3.6977151685487181E-2</v>
      </c>
      <c r="BS16" s="14">
        <f t="shared" si="8"/>
        <v>8.6269377078561343E-3</v>
      </c>
      <c r="BT16" s="14">
        <f t="shared" si="9"/>
        <v>7.0317656523753518E-4</v>
      </c>
      <c r="BU16" s="14">
        <f t="shared" si="10"/>
        <v>4.3704182767681244E-4</v>
      </c>
      <c r="BV16" s="14">
        <f t="shared" si="11"/>
        <v>0.32577074168690073</v>
      </c>
      <c r="BW16" s="11">
        <f>C16/(Conventional!$B$53*8760)</f>
        <v>0.31268389904272731</v>
      </c>
      <c r="BX16" s="11">
        <f>D16/(Conventional!$B$52*8760)</f>
        <v>0.58459347853765531</v>
      </c>
    </row>
    <row r="17" spans="1:76" s="23" customFormat="1" x14ac:dyDescent="0.25">
      <c r="A17">
        <v>2360165784</v>
      </c>
      <c r="B17">
        <v>2073257.81</v>
      </c>
      <c r="C17">
        <v>43139370.340000004</v>
      </c>
      <c r="D17">
        <v>5752836.9699999997</v>
      </c>
      <c r="E17">
        <v>128787887.3</v>
      </c>
      <c r="F17">
        <v>30046800</v>
      </c>
      <c r="G17">
        <v>535103.14</v>
      </c>
      <c r="H17">
        <v>575570892.60000002</v>
      </c>
      <c r="I17">
        <v>3482904481</v>
      </c>
      <c r="J17">
        <v>912403442</v>
      </c>
      <c r="K17">
        <v>1142202955</v>
      </c>
      <c r="L17">
        <v>336832549.60000002</v>
      </c>
      <c r="M17">
        <v>450047</v>
      </c>
      <c r="N17">
        <v>600057</v>
      </c>
      <c r="O17">
        <v>150010</v>
      </c>
      <c r="P17" s="1">
        <v>42686.445833333331</v>
      </c>
      <c r="Q17" s="2">
        <v>5240000000000</v>
      </c>
      <c r="R17">
        <v>265980</v>
      </c>
      <c r="S17">
        <v>44250</v>
      </c>
      <c r="T17">
        <v>90550</v>
      </c>
      <c r="U17" t="s">
        <v>22</v>
      </c>
      <c r="V17">
        <v>15</v>
      </c>
      <c r="W17" t="s">
        <v>172</v>
      </c>
      <c r="X17" t="s">
        <v>180</v>
      </c>
      <c r="Y17" t="s">
        <v>177</v>
      </c>
      <c r="Z17" s="25">
        <f>Conventional!$D$44*results_all_scenarios!R17/10^3</f>
        <v>96061.116418361053</v>
      </c>
      <c r="AA17" s="25">
        <f>Conventional!$C$44*results_all_scenarios!S17/10^3</f>
        <v>6647.7843869532126</v>
      </c>
      <c r="AB17" s="25">
        <f>Conventional!$B$44*results_all_scenarios!T17/10^3</f>
        <v>7363.2146030287759</v>
      </c>
      <c r="AC17" s="25">
        <f>Renewables!$C$11*results_all_scenarios!M17/10^3</f>
        <v>65491.017991609238</v>
      </c>
      <c r="AD17" s="25">
        <f>Renewables!$B$11*results_all_scenarios!O17/10^3</f>
        <v>26840.151552810203</v>
      </c>
      <c r="AE17" s="25">
        <f t="shared" si="12"/>
        <v>202403.28495276248</v>
      </c>
      <c r="AF17" s="24">
        <f t="shared" si="0"/>
        <v>80615.38461538461</v>
      </c>
      <c r="AG17" s="25">
        <f t="shared" si="13"/>
        <v>283018.6695681471</v>
      </c>
      <c r="AH17" s="25">
        <f t="shared" si="31"/>
        <v>34491.580802546116</v>
      </c>
      <c r="AI17" s="25">
        <f t="shared" si="14"/>
        <v>101.19555154464165</v>
      </c>
      <c r="AJ17" s="25">
        <f t="shared" si="15"/>
        <v>30.343750706748438</v>
      </c>
      <c r="AK17" s="25">
        <f t="shared" si="16"/>
        <v>33.048807978791203</v>
      </c>
      <c r="AL17" s="17">
        <f t="shared" si="32"/>
        <v>63.39255868553964</v>
      </c>
      <c r="AM17" s="26">
        <f t="shared" si="17"/>
        <v>37.802992859102034</v>
      </c>
      <c r="AN17" s="26">
        <f t="shared" si="33"/>
        <v>37.802992859102005</v>
      </c>
      <c r="AO17" s="27">
        <f t="shared" si="18"/>
        <v>0.2619662545950826</v>
      </c>
      <c r="AP17" s="27">
        <f t="shared" si="19"/>
        <v>0.20118973777300375</v>
      </c>
      <c r="AQ17" s="27">
        <f t="shared" si="20"/>
        <v>3.0830404444911065E-2</v>
      </c>
      <c r="AT17" s="18">
        <f t="shared" si="21"/>
        <v>80.836045065580706</v>
      </c>
      <c r="AU17" s="18">
        <f t="shared" si="22"/>
        <v>24.238899459008319</v>
      </c>
      <c r="AV17" s="18">
        <f t="shared" si="23"/>
        <v>26.399726967827846</v>
      </c>
      <c r="AW17" s="18">
        <f t="shared" si="34"/>
        <v>50.638626426836169</v>
      </c>
      <c r="AX17" s="18">
        <f t="shared" si="24"/>
        <v>30.197418638744562</v>
      </c>
      <c r="AY17" s="18">
        <f t="shared" si="35"/>
        <v>30.197418638744537</v>
      </c>
      <c r="AZ17" s="7">
        <f>(D17*Conventional!$B$35+results_all_scenarios!C17*Conventional!$C$35+results_all_scenarios!A17*Conventional!$D$35+B17*Conventional!$F$35)*10^-6</f>
        <v>2184.7507737411138</v>
      </c>
      <c r="BA17" s="5">
        <f>(D17*Conventional!$B$36+results_all_scenarios!C17*Conventional!$C$36+results_all_scenarios!A17*Conventional!$D$36)*10^-9</f>
        <v>0.55290616168131956</v>
      </c>
      <c r="BB17" s="5">
        <f>(D17*Conventional!$B$37+results_all_scenarios!C17*Conventional!$C$37+results_all_scenarios!A17*Conventional!$D$37)*10^-9</f>
        <v>0.5047699810221038</v>
      </c>
      <c r="BC17" s="5">
        <f t="shared" si="1"/>
        <v>0.62727840676062285</v>
      </c>
      <c r="BD17" s="5">
        <f t="shared" si="2"/>
        <v>0.15874858604292558</v>
      </c>
      <c r="BE17" s="5">
        <f t="shared" si="3"/>
        <v>0.14492788526809552</v>
      </c>
      <c r="BF17" s="11">
        <f t="shared" si="25"/>
        <v>0.27904740748808088</v>
      </c>
      <c r="BG17" s="11">
        <f t="shared" si="26"/>
        <v>0.28387899712607939</v>
      </c>
      <c r="BH17" s="11">
        <f t="shared" si="27"/>
        <v>0.28182520982486048</v>
      </c>
      <c r="BI17" s="5">
        <f t="shared" si="28"/>
        <v>40.788704634203832</v>
      </c>
      <c r="BJ17" s="7">
        <f t="shared" si="29"/>
        <v>157367.41766388525</v>
      </c>
      <c r="BK17" s="7">
        <f t="shared" si="30"/>
        <v>174128.51533491208</v>
      </c>
      <c r="BL17" s="14">
        <f>A17/(R17+Conventional!$B$54)/8760</f>
        <v>0.59119634214241179</v>
      </c>
      <c r="BM17" s="14">
        <f>C17/(S17+Conventional!$B$53)/8760</f>
        <v>7.4396254271552442E-2</v>
      </c>
      <c r="BN17" s="14">
        <f>D17/(T17+Conventional!$B$52)/8760</f>
        <v>7.1283057169021146E-3</v>
      </c>
      <c r="BO17" s="14">
        <f t="shared" si="4"/>
        <v>0.67764298357167607</v>
      </c>
      <c r="BP17" s="14">
        <f t="shared" si="5"/>
        <v>1.2386033144272154E-2</v>
      </c>
      <c r="BQ17" s="14">
        <f t="shared" si="6"/>
        <v>1.6517354987433547E-3</v>
      </c>
      <c r="BR17" s="14">
        <f t="shared" si="7"/>
        <v>3.6977151685487181E-2</v>
      </c>
      <c r="BS17" s="14">
        <f t="shared" si="8"/>
        <v>8.6269377078561343E-3</v>
      </c>
      <c r="BT17" s="14">
        <f t="shared" si="9"/>
        <v>5.9526691625052348E-4</v>
      </c>
      <c r="BU17" s="14">
        <f t="shared" si="10"/>
        <v>1.5363704141732964E-4</v>
      </c>
      <c r="BV17" s="14">
        <f t="shared" si="11"/>
        <v>0.2619662545950826</v>
      </c>
      <c r="BW17" s="11">
        <f>C17/(Conventional!$B$53*8760)</f>
        <v>0.22441604334903126</v>
      </c>
      <c r="BX17" s="11">
        <f>D17/(Conventional!$B$52*8760)</f>
        <v>0.41617018319819898</v>
      </c>
    </row>
    <row r="18" spans="1:76" s="23" customFormat="1" x14ac:dyDescent="0.25">
      <c r="A18">
        <v>2665741992</v>
      </c>
      <c r="B18">
        <v>1746965.87</v>
      </c>
      <c r="C18">
        <v>35664568.5</v>
      </c>
      <c r="D18">
        <v>3549588.54</v>
      </c>
      <c r="E18">
        <v>128787887.3</v>
      </c>
      <c r="F18">
        <v>30046800</v>
      </c>
      <c r="G18">
        <v>17365.439999999999</v>
      </c>
      <c r="H18">
        <v>617349313.10000002</v>
      </c>
      <c r="I18">
        <v>3482904481</v>
      </c>
      <c r="J18">
        <v>617349313.10000002</v>
      </c>
      <c r="K18">
        <v>1026500345</v>
      </c>
      <c r="L18">
        <v>0</v>
      </c>
      <c r="M18">
        <v>600051</v>
      </c>
      <c r="N18">
        <v>600051</v>
      </c>
      <c r="O18">
        <v>0</v>
      </c>
      <c r="P18" s="1">
        <v>42686.196527777778</v>
      </c>
      <c r="Q18" s="2">
        <v>5910000000000</v>
      </c>
      <c r="R18">
        <v>324720</v>
      </c>
      <c r="S18">
        <v>34250</v>
      </c>
      <c r="T18">
        <v>53800</v>
      </c>
      <c r="U18" t="s">
        <v>21</v>
      </c>
      <c r="V18">
        <v>16</v>
      </c>
      <c r="W18" t="s">
        <v>172</v>
      </c>
      <c r="X18" t="s">
        <v>180</v>
      </c>
      <c r="Y18" t="s">
        <v>178</v>
      </c>
      <c r="Z18" s="25">
        <f>Conventional!$D$44*results_all_scenarios!R18/10^3</f>
        <v>117275.60614847057</v>
      </c>
      <c r="AA18" s="25">
        <f>Conventional!$C$44*results_all_scenarios!S18/10^3</f>
        <v>5145.4602317095496</v>
      </c>
      <c r="AB18" s="25">
        <f>Conventional!$B$44*results_all_scenarios!T18/10^3</f>
        <v>4374.8309844610503</v>
      </c>
      <c r="AC18" s="25">
        <f>Renewables!$C$11*results_all_scenarios!M18/10^3</f>
        <v>87319.659584183682</v>
      </c>
      <c r="AD18" s="25">
        <f>Renewables!$B$11*results_all_scenarios!O18/10^3</f>
        <v>0</v>
      </c>
      <c r="AE18" s="25">
        <f t="shared" si="12"/>
        <v>214115.55694882484</v>
      </c>
      <c r="AF18" s="24">
        <f t="shared" si="0"/>
        <v>90923.076923076922</v>
      </c>
      <c r="AG18" s="25">
        <f t="shared" si="13"/>
        <v>305038.63387190178</v>
      </c>
      <c r="AH18" s="25">
        <f t="shared" si="31"/>
        <v>56511.545106300793</v>
      </c>
      <c r="AI18" s="25">
        <f t="shared" si="14"/>
        <v>141.44287153363916</v>
      </c>
      <c r="AJ18" s="25">
        <f t="shared" si="15"/>
        <v>17.756496037363227</v>
      </c>
      <c r="AK18" s="25">
        <f t="shared" si="16"/>
        <v>32.147365235569808</v>
      </c>
      <c r="AL18" s="17">
        <f t="shared" si="32"/>
        <v>49.903861272933035</v>
      </c>
      <c r="AM18" s="26">
        <f t="shared" si="17"/>
        <v>91.539010260706149</v>
      </c>
      <c r="AN18" s="26">
        <f t="shared" si="33"/>
        <v>91.539010260706121</v>
      </c>
      <c r="AO18" s="27">
        <f t="shared" si="18"/>
        <v>0.17725129025724781</v>
      </c>
      <c r="AP18" s="27">
        <f t="shared" si="19"/>
        <v>0.39858830432248904</v>
      </c>
      <c r="AQ18" s="27">
        <f t="shared" si="20"/>
        <v>1.0849077828384587E-2</v>
      </c>
      <c r="AR18" s="26">
        <f>AC18/K18*10^6</f>
        <v>85.065397210542272</v>
      </c>
      <c r="AT18" s="18">
        <f t="shared" si="21"/>
        <v>85.065397210542272</v>
      </c>
      <c r="AU18" s="18">
        <f t="shared" si="22"/>
        <v>10.678964391121623</v>
      </c>
      <c r="AV18" s="18">
        <f t="shared" si="23"/>
        <v>19.333801437888308</v>
      </c>
      <c r="AW18" s="18">
        <f t="shared" si="34"/>
        <v>30.012765829009929</v>
      </c>
      <c r="AX18" s="18">
        <f t="shared" si="24"/>
        <v>55.052631381532358</v>
      </c>
      <c r="AY18" s="18">
        <f t="shared" si="35"/>
        <v>55.052631381532336</v>
      </c>
      <c r="AZ18" s="7">
        <f>(D18*Conventional!$B$35+results_all_scenarios!C18*Conventional!$C$35+results_all_scenarios!A18*Conventional!$D$35+B18*Conventional!$F$35)*10^-6</f>
        <v>2459.7538370799075</v>
      </c>
      <c r="BA18" s="5">
        <f>(D18*Conventional!$B$36+results_all_scenarios!C18*Conventional!$C$36+results_all_scenarios!A18*Conventional!$D$36)*10^-9</f>
        <v>0.62447961592682577</v>
      </c>
      <c r="BB18" s="5">
        <f>(D18*Conventional!$B$37+results_all_scenarios!C18*Conventional!$C$37+results_all_scenarios!A18*Conventional!$D$37)*10^-9</f>
        <v>0.56925392341384662</v>
      </c>
      <c r="BC18" s="5">
        <f t="shared" si="1"/>
        <v>0.70623637555907681</v>
      </c>
      <c r="BD18" s="5">
        <f t="shared" si="2"/>
        <v>0.17929851919095044</v>
      </c>
      <c r="BE18" s="5">
        <f t="shared" si="3"/>
        <v>0.16344230125151302</v>
      </c>
      <c r="BF18" s="11">
        <f t="shared" si="25"/>
        <v>0.18829830518964338</v>
      </c>
      <c r="BG18" s="11">
        <f t="shared" si="26"/>
        <v>0.19117745500981564</v>
      </c>
      <c r="BH18" s="11">
        <f t="shared" si="27"/>
        <v>0.19007898176454377</v>
      </c>
      <c r="BI18" s="5">
        <f t="shared" si="28"/>
        <v>99.036566788546082</v>
      </c>
      <c r="BJ18" s="7">
        <f t="shared" si="29"/>
        <v>382856.026053123</v>
      </c>
      <c r="BK18" s="7">
        <f t="shared" si="30"/>
        <v>422999.37120551191</v>
      </c>
      <c r="BL18" s="14">
        <f>A18/(R18+Conventional!$B$54)/8760</f>
        <v>0.59150006429025359</v>
      </c>
      <c r="BM18" s="14">
        <f>C18/(S18+Conventional!$B$53)/8760</f>
        <v>7.2450755845332296E-2</v>
      </c>
      <c r="BN18" s="14">
        <f>D18/(T18+Conventional!$B$52)/8760</f>
        <v>7.3170604072533623E-3</v>
      </c>
      <c r="BO18" s="14">
        <f t="shared" si="4"/>
        <v>0.76537901241397843</v>
      </c>
      <c r="BP18" s="14">
        <f t="shared" si="5"/>
        <v>1.0239892794809035E-2</v>
      </c>
      <c r="BQ18" s="14">
        <f t="shared" si="6"/>
        <v>1.0191461061776963E-3</v>
      </c>
      <c r="BR18" s="14">
        <f t="shared" si="7"/>
        <v>3.6977151685487181E-2</v>
      </c>
      <c r="BS18" s="14">
        <f t="shared" si="8"/>
        <v>8.6269377078561343E-3</v>
      </c>
      <c r="BT18" s="14">
        <f t="shared" si="9"/>
        <v>5.0158305504215757E-4</v>
      </c>
      <c r="BU18" s="14">
        <f t="shared" si="10"/>
        <v>4.9859076224261227E-6</v>
      </c>
      <c r="BV18" s="14">
        <f t="shared" si="11"/>
        <v>0.17725129025724781</v>
      </c>
      <c r="BW18" s="11">
        <f>C18/(Conventional!$B$53*8760)</f>
        <v>0.18553125109244453</v>
      </c>
      <c r="BX18" s="11">
        <f>D18/(Conventional!$B$52*8760)</f>
        <v>0.25678337847457333</v>
      </c>
    </row>
    <row r="19" spans="1:76" x14ac:dyDescent="0.25">
      <c r="A19" s="29">
        <v>3298162783.8499999</v>
      </c>
      <c r="B19" s="29">
        <v>168410.11</v>
      </c>
      <c r="C19" s="29">
        <v>24273457.899999999</v>
      </c>
      <c r="D19" s="29">
        <v>1465141.96</v>
      </c>
      <c r="E19" s="29">
        <v>128787887.33</v>
      </c>
      <c r="F19" s="29">
        <v>30046800</v>
      </c>
      <c r="G19" s="29">
        <v>0</v>
      </c>
      <c r="H19" s="29">
        <v>0</v>
      </c>
      <c r="I19" s="29">
        <v>3482904481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1">
        <v>42691.493819444448</v>
      </c>
      <c r="Q19" s="30">
        <v>7197031998390</v>
      </c>
      <c r="R19" s="29">
        <v>419760</v>
      </c>
      <c r="S19" s="29">
        <v>0</v>
      </c>
      <c r="T19" s="29">
        <v>0</v>
      </c>
      <c r="U19" s="29" t="s">
        <v>26</v>
      </c>
      <c r="V19">
        <v>17</v>
      </c>
      <c r="W19" t="s">
        <v>181</v>
      </c>
      <c r="X19" t="s">
        <v>170</v>
      </c>
      <c r="Y19" t="s">
        <v>171</v>
      </c>
      <c r="Z19" s="7">
        <f>Conventional!$E$44*results_all_scenarios!R19/10^3</f>
        <v>58770.637024803284</v>
      </c>
      <c r="AA19" s="7">
        <f>Conventional!$C$44*results_all_scenarios!S19/10^3</f>
        <v>0</v>
      </c>
      <c r="AB19" s="7">
        <f>Conventional!$B$44*results_all_scenarios!T19/10^3</f>
        <v>0</v>
      </c>
      <c r="AC19" s="7">
        <f>Renewables!$C$11*results_all_scenarios!M19/10^3</f>
        <v>0</v>
      </c>
      <c r="AD19" s="7">
        <f>Renewables!$B$11*results_all_scenarios!O19/10^3</f>
        <v>0</v>
      </c>
      <c r="AE19" s="7">
        <f>SUM(Z19:AD19)</f>
        <v>58770.637024803284</v>
      </c>
      <c r="AF19" s="2">
        <f t="shared" si="0"/>
        <v>110723.569206</v>
      </c>
      <c r="AG19" s="7">
        <f>SUM(AE19:AF19)</f>
        <v>169494.20623080328</v>
      </c>
      <c r="AI19">
        <v>0</v>
      </c>
      <c r="AO19">
        <v>0</v>
      </c>
      <c r="AQ19">
        <v>0</v>
      </c>
      <c r="AZ19" s="7">
        <f>(D19*Conventional!$B$35+results_all_scenarios!C19*Conventional!$C$35+results_all_scenarios!A19*Conventional!$D$35+B19*Conventional!$F$35)*10^-6</f>
        <v>3031.4463705503094</v>
      </c>
      <c r="BA19" s="5">
        <f>(D19*Conventional!$B$36+results_all_scenarios!C19*Conventional!$C$36+results_all_scenarios!A19*Conventional!$D$36)*10^-9</f>
        <v>0.772613718649238</v>
      </c>
      <c r="BB19" s="5">
        <f>(D19*Conventional!$B$37+results_all_scenarios!C19*Conventional!$C$37+results_all_scenarios!A19*Conventional!$D$37)*10^-9</f>
        <v>0.70325903843781734</v>
      </c>
      <c r="BC19" s="5">
        <f t="shared" si="1"/>
        <v>0.87037884245390806</v>
      </c>
      <c r="BD19" s="5">
        <f t="shared" si="2"/>
        <v>0.2218302921782706</v>
      </c>
      <c r="BE19" s="5">
        <f t="shared" si="3"/>
        <v>0.20191740608283923</v>
      </c>
      <c r="BF19" s="11">
        <f>($AZ$19-AZ19)/$AZ$19</f>
        <v>0</v>
      </c>
      <c r="BG19" s="11">
        <f>($BA$19-BA19)/$BA$19</f>
        <v>0</v>
      </c>
      <c r="BH19" s="11">
        <f>($BB$35-BB19)/$BB$35</f>
        <v>-8.4169933142662966E-5</v>
      </c>
      <c r="BI19">
        <v>0</v>
      </c>
      <c r="BL19" s="14">
        <f>A19/(R19+Conventional!$B$54)/8760</f>
        <v>0.61771458812932811</v>
      </c>
      <c r="BM19" s="14">
        <f>C19/(S19+Conventional!$B$53)/8760</f>
        <v>0.12627336322677732</v>
      </c>
      <c r="BN19" s="14">
        <f>D19/(T19+Conventional!$B$52)/8760</f>
        <v>0.10599090519760866</v>
      </c>
      <c r="BO19" s="14">
        <f t="shared" si="4"/>
        <v>0.94695757573662842</v>
      </c>
      <c r="BP19" s="14">
        <f t="shared" si="5"/>
        <v>6.9693148440954896E-3</v>
      </c>
      <c r="BQ19" s="14">
        <f t="shared" si="6"/>
        <v>4.206667073394253E-4</v>
      </c>
      <c r="BR19" s="14">
        <f t="shared" si="7"/>
        <v>3.6977151694100679E-2</v>
      </c>
      <c r="BS19" s="14">
        <f t="shared" si="8"/>
        <v>8.6269377078561343E-3</v>
      </c>
      <c r="BT19" s="14">
        <f t="shared" si="9"/>
        <v>4.8353353047352776E-5</v>
      </c>
      <c r="BU19" s="14">
        <f t="shared" si="10"/>
        <v>0</v>
      </c>
      <c r="BV19" s="14">
        <f t="shared" si="11"/>
        <v>0</v>
      </c>
      <c r="BW19" s="11">
        <f>C19/(Conventional!$B$53*8760)</f>
        <v>0.12627336322677732</v>
      </c>
      <c r="BX19" s="11">
        <f>D19/(Conventional!$B$52*8760)</f>
        <v>0.10599090519760868</v>
      </c>
    </row>
    <row r="20" spans="1:76" x14ac:dyDescent="0.25">
      <c r="A20">
        <v>2832814844.6999998</v>
      </c>
      <c r="B20">
        <v>170082.15</v>
      </c>
      <c r="C20">
        <v>12763607.41</v>
      </c>
      <c r="D20">
        <v>1154435.01</v>
      </c>
      <c r="E20">
        <v>128787887.33</v>
      </c>
      <c r="F20">
        <v>30046800</v>
      </c>
      <c r="G20">
        <v>0</v>
      </c>
      <c r="H20">
        <v>0</v>
      </c>
      <c r="I20">
        <v>3482904481</v>
      </c>
      <c r="J20">
        <v>477166824.56999999</v>
      </c>
      <c r="K20">
        <v>477166824.56400001</v>
      </c>
      <c r="L20">
        <v>477166824.56999999</v>
      </c>
      <c r="M20">
        <v>0</v>
      </c>
      <c r="N20">
        <v>200005</v>
      </c>
      <c r="O20">
        <v>200005</v>
      </c>
      <c r="P20" s="1">
        <v>42688.061203703706</v>
      </c>
      <c r="Q20" s="2">
        <v>6025798525090</v>
      </c>
      <c r="R20">
        <v>409200</v>
      </c>
      <c r="S20">
        <v>0</v>
      </c>
      <c r="T20">
        <v>0</v>
      </c>
      <c r="U20" t="s">
        <v>27</v>
      </c>
      <c r="V20">
        <v>18</v>
      </c>
      <c r="W20" t="s">
        <v>181</v>
      </c>
      <c r="X20" t="s">
        <v>173</v>
      </c>
      <c r="Y20" t="s">
        <v>174</v>
      </c>
      <c r="Z20" s="7">
        <f>Conventional!$E$44*results_all_scenarios!R20/10^3</f>
        <v>57292.130432984333</v>
      </c>
      <c r="AA20" s="17">
        <f>Conventional!$C$44*results_all_scenarios!S20/10^3</f>
        <v>0</v>
      </c>
      <c r="AB20" s="17">
        <f>Conventional!$B$44*results_all_scenarios!T20/10^3</f>
        <v>0</v>
      </c>
      <c r="AC20" s="17">
        <f>Renewables!$C$11*results_all_scenarios!M20/10^3</f>
        <v>0</v>
      </c>
      <c r="AD20" s="17">
        <f>Renewables!$B$11*results_all_scenarios!O20/10^3</f>
        <v>35785.377716950898</v>
      </c>
      <c r="AE20" s="17">
        <f t="shared" ref="AE20:AE34" si="36">SUM(Z20:AD20)</f>
        <v>93077.508149935224</v>
      </c>
      <c r="AF20" s="16">
        <f t="shared" si="0"/>
        <v>92704.592693692306</v>
      </c>
      <c r="AG20" s="17">
        <f t="shared" ref="AG20:AG34" si="37">SUM(AE20:AF20)</f>
        <v>185782.10084362753</v>
      </c>
      <c r="AH20" s="17">
        <f>AG20-$AG$19</f>
        <v>16287.894612824253</v>
      </c>
      <c r="AI20" s="17">
        <f t="shared" ref="AI20:AI34" si="38">(AC20+AD20)*10^6/J20</f>
        <v>74.995527505917821</v>
      </c>
      <c r="AJ20" s="17">
        <f>(SUM($Z$19:$AB$19)-SUM(Z20:AB20))/J20*10^6</f>
        <v>3.0985108680833164</v>
      </c>
      <c r="AK20" s="17">
        <f>($AF$19-AF20)/J20*10^6</f>
        <v>37.762425182315503</v>
      </c>
      <c r="AL20" s="17">
        <f>AJ20+AK20</f>
        <v>40.86093605039882</v>
      </c>
      <c r="AM20" s="18">
        <f t="shared" ref="AM20:AM34" si="39">AH20/J20*10^6</f>
        <v>34.134591455518994</v>
      </c>
      <c r="AN20" s="18">
        <f>AI20-AJ20-AK20</f>
        <v>34.134591455518994</v>
      </c>
      <c r="AO20" s="27">
        <f t="shared" ref="AO20:AO34" si="40">J20/I20</f>
        <v>0.13700255840292164</v>
      </c>
      <c r="AP20" s="27">
        <f t="shared" ref="AP20:AP34" si="41">(K20-J20)/K20</f>
        <v>-1.2574181707849219E-11</v>
      </c>
      <c r="AQ20" s="27">
        <f>(SUM($R$19:$T$19)-SUM(R20:T20))/SUM(N20)</f>
        <v>5.2798680032999173E-2</v>
      </c>
      <c r="AR20" s="15"/>
      <c r="AS20" s="18">
        <f>AD20/K20*10^6</f>
        <v>74.995527506860839</v>
      </c>
      <c r="AT20" s="18">
        <f t="shared" ref="AT20:AT34" si="42">(AC20+AD20)/K20*10^6</f>
        <v>74.995527506860839</v>
      </c>
      <c r="AU20" s="18">
        <f>(SUM($Z$19:$AB$19)-SUM(Z20:AB20))/K20*10^6</f>
        <v>3.0985108681222777</v>
      </c>
      <c r="AV20" s="18">
        <f>($AF$19-AF20)/K20*10^6</f>
        <v>37.762425182790338</v>
      </c>
      <c r="AW20" s="18">
        <f>AU20+AV20</f>
        <v>40.860936050912613</v>
      </c>
      <c r="AX20" s="18">
        <f t="shared" ref="AX20:AX34" si="43">AH20/K20*10^6</f>
        <v>34.134591455948211</v>
      </c>
      <c r="AY20" s="18">
        <f>AT20-AU20-AV20</f>
        <v>34.134591455948225</v>
      </c>
      <c r="AZ20" s="7">
        <f>(D20*Conventional!$B$35+results_all_scenarios!C20*Conventional!$C$35+results_all_scenarios!A20*Conventional!$D$35+B20*Conventional!$F$35)*10^-6</f>
        <v>2600.275042394022</v>
      </c>
      <c r="BA20" s="5">
        <f>(D20*Conventional!$B$36+results_all_scenarios!C20*Conventional!$C$36+results_all_scenarios!A20*Conventional!$D$36)*10^-9</f>
        <v>0.66359732890141632</v>
      </c>
      <c r="BB20" s="5">
        <f>(D20*Conventional!$B$37+results_all_scenarios!C20*Conventional!$C$37+results_all_scenarios!A20*Conventional!$D$37)*10^-9</f>
        <v>0.60380272035692717</v>
      </c>
      <c r="BC20" s="5">
        <f t="shared" si="1"/>
        <v>0.74658235865470524</v>
      </c>
      <c r="BD20" s="5">
        <f t="shared" si="2"/>
        <v>0.19052986739127753</v>
      </c>
      <c r="BE20" s="5">
        <f t="shared" si="3"/>
        <v>0.17336183741208008</v>
      </c>
      <c r="BF20" s="11">
        <f t="shared" ref="BF20:BF34" si="44">($AZ$19-AZ20)/$AZ$19</f>
        <v>0.14223287350388303</v>
      </c>
      <c r="BG20" s="11">
        <f t="shared" ref="BG20:BG34" si="45">($BA$19-BA20)/$BA$19</f>
        <v>0.14110076887893636</v>
      </c>
      <c r="BH20" s="11">
        <f t="shared" ref="BH20:BH34" si="46">($BB$35-BB20)/$BB$35</f>
        <v>0.14134975963778654</v>
      </c>
      <c r="BI20" s="5">
        <f>AH20/($AZ$19-AZ20)</f>
        <v>37.775922351962024</v>
      </c>
      <c r="BJ20" s="7">
        <f>AH20/($BA$19-BA20)</f>
        <v>149407.76015883163</v>
      </c>
      <c r="BK20" s="7">
        <f>AH20/($BB$19-BB20)</f>
        <v>163769.33036649239</v>
      </c>
      <c r="BL20" s="14">
        <f>A20/(R20+Conventional!$B$54)/8760</f>
        <v>0.5399135653189947</v>
      </c>
      <c r="BM20" s="14">
        <f>C20/(S20+Conventional!$B$53)/8760</f>
        <v>6.6397776584065371E-2</v>
      </c>
      <c r="BN20" s="14">
        <f>D20/(T20+Conventional!$B$52)/8760</f>
        <v>8.3513826675000444E-2</v>
      </c>
      <c r="BO20" s="14">
        <f t="shared" si="4"/>
        <v>0.81334841657404611</v>
      </c>
      <c r="BP20" s="14">
        <f t="shared" si="5"/>
        <v>3.6646446894045615E-3</v>
      </c>
      <c r="BQ20" s="14">
        <f t="shared" si="6"/>
        <v>3.3145755684592946E-4</v>
      </c>
      <c r="BR20" s="14">
        <f t="shared" si="7"/>
        <v>3.6977151694100679E-2</v>
      </c>
      <c r="BS20" s="14">
        <f t="shared" si="8"/>
        <v>8.6269377078561343E-3</v>
      </c>
      <c r="BT20" s="14">
        <f t="shared" si="9"/>
        <v>4.8833423634737917E-5</v>
      </c>
      <c r="BU20" s="14">
        <f t="shared" si="10"/>
        <v>0</v>
      </c>
      <c r="BV20" s="14">
        <f t="shared" si="11"/>
        <v>0.13700255840292164</v>
      </c>
      <c r="BW20" s="11">
        <f>C20/(Conventional!$B$53*8760)</f>
        <v>6.6397776584065371E-2</v>
      </c>
      <c r="BX20" s="11">
        <f>D20/(Conventional!$B$52*8760)</f>
        <v>8.351382667500043E-2</v>
      </c>
    </row>
    <row r="21" spans="1:76" x14ac:dyDescent="0.25">
      <c r="A21">
        <v>2855948550.4699998</v>
      </c>
      <c r="B21">
        <v>170222.83</v>
      </c>
      <c r="C21">
        <v>11929415.32</v>
      </c>
      <c r="D21">
        <v>1199837.01</v>
      </c>
      <c r="E21">
        <v>128787887.33</v>
      </c>
      <c r="F21">
        <v>30046800</v>
      </c>
      <c r="G21">
        <v>0</v>
      </c>
      <c r="H21">
        <v>87844246.670000002</v>
      </c>
      <c r="I21">
        <v>3482904481</v>
      </c>
      <c r="J21">
        <v>454821767.92000002</v>
      </c>
      <c r="K21">
        <v>454821767.96700001</v>
      </c>
      <c r="L21">
        <v>366977521.19999999</v>
      </c>
      <c r="M21">
        <v>50015</v>
      </c>
      <c r="N21">
        <v>200025</v>
      </c>
      <c r="O21">
        <v>150010</v>
      </c>
      <c r="P21" s="1">
        <v>42689.22184027778</v>
      </c>
      <c r="Q21" s="2">
        <v>6073764021600</v>
      </c>
      <c r="R21">
        <v>400620</v>
      </c>
      <c r="S21">
        <v>0</v>
      </c>
      <c r="T21">
        <v>0</v>
      </c>
      <c r="U21" t="s">
        <v>28</v>
      </c>
      <c r="V21">
        <v>19</v>
      </c>
      <c r="W21" t="s">
        <v>181</v>
      </c>
      <c r="X21" t="s">
        <v>173</v>
      </c>
      <c r="Y21" t="s">
        <v>175</v>
      </c>
      <c r="Z21" s="7">
        <f>Conventional!$E$44*results_all_scenarios!R21/10^3</f>
        <v>56090.843827131437</v>
      </c>
      <c r="AA21" s="17">
        <f>Conventional!$C$44*results_all_scenarios!S21/10^3</f>
        <v>0</v>
      </c>
      <c r="AB21" s="17">
        <f>Conventional!$B$44*results_all_scenarios!T21/10^3</f>
        <v>0</v>
      </c>
      <c r="AC21" s="17">
        <f>Renewables!$C$11*results_all_scenarios!M21/10^3</f>
        <v>7278.2026429469279</v>
      </c>
      <c r="AD21" s="17">
        <f>Renewables!$B$11*results_all_scenarios!O21/10^3</f>
        <v>26840.151552810203</v>
      </c>
      <c r="AE21" s="17">
        <f t="shared" si="36"/>
        <v>90209.198022888566</v>
      </c>
      <c r="AF21" s="16">
        <f t="shared" si="0"/>
        <v>93442.523409230766</v>
      </c>
      <c r="AG21" s="17">
        <f t="shared" si="37"/>
        <v>183651.72143211932</v>
      </c>
      <c r="AH21" s="17">
        <f t="shared" ref="AH21:AH34" si="47">AG21-$AG$19</f>
        <v>14157.51520131604</v>
      </c>
      <c r="AI21" s="17">
        <f t="shared" si="38"/>
        <v>75.014778540147418</v>
      </c>
      <c r="AJ21" s="17">
        <f t="shared" ref="AJ21:AJ34" si="48">(SUM($Z$19:$AB$19)-SUM(Z21:AB21))/J21*10^6</f>
        <v>5.8919633726572282</v>
      </c>
      <c r="AK21" s="17">
        <f t="shared" ref="AK21:AK34" si="49">($AF$19-AF21)/J21*10^6</f>
        <v>37.995203870296834</v>
      </c>
      <c r="AL21" s="17">
        <f t="shared" ref="AL21:AL34" si="50">AJ21+AK21</f>
        <v>43.887167242954064</v>
      </c>
      <c r="AM21" s="18">
        <f t="shared" si="39"/>
        <v>31.12761129719334</v>
      </c>
      <c r="AN21" s="18">
        <f t="shared" ref="AN21:AN34" si="51">AI21-AJ21-AK21</f>
        <v>31.127611297193354</v>
      </c>
      <c r="AO21" s="27">
        <f t="shared" si="40"/>
        <v>0.13058691973930134</v>
      </c>
      <c r="AP21" s="27">
        <f t="shared" si="41"/>
        <v>1.0333716248933829E-10</v>
      </c>
      <c r="AQ21" s="27">
        <f t="shared" ref="AQ21:AQ34" si="52">(SUM($R$19:$T$19)-SUM(R21:T21))/SUM(N21)</f>
        <v>9.568803899512561E-2</v>
      </c>
      <c r="AR21" s="15"/>
      <c r="AS21" s="15"/>
      <c r="AT21" s="18">
        <f t="shared" si="42"/>
        <v>75.01477853239561</v>
      </c>
      <c r="AU21" s="18">
        <f t="shared" ref="AU21:AU34" si="53">(SUM($Z$19:$AB$19)-SUM(Z21:AB21))/K21*10^6</f>
        <v>5.8919633720483695</v>
      </c>
      <c r="AV21" s="18">
        <f t="shared" ref="AV21:AV34" si="54">($AF$19-AF21)/K21*10^6</f>
        <v>37.995203866370517</v>
      </c>
      <c r="AW21" s="18">
        <f t="shared" ref="AW21:AW34" si="55">AU21+AV21</f>
        <v>43.887167238418883</v>
      </c>
      <c r="AX21" s="18">
        <f t="shared" si="43"/>
        <v>31.127611293976702</v>
      </c>
      <c r="AY21" s="18">
        <f t="shared" ref="AY21:AY34" si="56">AT21-AU21-AV21</f>
        <v>31.127611293976727</v>
      </c>
      <c r="AZ21" s="7">
        <f>(D21*Conventional!$B$35+results_all_scenarios!C21*Conventional!$C$35+results_all_scenarios!A21*Conventional!$D$35+B21*Conventional!$F$35)*10^-6</f>
        <v>2621.13565853931</v>
      </c>
      <c r="BA21" s="5">
        <f>(D21*Conventional!$B$36+results_all_scenarios!C21*Conventional!$C$36+results_all_scenarios!A21*Conventional!$D$36)*10^-9</f>
        <v>0.66901584710412576</v>
      </c>
      <c r="BB21" s="5">
        <f>(D21*Conventional!$B$37+results_all_scenarios!C21*Conventional!$C$37+results_all_scenarios!A21*Conventional!$D$37)*10^-9</f>
        <v>0.60871529641732003</v>
      </c>
      <c r="BC21" s="5">
        <f t="shared" si="1"/>
        <v>0.75257178967674088</v>
      </c>
      <c r="BD21" s="5">
        <f t="shared" si="2"/>
        <v>0.19208561439274388</v>
      </c>
      <c r="BE21" s="5">
        <f t="shared" si="3"/>
        <v>0.17477231998120937</v>
      </c>
      <c r="BF21" s="11">
        <f t="shared" si="44"/>
        <v>0.13535146654648361</v>
      </c>
      <c r="BG21" s="11">
        <f t="shared" si="45"/>
        <v>0.13408753824127351</v>
      </c>
      <c r="BH21" s="11">
        <f t="shared" si="46"/>
        <v>0.13436372848416656</v>
      </c>
      <c r="BI21" s="5">
        <f t="shared" ref="BI21:BI34" si="57">AH21/($AZ$19-AZ21)</f>
        <v>34.504376285785376</v>
      </c>
      <c r="BJ21" s="7">
        <f t="shared" ref="BJ21:BJ34" si="58">AH21/($BA$19-BA21)</f>
        <v>136658.35977287503</v>
      </c>
      <c r="BK21" s="7">
        <f t="shared" ref="BK21:BK34" si="59">AH21/($BB$19-BB21)</f>
        <v>149745.66162450664</v>
      </c>
      <c r="BL21" s="14">
        <f>A21/(R21+Conventional!$B$54)/8760</f>
        <v>0.55223347436307746</v>
      </c>
      <c r="BM21" s="14">
        <f>C21/(S21+Conventional!$B$53)/8760</f>
        <v>6.2058211895118662E-2</v>
      </c>
      <c r="BN21" s="14">
        <f>D21/(T21+Conventional!$B$52)/8760</f>
        <v>8.6798285935031333E-2</v>
      </c>
      <c r="BO21" s="14">
        <f t="shared" si="4"/>
        <v>0.81999048956117493</v>
      </c>
      <c r="BP21" s="14">
        <f t="shared" si="5"/>
        <v>3.4251342191775717E-3</v>
      </c>
      <c r="BQ21" s="14">
        <f t="shared" si="6"/>
        <v>3.4449322872486779E-4</v>
      </c>
      <c r="BR21" s="14">
        <f t="shared" si="7"/>
        <v>3.6977151694100679E-2</v>
      </c>
      <c r="BS21" s="14">
        <f t="shared" si="8"/>
        <v>8.6269377078561343E-3</v>
      </c>
      <c r="BT21" s="14">
        <f t="shared" si="9"/>
        <v>4.8873815210437862E-5</v>
      </c>
      <c r="BU21" s="14">
        <f t="shared" si="10"/>
        <v>0</v>
      </c>
      <c r="BV21" s="14">
        <f t="shared" si="11"/>
        <v>0.13058691973930134</v>
      </c>
      <c r="BW21" s="11">
        <f>C21/(Conventional!$B$53*8760)</f>
        <v>6.2058211895118669E-2</v>
      </c>
      <c r="BX21" s="11">
        <f>D21/(Conventional!$B$52*8760)</f>
        <v>8.6798285935031333E-2</v>
      </c>
    </row>
    <row r="22" spans="1:76" x14ac:dyDescent="0.25">
      <c r="A22">
        <v>2882282542.4699998</v>
      </c>
      <c r="B22">
        <v>174181.49</v>
      </c>
      <c r="C22">
        <v>13264753.970000001</v>
      </c>
      <c r="D22">
        <v>1130474.23</v>
      </c>
      <c r="E22">
        <v>128787887.33</v>
      </c>
      <c r="F22">
        <v>30046800</v>
      </c>
      <c r="G22">
        <v>0</v>
      </c>
      <c r="H22">
        <v>175038224.00999999</v>
      </c>
      <c r="I22">
        <v>3482904481</v>
      </c>
      <c r="J22">
        <v>427217841.44</v>
      </c>
      <c r="K22">
        <v>427217841.33700001</v>
      </c>
      <c r="L22">
        <v>252179617.28</v>
      </c>
      <c r="M22">
        <v>100079</v>
      </c>
      <c r="N22">
        <v>200102</v>
      </c>
      <c r="O22">
        <v>100023</v>
      </c>
      <c r="P22" s="1">
        <v>42688.127418981479</v>
      </c>
      <c r="Q22" s="2">
        <v>6144962726690</v>
      </c>
      <c r="R22">
        <v>403920</v>
      </c>
      <c r="S22">
        <v>0</v>
      </c>
      <c r="T22">
        <v>0</v>
      </c>
      <c r="U22" t="s">
        <v>29</v>
      </c>
      <c r="V22">
        <v>20</v>
      </c>
      <c r="W22" t="s">
        <v>181</v>
      </c>
      <c r="X22" t="s">
        <v>173</v>
      </c>
      <c r="Y22" t="s">
        <v>176</v>
      </c>
      <c r="Z22" s="7">
        <f>Conventional!$E$44*results_all_scenarios!R22/10^3</f>
        <v>56552.877137074858</v>
      </c>
      <c r="AA22" s="17">
        <f>Conventional!$C$44*results_all_scenarios!S22/10^3</f>
        <v>0</v>
      </c>
      <c r="AB22" s="17">
        <f>Conventional!$B$44*results_all_scenarios!T22/10^3</f>
        <v>0</v>
      </c>
      <c r="AC22" s="17">
        <f>Renewables!$C$11*results_all_scenarios!M22/10^3</f>
        <v>14563.53578533411</v>
      </c>
      <c r="AD22" s="17">
        <f>Renewables!$B$11*results_all_scenarios!O22/10^3</f>
        <v>17896.3567679937</v>
      </c>
      <c r="AE22" s="17">
        <f t="shared" si="36"/>
        <v>89012.769690402667</v>
      </c>
      <c r="AF22" s="16">
        <f t="shared" si="0"/>
        <v>94537.888102923069</v>
      </c>
      <c r="AG22" s="17">
        <f t="shared" si="37"/>
        <v>183550.65779332572</v>
      </c>
      <c r="AH22" s="17">
        <f t="shared" si="47"/>
        <v>14056.451562522445</v>
      </c>
      <c r="AI22" s="17">
        <f t="shared" si="38"/>
        <v>75.979721361629018</v>
      </c>
      <c r="AJ22" s="17">
        <f t="shared" si="48"/>
        <v>5.191168702723516</v>
      </c>
      <c r="AK22" s="17">
        <f t="shared" si="49"/>
        <v>37.886248028688911</v>
      </c>
      <c r="AL22" s="17">
        <f t="shared" si="50"/>
        <v>43.077416731412427</v>
      </c>
      <c r="AM22" s="18">
        <f t="shared" si="39"/>
        <v>32.902304630216577</v>
      </c>
      <c r="AN22" s="18">
        <f t="shared" si="51"/>
        <v>32.902304630216591</v>
      </c>
      <c r="AO22" s="27">
        <f t="shared" si="40"/>
        <v>0.12266137178626806</v>
      </c>
      <c r="AP22" s="27">
        <f t="shared" si="41"/>
        <v>-2.4109476536772058E-10</v>
      </c>
      <c r="AQ22" s="27">
        <f t="shared" si="52"/>
        <v>7.9159628589419398E-2</v>
      </c>
      <c r="AR22" s="15"/>
      <c r="AS22" s="15"/>
      <c r="AT22" s="18">
        <f t="shared" si="42"/>
        <v>75.979721379947335</v>
      </c>
      <c r="AU22" s="18">
        <f t="shared" si="53"/>
        <v>5.1911687039750793</v>
      </c>
      <c r="AV22" s="18">
        <f t="shared" si="54"/>
        <v>37.886248037823087</v>
      </c>
      <c r="AW22" s="18">
        <f t="shared" si="55"/>
        <v>43.077416741798167</v>
      </c>
      <c r="AX22" s="18">
        <f t="shared" si="43"/>
        <v>32.902304638149154</v>
      </c>
      <c r="AY22" s="18">
        <f t="shared" si="56"/>
        <v>32.902304638149168</v>
      </c>
      <c r="AZ22" s="7">
        <f>(D22*Conventional!$B$35+results_all_scenarios!C22*Conventional!$C$35+results_all_scenarios!A22*Conventional!$D$35+B22*Conventional!$F$35)*10^-6</f>
        <v>2645.7724246211633</v>
      </c>
      <c r="BA22" s="5">
        <f>(D22*Conventional!$B$36+results_all_scenarios!C22*Conventional!$C$36+results_all_scenarios!A22*Conventional!$D$36)*10^-9</f>
        <v>0.67518547253150396</v>
      </c>
      <c r="BB22" s="5">
        <f>(D22*Conventional!$B$37+results_all_scenarios!C22*Conventional!$C$37+results_all_scenarios!A22*Conventional!$D$37)*10^-9</f>
        <v>0.61434600451446209</v>
      </c>
      <c r="BC22" s="5">
        <f t="shared" si="1"/>
        <v>0.75964541636281624</v>
      </c>
      <c r="BD22" s="5">
        <f t="shared" si="2"/>
        <v>0.19385701681306142</v>
      </c>
      <c r="BE22" s="5">
        <f t="shared" si="3"/>
        <v>0.1763889902424407</v>
      </c>
      <c r="BF22" s="11">
        <f t="shared" si="44"/>
        <v>0.12722440010018496</v>
      </c>
      <c r="BG22" s="11">
        <f t="shared" si="45"/>
        <v>0.12610214362756594</v>
      </c>
      <c r="BH22" s="11">
        <f t="shared" si="46"/>
        <v>0.12635646270344522</v>
      </c>
      <c r="BI22" s="5">
        <f t="shared" si="57"/>
        <v>36.446463939010329</v>
      </c>
      <c r="BJ22" s="7">
        <f t="shared" si="58"/>
        <v>144274.91125660189</v>
      </c>
      <c r="BK22" s="7">
        <f t="shared" si="59"/>
        <v>158092.13725222083</v>
      </c>
      <c r="BL22" s="14">
        <f>A22/(R22+Conventional!$B$54)/8760</f>
        <v>0.554227503030435</v>
      </c>
      <c r="BM22" s="14">
        <f>C22/(S22+Conventional!$B$53)/8760</f>
        <v>6.9004799524984325E-2</v>
      </c>
      <c r="BN22" s="14">
        <f>D22/(T22+Conventional!$B$52)/8760</f>
        <v>8.1780462379406338E-2</v>
      </c>
      <c r="BO22" s="14">
        <f t="shared" si="4"/>
        <v>0.82755141813204369</v>
      </c>
      <c r="BP22" s="14">
        <f t="shared" si="5"/>
        <v>3.8085322300287342E-3</v>
      </c>
      <c r="BQ22" s="14">
        <f t="shared" si="6"/>
        <v>3.2457801704496414E-4</v>
      </c>
      <c r="BR22" s="14">
        <f t="shared" si="7"/>
        <v>3.6977151694100679E-2</v>
      </c>
      <c r="BS22" s="14">
        <f t="shared" si="8"/>
        <v>8.6269377078561343E-3</v>
      </c>
      <c r="BT22" s="14">
        <f t="shared" si="9"/>
        <v>5.0010412559459445E-5</v>
      </c>
      <c r="BU22" s="14">
        <f t="shared" si="10"/>
        <v>0</v>
      </c>
      <c r="BV22" s="14">
        <f t="shared" si="11"/>
        <v>0.12266137178626806</v>
      </c>
      <c r="BW22" s="11">
        <f>C22/(Conventional!$B$53*8760)</f>
        <v>6.9004799524984312E-2</v>
      </c>
      <c r="BX22" s="11">
        <f>D22/(Conventional!$B$52*8760)</f>
        <v>8.1780462379406338E-2</v>
      </c>
    </row>
    <row r="23" spans="1:76" x14ac:dyDescent="0.25">
      <c r="A23">
        <v>2913283975.02</v>
      </c>
      <c r="B23">
        <v>188928.01</v>
      </c>
      <c r="C23">
        <v>16536678.060000001</v>
      </c>
      <c r="D23">
        <v>1114651.77</v>
      </c>
      <c r="E23">
        <v>128787887.33</v>
      </c>
      <c r="F23">
        <v>30046800</v>
      </c>
      <c r="G23">
        <v>0</v>
      </c>
      <c r="H23">
        <v>261665558.16</v>
      </c>
      <c r="I23">
        <v>3482904481</v>
      </c>
      <c r="J23">
        <v>392945560.43000001</v>
      </c>
      <c r="K23">
        <v>392945560.50400001</v>
      </c>
      <c r="L23">
        <v>131280002.53</v>
      </c>
      <c r="M23">
        <v>150010</v>
      </c>
      <c r="N23">
        <v>200039</v>
      </c>
      <c r="O23">
        <v>50029</v>
      </c>
      <c r="P23" s="1">
        <v>42689.29146990741</v>
      </c>
      <c r="Q23" s="2">
        <v>6243136381380</v>
      </c>
      <c r="R23">
        <v>407880</v>
      </c>
      <c r="S23">
        <v>0</v>
      </c>
      <c r="T23">
        <v>0</v>
      </c>
      <c r="U23" t="s">
        <v>30</v>
      </c>
      <c r="V23">
        <v>21</v>
      </c>
      <c r="W23" t="s">
        <v>181</v>
      </c>
      <c r="X23" t="s">
        <v>173</v>
      </c>
      <c r="Y23" t="s">
        <v>177</v>
      </c>
      <c r="Z23" s="7">
        <f>Conventional!$E$44*results_all_scenarios!R23/10^3</f>
        <v>57107.317109006966</v>
      </c>
      <c r="AA23" s="17">
        <f>Conventional!$C$44*results_all_scenarios!S23/10^3</f>
        <v>0</v>
      </c>
      <c r="AB23" s="17">
        <f>Conventional!$B$44*results_all_scenarios!T23/10^3</f>
        <v>0</v>
      </c>
      <c r="AC23" s="17">
        <f>Renewables!$C$11*results_all_scenarios!M23/10^3</f>
        <v>21829.514714954887</v>
      </c>
      <c r="AD23" s="17">
        <f>Renewables!$B$11*results_all_scenarios!O23/10^3</f>
        <v>8951.3095262685256</v>
      </c>
      <c r="AE23" s="17">
        <f t="shared" si="36"/>
        <v>87888.141350230377</v>
      </c>
      <c r="AF23" s="16">
        <f t="shared" si="0"/>
        <v>96048.252021230772</v>
      </c>
      <c r="AG23" s="17">
        <f t="shared" si="37"/>
        <v>183936.39337146113</v>
      </c>
      <c r="AH23" s="17">
        <f t="shared" si="47"/>
        <v>14442.187140657858</v>
      </c>
      <c r="AI23" s="17">
        <f t="shared" si="38"/>
        <v>78.333558998707048</v>
      </c>
      <c r="AJ23" s="17">
        <f t="shared" si="48"/>
        <v>4.2329525595763133</v>
      </c>
      <c r="AK23" s="17">
        <f t="shared" si="49"/>
        <v>37.346947421189945</v>
      </c>
      <c r="AL23" s="17">
        <f t="shared" si="50"/>
        <v>41.579899980766257</v>
      </c>
      <c r="AM23" s="18">
        <f t="shared" si="39"/>
        <v>36.753659017940763</v>
      </c>
      <c r="AN23" s="18">
        <f t="shared" si="51"/>
        <v>36.753659017940784</v>
      </c>
      <c r="AO23" s="27">
        <f t="shared" si="40"/>
        <v>0.11282122796464943</v>
      </c>
      <c r="AP23" s="27">
        <f t="shared" si="41"/>
        <v>1.8832125462560361E-10</v>
      </c>
      <c r="AQ23" s="27">
        <f t="shared" si="52"/>
        <v>5.9388419258244646E-2</v>
      </c>
      <c r="AR23" s="15"/>
      <c r="AS23" s="15"/>
      <c r="AT23" s="18">
        <f t="shared" si="42"/>
        <v>78.333558983955172</v>
      </c>
      <c r="AU23" s="18">
        <f t="shared" si="53"/>
        <v>4.2329525587791581</v>
      </c>
      <c r="AV23" s="18">
        <f t="shared" si="54"/>
        <v>37.34694741415673</v>
      </c>
      <c r="AW23" s="18">
        <f t="shared" si="55"/>
        <v>41.579899972935891</v>
      </c>
      <c r="AX23" s="18">
        <f t="shared" si="43"/>
        <v>36.753659011019266</v>
      </c>
      <c r="AY23" s="18">
        <f t="shared" si="56"/>
        <v>36.75365901101928</v>
      </c>
      <c r="AZ23" s="7">
        <f>(D23*Conventional!$B$35+results_all_scenarios!C23*Conventional!$C$35+results_all_scenarios!A23*Conventional!$D$35+B23*Conventional!$F$35)*10^-6</f>
        <v>2675.5427661902531</v>
      </c>
      <c r="BA23" s="5">
        <f>(D23*Conventional!$B$36+results_all_scenarios!C23*Conventional!$C$36+results_all_scenarios!A23*Conventional!$D$36)*10^-9</f>
        <v>0.68244990015201856</v>
      </c>
      <c r="BB23" s="5">
        <f>(D23*Conventional!$B$37+results_all_scenarios!C23*Conventional!$C$37+results_all_scenarios!A23*Conventional!$D$37)*10^-9</f>
        <v>0.62103118617375408</v>
      </c>
      <c r="BC23" s="5">
        <f t="shared" si="1"/>
        <v>0.76819297824155663</v>
      </c>
      <c r="BD23" s="5">
        <f t="shared" si="2"/>
        <v>0.19594275521333729</v>
      </c>
      <c r="BE23" s="5">
        <f t="shared" si="3"/>
        <v>0.17830841746066078</v>
      </c>
      <c r="BF23" s="11">
        <f t="shared" si="44"/>
        <v>0.11740389268224061</v>
      </c>
      <c r="BG23" s="11">
        <f t="shared" si="45"/>
        <v>0.1166997379425944</v>
      </c>
      <c r="BH23" s="11">
        <f t="shared" si="46"/>
        <v>0.11684966082083213</v>
      </c>
      <c r="BI23" s="5">
        <f t="shared" si="57"/>
        <v>40.578929136236447</v>
      </c>
      <c r="BJ23" s="7">
        <f t="shared" si="58"/>
        <v>160177.19060005472</v>
      </c>
      <c r="BK23" s="7">
        <f t="shared" si="59"/>
        <v>175636.19555912504</v>
      </c>
      <c r="BL23" s="14">
        <f>A23/(R23+Conventional!$B$54)/8760</f>
        <v>0.55647678378236076</v>
      </c>
      <c r="BM23" s="14">
        <f>C23/(S23+Conventional!$B$53)/8760</f>
        <v>8.6025730814177068E-2</v>
      </c>
      <c r="BN23" s="14">
        <f>D23/(T23+Conventional!$B$52)/8760</f>
        <v>8.0635838238102678E-2</v>
      </c>
      <c r="BO23" s="14">
        <f t="shared" si="4"/>
        <v>0.83645244677613084</v>
      </c>
      <c r="BP23" s="14">
        <f t="shared" si="5"/>
        <v>4.747956238883716E-3</v>
      </c>
      <c r="BQ23" s="14">
        <f t="shared" si="6"/>
        <v>3.2003512473014042E-4</v>
      </c>
      <c r="BR23" s="14">
        <f t="shared" si="7"/>
        <v>3.6977151694100679E-2</v>
      </c>
      <c r="BS23" s="14">
        <f t="shared" si="8"/>
        <v>8.6269377078561343E-3</v>
      </c>
      <c r="BT23" s="14">
        <f t="shared" si="9"/>
        <v>5.4244384544750885E-5</v>
      </c>
      <c r="BU23" s="14">
        <f t="shared" si="10"/>
        <v>0</v>
      </c>
      <c r="BV23" s="14">
        <f t="shared" si="11"/>
        <v>0.11282122796464943</v>
      </c>
      <c r="BW23" s="11">
        <f>C23/(Conventional!$B$53*8760)</f>
        <v>8.6025730814177068E-2</v>
      </c>
      <c r="BX23" s="11">
        <f>D23/(Conventional!$B$52*8760)</f>
        <v>8.0635838238102678E-2</v>
      </c>
    </row>
    <row r="24" spans="1:76" x14ac:dyDescent="0.25">
      <c r="A24">
        <v>2954612607.2399998</v>
      </c>
      <c r="B24">
        <v>276955.82</v>
      </c>
      <c r="C24">
        <v>20026909.510000002</v>
      </c>
      <c r="D24">
        <v>1145771.52</v>
      </c>
      <c r="E24">
        <v>128787887.33</v>
      </c>
      <c r="F24">
        <v>30046800</v>
      </c>
      <c r="G24">
        <v>0</v>
      </c>
      <c r="H24">
        <v>348007549.38999999</v>
      </c>
      <c r="I24">
        <v>3482904481</v>
      </c>
      <c r="J24">
        <v>348007549.38999999</v>
      </c>
      <c r="K24">
        <v>348007549.41399997</v>
      </c>
      <c r="L24">
        <v>0</v>
      </c>
      <c r="M24">
        <v>200004</v>
      </c>
      <c r="N24">
        <v>200004</v>
      </c>
      <c r="O24">
        <v>0</v>
      </c>
      <c r="P24" s="1">
        <v>42688.197638888887</v>
      </c>
      <c r="Q24" s="2">
        <v>6378564216570</v>
      </c>
      <c r="R24">
        <v>413160</v>
      </c>
      <c r="S24">
        <v>0</v>
      </c>
      <c r="T24">
        <v>0</v>
      </c>
      <c r="U24" t="s">
        <v>31</v>
      </c>
      <c r="V24">
        <v>22</v>
      </c>
      <c r="W24" t="s">
        <v>181</v>
      </c>
      <c r="X24" t="s">
        <v>173</v>
      </c>
      <c r="Y24" t="s">
        <v>178</v>
      </c>
      <c r="Z24" s="7">
        <f>Conventional!$E$44*results_all_scenarios!R24/10^3</f>
        <v>57846.570404916434</v>
      </c>
      <c r="AA24" s="17">
        <f>Conventional!$C$44*results_all_scenarios!S24/10^3</f>
        <v>0</v>
      </c>
      <c r="AB24" s="17">
        <f>Conventional!$B$44*results_all_scenarios!T24/10^3</f>
        <v>0</v>
      </c>
      <c r="AC24" s="17">
        <f>Renewables!$C$11*results_all_scenarios!M24/10^3</f>
        <v>29104.661429570275</v>
      </c>
      <c r="AD24" s="17">
        <f>Renewables!$B$11*results_all_scenarios!O24/10^3</f>
        <v>0</v>
      </c>
      <c r="AE24" s="17">
        <f t="shared" si="36"/>
        <v>86951.231834486709</v>
      </c>
      <c r="AF24" s="16">
        <f t="shared" si="0"/>
        <v>98131.757178</v>
      </c>
      <c r="AG24" s="17">
        <f t="shared" si="37"/>
        <v>185082.98901248671</v>
      </c>
      <c r="AH24" s="17">
        <f t="shared" si="47"/>
        <v>15588.782781683432</v>
      </c>
      <c r="AI24" s="17">
        <f t="shared" si="38"/>
        <v>83.632270278578616</v>
      </c>
      <c r="AJ24" s="17">
        <f t="shared" si="48"/>
        <v>2.6553062469667288</v>
      </c>
      <c r="AK24" s="17">
        <f t="shared" si="49"/>
        <v>36.1825829642816</v>
      </c>
      <c r="AL24" s="17">
        <f t="shared" si="50"/>
        <v>38.837889211248331</v>
      </c>
      <c r="AM24" s="18">
        <f t="shared" si="39"/>
        <v>44.794381067330313</v>
      </c>
      <c r="AN24" s="18">
        <f t="shared" si="51"/>
        <v>44.794381067330285</v>
      </c>
      <c r="AO24" s="27">
        <f t="shared" si="40"/>
        <v>9.9918775059280762E-2</v>
      </c>
      <c r="AP24" s="27">
        <f t="shared" si="41"/>
        <v>6.8963989640909409E-11</v>
      </c>
      <c r="AQ24" s="27">
        <f t="shared" si="52"/>
        <v>3.2999340013199735E-2</v>
      </c>
      <c r="AR24" s="18">
        <f>AC24/H24*10^6</f>
        <v>83.632270278578616</v>
      </c>
      <c r="AS24" s="15"/>
      <c r="AT24" s="18">
        <f t="shared" si="42"/>
        <v>83.632270272810999</v>
      </c>
      <c r="AU24" s="18">
        <f t="shared" si="53"/>
        <v>2.6553062467836082</v>
      </c>
      <c r="AV24" s="18">
        <f t="shared" si="54"/>
        <v>36.182582961786302</v>
      </c>
      <c r="AW24" s="18">
        <f t="shared" si="55"/>
        <v>38.837889208569912</v>
      </c>
      <c r="AX24" s="18">
        <f t="shared" si="43"/>
        <v>44.794381064241108</v>
      </c>
      <c r="AY24" s="18">
        <f t="shared" si="56"/>
        <v>44.794381064241087</v>
      </c>
      <c r="AZ24" s="7">
        <f>(D24*Conventional!$B$35+results_all_scenarios!C24*Conventional!$C$35+results_all_scenarios!A24*Conventional!$D$35+B24*Conventional!$F$35)*10^-6</f>
        <v>2714.9516453672777</v>
      </c>
      <c r="BA24" s="5">
        <f>(D24*Conventional!$B$36+results_all_scenarios!C24*Conventional!$C$36+results_all_scenarios!A24*Conventional!$D$36)*10^-9</f>
        <v>0.69213368247176144</v>
      </c>
      <c r="BB24" s="5">
        <f>(D24*Conventional!$B$37+results_all_scenarios!C24*Conventional!$C$37+results_all_scenarios!A24*Conventional!$D$37)*10^-9</f>
        <v>0.62992971435564604</v>
      </c>
      <c r="BC24" s="5">
        <f t="shared" si="1"/>
        <v>0.77950792511765066</v>
      </c>
      <c r="BD24" s="5">
        <f t="shared" si="2"/>
        <v>0.19872313072250503</v>
      </c>
      <c r="BE24" s="5">
        <f t="shared" si="3"/>
        <v>0.18086333340235122</v>
      </c>
      <c r="BF24" s="11">
        <f t="shared" si="44"/>
        <v>0.10440386749298729</v>
      </c>
      <c r="BG24" s="11">
        <f t="shared" si="45"/>
        <v>0.1041659424818135</v>
      </c>
      <c r="BH24" s="11">
        <f t="shared" si="46"/>
        <v>0.1041953233946364</v>
      </c>
      <c r="BI24" s="5">
        <f t="shared" si="57"/>
        <v>49.254478957487521</v>
      </c>
      <c r="BJ24" s="7">
        <f t="shared" si="58"/>
        <v>193697.51210482389</v>
      </c>
      <c r="BK24" s="7">
        <f t="shared" si="59"/>
        <v>212585.93307385419</v>
      </c>
      <c r="BL24" s="14">
        <f>A24/(R24+Conventional!$B$54)/8760</f>
        <v>0.55942861062860139</v>
      </c>
      <c r="BM24" s="14">
        <f>C24/(S24+Conventional!$B$53)/8760</f>
        <v>0.10418232248920875</v>
      </c>
      <c r="BN24" s="14">
        <f>D24/(T24+Conventional!$B$52)/8760</f>
        <v>8.2887094813966E-2</v>
      </c>
      <c r="BO24" s="14">
        <f t="shared" si="4"/>
        <v>0.84831858678813987</v>
      </c>
      <c r="BP24" s="14">
        <f t="shared" si="5"/>
        <v>5.7500599339577472E-3</v>
      </c>
      <c r="BQ24" s="14">
        <f t="shared" si="6"/>
        <v>3.2897012428863103E-4</v>
      </c>
      <c r="BR24" s="14">
        <f t="shared" si="7"/>
        <v>3.6977151694100679E-2</v>
      </c>
      <c r="BS24" s="14">
        <f t="shared" si="8"/>
        <v>8.6269377078561343E-3</v>
      </c>
      <c r="BT24" s="14">
        <f t="shared" si="9"/>
        <v>7.9518637823935208E-5</v>
      </c>
      <c r="BU24" s="14">
        <f t="shared" si="10"/>
        <v>0</v>
      </c>
      <c r="BV24" s="14">
        <f t="shared" si="11"/>
        <v>9.9918775059280762E-2</v>
      </c>
      <c r="BW24" s="11">
        <f>C24/(Conventional!$B$53*8760)</f>
        <v>0.10418232248920874</v>
      </c>
      <c r="BX24" s="11">
        <f>D24/(Conventional!$B$52*8760)</f>
        <v>8.2887094813966E-2</v>
      </c>
    </row>
    <row r="25" spans="1:76" x14ac:dyDescent="0.25">
      <c r="A25">
        <v>2426952813.1999998</v>
      </c>
      <c r="B25">
        <v>227935.15</v>
      </c>
      <c r="C25">
        <v>9196401.8699999992</v>
      </c>
      <c r="D25">
        <v>962297.93</v>
      </c>
      <c r="E25">
        <v>128787887.33</v>
      </c>
      <c r="F25">
        <v>30046800</v>
      </c>
      <c r="G25">
        <v>0</v>
      </c>
      <c r="H25">
        <v>0</v>
      </c>
      <c r="I25">
        <v>3482904471.2199998</v>
      </c>
      <c r="J25">
        <v>886730335.73000002</v>
      </c>
      <c r="K25">
        <v>888594834.62600005</v>
      </c>
      <c r="L25">
        <v>886730335.73000002</v>
      </c>
      <c r="M25">
        <v>0</v>
      </c>
      <c r="N25">
        <v>400031</v>
      </c>
      <c r="O25">
        <v>400031</v>
      </c>
      <c r="P25" s="1">
        <v>42687.82916666667</v>
      </c>
      <c r="Q25" s="2">
        <v>5092230644560</v>
      </c>
      <c r="R25">
        <v>404580</v>
      </c>
      <c r="S25">
        <v>0</v>
      </c>
      <c r="T25">
        <v>0</v>
      </c>
      <c r="U25" t="s">
        <v>32</v>
      </c>
      <c r="V25">
        <v>23</v>
      </c>
      <c r="W25" t="s">
        <v>181</v>
      </c>
      <c r="X25" t="s">
        <v>179</v>
      </c>
      <c r="Y25" t="s">
        <v>174</v>
      </c>
      <c r="Z25" s="7">
        <f>Conventional!$E$44*results_all_scenarios!R25/10^3</f>
        <v>56645.283799063538</v>
      </c>
      <c r="AA25" s="21">
        <f>Conventional!$C$44*results_all_scenarios!S25/10^3</f>
        <v>0</v>
      </c>
      <c r="AB25" s="21">
        <f>Conventional!$B$44*results_all_scenarios!T25/10^3</f>
        <v>0</v>
      </c>
      <c r="AC25" s="21">
        <f>Renewables!$C$11*results_all_scenarios!M25/10^3</f>
        <v>0</v>
      </c>
      <c r="AD25" s="21">
        <f>Renewables!$B$11*results_all_scenarios!O25/10^3</f>
        <v>71574.512804627811</v>
      </c>
      <c r="AE25" s="21">
        <f t="shared" si="36"/>
        <v>128219.79660369136</v>
      </c>
      <c r="AF25" s="20">
        <f t="shared" si="0"/>
        <v>78342.009916307696</v>
      </c>
      <c r="AG25" s="21">
        <f t="shared" si="37"/>
        <v>206561.80651999905</v>
      </c>
      <c r="AH25" s="17">
        <f t="shared" si="47"/>
        <v>37067.600289195776</v>
      </c>
      <c r="AI25" s="21">
        <f t="shared" si="38"/>
        <v>80.717338654828069</v>
      </c>
      <c r="AJ25" s="17">
        <f t="shared" si="48"/>
        <v>2.396842805642879</v>
      </c>
      <c r="AK25" s="17">
        <f t="shared" si="49"/>
        <v>36.517933338814011</v>
      </c>
      <c r="AL25" s="17">
        <f t="shared" si="50"/>
        <v>38.914776144456887</v>
      </c>
      <c r="AM25" s="22">
        <f t="shared" si="39"/>
        <v>41.80256251037121</v>
      </c>
      <c r="AN25" s="22">
        <f t="shared" si="51"/>
        <v>41.802562510371182</v>
      </c>
      <c r="AO25" s="27">
        <f t="shared" si="40"/>
        <v>0.25459507806121195</v>
      </c>
      <c r="AP25" s="27">
        <f t="shared" si="41"/>
        <v>2.0982553840578817E-3</v>
      </c>
      <c r="AQ25" s="27">
        <f t="shared" si="52"/>
        <v>3.7947059102919525E-2</v>
      </c>
      <c r="AR25" s="19"/>
      <c r="AS25" s="22">
        <f>AD25/K25*10^6</f>
        <v>80.547973064408765</v>
      </c>
      <c r="AT25" s="18">
        <f t="shared" si="42"/>
        <v>80.547973064408765</v>
      </c>
      <c r="AU25" s="18">
        <f t="shared" si="53"/>
        <v>2.3918136173211986</v>
      </c>
      <c r="AV25" s="18">
        <f t="shared" si="54"/>
        <v>36.44130938857117</v>
      </c>
      <c r="AW25" s="18">
        <f t="shared" si="55"/>
        <v>38.833123005892368</v>
      </c>
      <c r="AX25" s="18">
        <f t="shared" si="43"/>
        <v>41.714850058516411</v>
      </c>
      <c r="AY25" s="18">
        <f t="shared" si="56"/>
        <v>41.71485005851639</v>
      </c>
      <c r="AZ25" s="7">
        <f>(D25*Conventional!$B$35+results_all_scenarios!C25*Conventional!$C$35+results_all_scenarios!A25*Conventional!$D$35+B25*Conventional!$F$35)*10^-6</f>
        <v>2227.0465504730919</v>
      </c>
      <c r="BA25" s="5">
        <f>(D25*Conventional!$B$36+results_all_scenarios!C25*Conventional!$C$36+results_all_scenarios!A25*Conventional!$D$36)*10^-9</f>
        <v>0.56852136815192766</v>
      </c>
      <c r="BB25" s="5">
        <f>(D25*Conventional!$B$37+results_all_scenarios!C25*Conventional!$C$37+results_all_scenarios!A25*Conventional!$D$37)*10^-9</f>
        <v>0.51724438768110437</v>
      </c>
      <c r="BC25" s="5">
        <f t="shared" si="1"/>
        <v>0.63942223189744762</v>
      </c>
      <c r="BD25" s="5">
        <f t="shared" si="2"/>
        <v>0.16323197286912228</v>
      </c>
      <c r="BE25" s="5">
        <f t="shared" si="3"/>
        <v>0.14850949601265487</v>
      </c>
      <c r="BF25" s="11">
        <f t="shared" si="44"/>
        <v>0.26535182277732061</v>
      </c>
      <c r="BG25" s="11">
        <f t="shared" si="45"/>
        <v>0.26415833109218584</v>
      </c>
      <c r="BH25" s="11">
        <f t="shared" si="46"/>
        <v>0.26444184029868978</v>
      </c>
      <c r="BI25" s="5">
        <f t="shared" si="57"/>
        <v>46.081064868509678</v>
      </c>
      <c r="BJ25" s="7">
        <f t="shared" si="58"/>
        <v>181621.70311074093</v>
      </c>
      <c r="BK25" s="7">
        <f t="shared" si="59"/>
        <v>199272.47740112786</v>
      </c>
      <c r="BL25" s="14">
        <f>A25/(R25+Conventional!$B$54)/8760</f>
        <v>0.46615495441000415</v>
      </c>
      <c r="BM25" s="14">
        <f>C25/(S25+Conventional!$B$53)/8760</f>
        <v>4.7840756701991116E-2</v>
      </c>
      <c r="BN25" s="14">
        <f>D25/(T25+Conventional!$B$52)/8760</f>
        <v>6.9614297764351157E-2</v>
      </c>
      <c r="BO25" s="14">
        <f t="shared" si="4"/>
        <v>0.69681865616885008</v>
      </c>
      <c r="BP25" s="14">
        <f t="shared" si="5"/>
        <v>2.6404404559447082E-3</v>
      </c>
      <c r="BQ25" s="14">
        <f t="shared" si="6"/>
        <v>2.7629179552631373E-4</v>
      </c>
      <c r="BR25" s="14">
        <f t="shared" si="7"/>
        <v>3.6977151797932567E-2</v>
      </c>
      <c r="BS25" s="14">
        <f t="shared" si="8"/>
        <v>8.6269377320805866E-3</v>
      </c>
      <c r="BT25" s="14">
        <f t="shared" si="9"/>
        <v>6.5443985582572793E-5</v>
      </c>
      <c r="BU25" s="14">
        <f t="shared" si="10"/>
        <v>0</v>
      </c>
      <c r="BV25" s="14">
        <f t="shared" si="11"/>
        <v>0.25459507806121195</v>
      </c>
      <c r="BW25" s="11">
        <f>C25/(Conventional!$B$53*8760)</f>
        <v>4.7840756701991116E-2</v>
      </c>
      <c r="BX25" s="11">
        <f>D25/(Conventional!$B$52*8760)</f>
        <v>6.9614297764351157E-2</v>
      </c>
    </row>
    <row r="26" spans="1:76" x14ac:dyDescent="0.25">
      <c r="A26" s="7">
        <v>2452716176.98</v>
      </c>
      <c r="B26" s="7">
        <v>232667.36</v>
      </c>
      <c r="C26" s="7">
        <v>8841457.9499999993</v>
      </c>
      <c r="D26" s="7">
        <v>921746.01</v>
      </c>
      <c r="E26" s="7">
        <v>128787887.33</v>
      </c>
      <c r="F26" s="7">
        <v>30046800</v>
      </c>
      <c r="G26" s="7">
        <v>0</v>
      </c>
      <c r="H26" s="7">
        <v>174330643.91999999</v>
      </c>
      <c r="I26" s="7">
        <v>3482904481</v>
      </c>
      <c r="J26" s="7">
        <v>861357745.26999998</v>
      </c>
      <c r="K26" s="7">
        <v>862515830.98500001</v>
      </c>
      <c r="L26">
        <v>687027101.36000001</v>
      </c>
      <c r="M26">
        <v>100079</v>
      </c>
      <c r="N26">
        <v>400086</v>
      </c>
      <c r="O26">
        <v>300007</v>
      </c>
      <c r="P26" s="1">
        <v>42689.068784722222</v>
      </c>
      <c r="Q26" s="2">
        <v>5129407752410</v>
      </c>
      <c r="R26">
        <v>392700</v>
      </c>
      <c r="S26">
        <v>0</v>
      </c>
      <c r="T26">
        <v>0</v>
      </c>
      <c r="U26" t="s">
        <v>33</v>
      </c>
      <c r="V26">
        <v>24</v>
      </c>
      <c r="W26" t="s">
        <v>181</v>
      </c>
      <c r="X26" t="s">
        <v>179</v>
      </c>
      <c r="Y26" t="s">
        <v>175</v>
      </c>
      <c r="Z26" s="7">
        <f>Conventional!$E$44*results_all_scenarios!R26/10^3</f>
        <v>54981.963883267221</v>
      </c>
      <c r="AA26" s="21">
        <f>Conventional!$C$44*results_all_scenarios!S26/10^3</f>
        <v>0</v>
      </c>
      <c r="AB26" s="21">
        <f>Conventional!$B$44*results_all_scenarios!T26/10^3</f>
        <v>0</v>
      </c>
      <c r="AC26" s="21">
        <f>Renewables!$C$11*results_all_scenarios!M26/10^3</f>
        <v>14563.53578533411</v>
      </c>
      <c r="AD26" s="21">
        <f>Renewables!$B$11*results_all_scenarios!O26/10^3</f>
        <v>53677.977114218585</v>
      </c>
      <c r="AE26" s="21">
        <f t="shared" si="36"/>
        <v>123223.47678281993</v>
      </c>
      <c r="AF26" s="20">
        <f t="shared" si="0"/>
        <v>78913.965421692308</v>
      </c>
      <c r="AG26" s="21">
        <f t="shared" si="37"/>
        <v>202137.44220451225</v>
      </c>
      <c r="AH26" s="17">
        <f t="shared" si="47"/>
        <v>32643.235973708972</v>
      </c>
      <c r="AI26" s="21">
        <f t="shared" si="38"/>
        <v>79.225517242155632</v>
      </c>
      <c r="AJ26" s="17">
        <f t="shared" si="48"/>
        <v>4.3984896662750401</v>
      </c>
      <c r="AK26" s="17">
        <f t="shared" si="49"/>
        <v>36.929607888226165</v>
      </c>
      <c r="AL26" s="17">
        <f t="shared" si="50"/>
        <v>41.328097554501205</v>
      </c>
      <c r="AM26" s="22">
        <f t="shared" si="39"/>
        <v>37.897419687654484</v>
      </c>
      <c r="AN26" s="22">
        <f t="shared" si="51"/>
        <v>37.897419687654427</v>
      </c>
      <c r="AO26" s="27">
        <f t="shared" si="40"/>
        <v>0.24731018320166215</v>
      </c>
      <c r="AP26" s="27">
        <f t="shared" si="41"/>
        <v>1.3426834307232252E-3</v>
      </c>
      <c r="AQ26" s="27">
        <f t="shared" si="52"/>
        <v>6.7635458376449062E-2</v>
      </c>
      <c r="AR26" s="19"/>
      <c r="AS26" s="19"/>
      <c r="AT26" s="18">
        <f t="shared" si="42"/>
        <v>79.119142452864125</v>
      </c>
      <c r="AU26" s="18">
        <f t="shared" si="53"/>
        <v>4.3925838870799252</v>
      </c>
      <c r="AV26" s="18">
        <f t="shared" si="54"/>
        <v>36.880023115611536</v>
      </c>
      <c r="AW26" s="18">
        <f t="shared" si="55"/>
        <v>41.272607002691458</v>
      </c>
      <c r="AX26" s="18">
        <f t="shared" si="43"/>
        <v>37.846535450172702</v>
      </c>
      <c r="AY26" s="18">
        <f t="shared" si="56"/>
        <v>37.846535450172667</v>
      </c>
      <c r="AZ26" s="7">
        <f>(D26*Conventional!$B$35+results_all_scenarios!C26*Conventional!$C$35+results_all_scenarios!A26*Conventional!$D$35+B26*Conventional!$F$35)*10^-6</f>
        <v>2250.4666863782641</v>
      </c>
      <c r="BA26" s="5">
        <f>(D26*Conventional!$B$36+results_all_scenarios!C26*Conventional!$C$36+results_all_scenarios!A26*Conventional!$D$36)*10^-9</f>
        <v>0.57455613633307379</v>
      </c>
      <c r="BB26" s="5">
        <f>(D26*Conventional!$B$37+results_all_scenarios!C26*Conventional!$C$37+results_all_scenarios!A26*Conventional!$D$37)*10^-9</f>
        <v>0.52271423512317616</v>
      </c>
      <c r="BC26" s="5">
        <f t="shared" si="1"/>
        <v>0.64614654196089738</v>
      </c>
      <c r="BD26" s="5">
        <f t="shared" si="2"/>
        <v>0.1649646550651625</v>
      </c>
      <c r="BE26" s="5">
        <f t="shared" si="3"/>
        <v>0.15007998007832135</v>
      </c>
      <c r="BF26" s="11">
        <f t="shared" si="44"/>
        <v>0.25762609286413712</v>
      </c>
      <c r="BG26" s="11">
        <f t="shared" si="45"/>
        <v>0.25634748327071988</v>
      </c>
      <c r="BH26" s="11">
        <f t="shared" si="46"/>
        <v>0.25666332976448214</v>
      </c>
      <c r="BI26" s="5">
        <f t="shared" si="57"/>
        <v>41.797804264672592</v>
      </c>
      <c r="BJ26" s="7">
        <f t="shared" si="58"/>
        <v>164816.89613680009</v>
      </c>
      <c r="BK26" s="7">
        <f t="shared" si="59"/>
        <v>180804.07397171418</v>
      </c>
      <c r="BL26" s="14">
        <f>A26/(R26+Conventional!$B$54)/8760</f>
        <v>0.48071235620990066</v>
      </c>
      <c r="BM26" s="14">
        <f>C26/(S26+Conventional!$B$53)/8760</f>
        <v>4.5994296971369204E-2</v>
      </c>
      <c r="BN26" s="14">
        <f>D26/(T26+Conventional!$B$52)/8760</f>
        <v>6.668070168585169E-2</v>
      </c>
      <c r="BO26" s="14">
        <f t="shared" si="4"/>
        <v>0.70421574589831537</v>
      </c>
      <c r="BP26" s="14">
        <f t="shared" si="5"/>
        <v>2.5385301257132005E-3</v>
      </c>
      <c r="BQ26" s="14">
        <f t="shared" si="6"/>
        <v>2.6464866177878968E-4</v>
      </c>
      <c r="BR26" s="14">
        <f t="shared" si="7"/>
        <v>3.6977151694100679E-2</v>
      </c>
      <c r="BS26" s="14">
        <f t="shared" si="8"/>
        <v>8.6269377078561343E-3</v>
      </c>
      <c r="BT26" s="14">
        <f t="shared" si="9"/>
        <v>6.6802681862006529E-5</v>
      </c>
      <c r="BU26" s="14">
        <f t="shared" si="10"/>
        <v>0</v>
      </c>
      <c r="BV26" s="14">
        <f t="shared" si="11"/>
        <v>0.24731018320166215</v>
      </c>
      <c r="BW26" s="11">
        <f>C26/(Conventional!$B$53*8760)</f>
        <v>4.5994296971369211E-2</v>
      </c>
      <c r="BX26" s="11">
        <f>D26/(Conventional!$B$52*8760)</f>
        <v>6.668070168585169E-2</v>
      </c>
    </row>
    <row r="27" spans="1:76" x14ac:dyDescent="0.25">
      <c r="A27" s="7">
        <v>2491769470.1300001</v>
      </c>
      <c r="B27" s="7">
        <v>369991.21</v>
      </c>
      <c r="C27" s="7">
        <v>10375924.039999999</v>
      </c>
      <c r="D27" s="7">
        <v>984928.36</v>
      </c>
      <c r="E27" s="7">
        <v>128787887.33</v>
      </c>
      <c r="F27" s="7">
        <v>30046800</v>
      </c>
      <c r="G27" s="7">
        <v>0</v>
      </c>
      <c r="H27" s="7">
        <v>345557349.85000002</v>
      </c>
      <c r="I27" s="7">
        <v>3482904481</v>
      </c>
      <c r="J27" s="7">
        <v>820569479.73000002</v>
      </c>
      <c r="K27" s="7">
        <v>825174373.96700001</v>
      </c>
      <c r="L27">
        <v>475012129.93000001</v>
      </c>
      <c r="M27">
        <v>200004</v>
      </c>
      <c r="N27">
        <v>400009</v>
      </c>
      <c r="O27">
        <v>200005</v>
      </c>
      <c r="P27" s="1">
        <v>42687.902974537035</v>
      </c>
      <c r="Q27" s="2">
        <v>5244792604100</v>
      </c>
      <c r="R27">
        <v>397980</v>
      </c>
      <c r="S27">
        <v>0</v>
      </c>
      <c r="T27">
        <v>0</v>
      </c>
      <c r="U27" t="s">
        <v>34</v>
      </c>
      <c r="V27">
        <v>25</v>
      </c>
      <c r="W27" t="s">
        <v>181</v>
      </c>
      <c r="X27" t="s">
        <v>179</v>
      </c>
      <c r="Y27" t="s">
        <v>176</v>
      </c>
      <c r="Z27" s="7">
        <f>Conventional!$E$44*results_all_scenarios!R27/10^3</f>
        <v>55721.217179176696</v>
      </c>
      <c r="AA27" s="21">
        <f>Conventional!$C$44*results_all_scenarios!S27/10^3</f>
        <v>0</v>
      </c>
      <c r="AB27" s="21">
        <f>Conventional!$B$44*results_all_scenarios!T27/10^3</f>
        <v>0</v>
      </c>
      <c r="AC27" s="21">
        <f>Renewables!$C$11*results_all_scenarios!M27/10^3</f>
        <v>29104.661429570275</v>
      </c>
      <c r="AD27" s="21">
        <f>Renewables!$B$11*results_all_scenarios!O27/10^3</f>
        <v>35785.377716950898</v>
      </c>
      <c r="AE27" s="21">
        <f t="shared" si="36"/>
        <v>120611.25632569788</v>
      </c>
      <c r="AF27" s="20">
        <f t="shared" si="0"/>
        <v>80689.116986153851</v>
      </c>
      <c r="AG27" s="21">
        <f t="shared" si="37"/>
        <v>201300.37331185173</v>
      </c>
      <c r="AH27" s="17">
        <f t="shared" si="47"/>
        <v>31806.16708104845</v>
      </c>
      <c r="AI27" s="21">
        <f t="shared" si="38"/>
        <v>79.079274515392129</v>
      </c>
      <c r="AJ27" s="17">
        <f t="shared" si="48"/>
        <v>3.7162238188897398</v>
      </c>
      <c r="AK27" s="17">
        <f t="shared" si="49"/>
        <v>36.601961152306906</v>
      </c>
      <c r="AL27" s="17">
        <f t="shared" si="50"/>
        <v>40.318184971196644</v>
      </c>
      <c r="AM27" s="22">
        <f t="shared" si="39"/>
        <v>38.761089544195507</v>
      </c>
      <c r="AN27" s="22">
        <f t="shared" si="51"/>
        <v>38.761089544195478</v>
      </c>
      <c r="AO27" s="27">
        <f t="shared" si="40"/>
        <v>0.2355991914812435</v>
      </c>
      <c r="AP27" s="27">
        <f t="shared" si="41"/>
        <v>5.5805104742432847E-3</v>
      </c>
      <c r="AQ27" s="27">
        <f t="shared" si="52"/>
        <v>5.4448774902564695E-2</v>
      </c>
      <c r="AR27" s="19"/>
      <c r="AS27" s="19"/>
      <c r="AT27" s="18">
        <f t="shared" si="42"/>
        <v>78.637971795663432</v>
      </c>
      <c r="AU27" s="18">
        <f t="shared" si="53"/>
        <v>3.6954853929437932</v>
      </c>
      <c r="AV27" s="18">
        <f t="shared" si="54"/>
        <v>36.397703524718608</v>
      </c>
      <c r="AW27" s="18">
        <f t="shared" si="55"/>
        <v>40.093188917662403</v>
      </c>
      <c r="AX27" s="18">
        <f t="shared" si="43"/>
        <v>38.544782878001044</v>
      </c>
      <c r="AY27" s="18">
        <f t="shared" si="56"/>
        <v>38.54478287800103</v>
      </c>
      <c r="AZ27" s="7">
        <f>(D27*Conventional!$B$35+results_all_scenarios!C27*Conventional!$C$35+results_all_scenarios!A27*Conventional!$D$35+B27*Conventional!$F$35)*10^-6</f>
        <v>2287.0277882783153</v>
      </c>
      <c r="BA27" s="5">
        <f>(D27*Conventional!$B$36+results_all_scenarios!C27*Conventional!$C$36+results_all_scenarios!A27*Conventional!$D$36)*10^-9</f>
        <v>0.58370554498558203</v>
      </c>
      <c r="BB27" s="5">
        <f>(D27*Conventional!$B$37+results_all_scenarios!C27*Conventional!$C$37+results_all_scenarios!A27*Conventional!$D$37)*10^-9</f>
        <v>0.53108247013819831</v>
      </c>
      <c r="BC27" s="5">
        <f t="shared" si="1"/>
        <v>0.6566438444564151</v>
      </c>
      <c r="BD27" s="5">
        <f t="shared" si="2"/>
        <v>0.16759160297671741</v>
      </c>
      <c r="BE27" s="5">
        <f t="shared" si="3"/>
        <v>0.15248264000215006</v>
      </c>
      <c r="BF27" s="11">
        <f t="shared" si="44"/>
        <v>0.24556547973397175</v>
      </c>
      <c r="BG27" s="11">
        <f t="shared" si="45"/>
        <v>0.24450533184153717</v>
      </c>
      <c r="BH27" s="11">
        <f t="shared" si="46"/>
        <v>0.24476310678633997</v>
      </c>
      <c r="BI27" s="5">
        <f t="shared" si="57"/>
        <v>42.726186366781448</v>
      </c>
      <c r="BJ27" s="7">
        <f t="shared" si="58"/>
        <v>168368.40071133268</v>
      </c>
      <c r="BK27" s="7">
        <f t="shared" si="59"/>
        <v>184729.93970759044</v>
      </c>
      <c r="BL27" s="14">
        <f>A27/(R27+Conventional!$B$54)/8760</f>
        <v>0.48397912924076131</v>
      </c>
      <c r="BM27" s="14">
        <f>C27/(S27+Conventional!$B$53)/8760</f>
        <v>5.3976768802947141E-2</v>
      </c>
      <c r="BN27" s="14">
        <f>D27/(T27+Conventional!$B$52)/8760</f>
        <v>7.1251422238426759E-2</v>
      </c>
      <c r="BO27" s="14">
        <f t="shared" si="4"/>
        <v>0.71542859809194981</v>
      </c>
      <c r="BP27" s="14">
        <f t="shared" si="5"/>
        <v>2.9791009476725296E-3</v>
      </c>
      <c r="BQ27" s="14">
        <f t="shared" si="6"/>
        <v>2.8278936886526692E-4</v>
      </c>
      <c r="BR27" s="14">
        <f t="shared" si="7"/>
        <v>3.6977151694100679E-2</v>
      </c>
      <c r="BS27" s="14">
        <f t="shared" si="8"/>
        <v>8.6269377078561343E-3</v>
      </c>
      <c r="BT27" s="14">
        <f t="shared" si="9"/>
        <v>1.0623065088875747E-4</v>
      </c>
      <c r="BU27" s="14">
        <f t="shared" si="10"/>
        <v>0</v>
      </c>
      <c r="BV27" s="14">
        <f t="shared" si="11"/>
        <v>0.2355991914812435</v>
      </c>
      <c r="BW27" s="11">
        <f>C27/(Conventional!$B$53*8760)</f>
        <v>5.3976768802947141E-2</v>
      </c>
      <c r="BX27" s="11">
        <f>D27/(Conventional!$B$52*8760)</f>
        <v>7.1251422238426773E-2</v>
      </c>
    </row>
    <row r="28" spans="1:76" x14ac:dyDescent="0.25">
      <c r="A28">
        <v>2571893665</v>
      </c>
      <c r="B28">
        <v>707880.06</v>
      </c>
      <c r="C28">
        <v>16767481.710000001</v>
      </c>
      <c r="D28">
        <v>1368774.36</v>
      </c>
      <c r="E28">
        <v>128787887.33</v>
      </c>
      <c r="F28">
        <v>30046800</v>
      </c>
      <c r="G28">
        <v>0</v>
      </c>
      <c r="H28">
        <v>498078039.98000002</v>
      </c>
      <c r="I28">
        <v>3482904437.48</v>
      </c>
      <c r="J28">
        <v>733331949.10000002</v>
      </c>
      <c r="K28">
        <v>771532273.39699996</v>
      </c>
      <c r="L28">
        <v>235253908.96000001</v>
      </c>
      <c r="M28">
        <v>300014</v>
      </c>
      <c r="N28">
        <v>400037</v>
      </c>
      <c r="O28">
        <v>100023</v>
      </c>
      <c r="P28" s="1">
        <v>42689.155891203707</v>
      </c>
      <c r="Q28" s="2">
        <v>5507521240560</v>
      </c>
      <c r="R28">
        <v>403920</v>
      </c>
      <c r="S28">
        <v>0</v>
      </c>
      <c r="T28">
        <v>0</v>
      </c>
      <c r="U28" t="s">
        <v>35</v>
      </c>
      <c r="V28">
        <v>26</v>
      </c>
      <c r="W28" t="s">
        <v>181</v>
      </c>
      <c r="X28" t="s">
        <v>179</v>
      </c>
      <c r="Y28" t="s">
        <v>177</v>
      </c>
      <c r="Z28" s="7">
        <f>Conventional!$E$44*results_all_scenarios!R28/10^3</f>
        <v>56552.877137074858</v>
      </c>
      <c r="AA28" s="21">
        <f>Conventional!$C$44*results_all_scenarios!S28/10^3</f>
        <v>0</v>
      </c>
      <c r="AB28" s="21">
        <f>Conventional!$B$44*results_all_scenarios!T28/10^3</f>
        <v>0</v>
      </c>
      <c r="AC28" s="21">
        <f>Renewables!$C$11*results_all_scenarios!M28/10^3</f>
        <v>43658.156307529331</v>
      </c>
      <c r="AD28" s="21">
        <f>Renewables!$B$11*results_all_scenarios!O28/10^3</f>
        <v>17896.3567679937</v>
      </c>
      <c r="AE28" s="21">
        <f t="shared" si="36"/>
        <v>118107.39021259789</v>
      </c>
      <c r="AF28" s="20">
        <f t="shared" si="0"/>
        <v>84731.096008615379</v>
      </c>
      <c r="AG28" s="21">
        <f t="shared" si="37"/>
        <v>202838.48622121327</v>
      </c>
      <c r="AH28" s="17">
        <f t="shared" si="47"/>
        <v>33344.279990409996</v>
      </c>
      <c r="AI28" s="21">
        <f t="shared" si="38"/>
        <v>83.938130816565874</v>
      </c>
      <c r="AJ28" s="17">
        <f t="shared" si="48"/>
        <v>3.0242237372178136</v>
      </c>
      <c r="AK28" s="17">
        <f t="shared" si="49"/>
        <v>35.444348537227285</v>
      </c>
      <c r="AL28" s="17">
        <f t="shared" si="50"/>
        <v>38.468572274445101</v>
      </c>
      <c r="AM28" s="22">
        <f t="shared" si="39"/>
        <v>45.469558542120794</v>
      </c>
      <c r="AN28" s="22">
        <f t="shared" si="51"/>
        <v>45.46955854212078</v>
      </c>
      <c r="AO28" s="27">
        <f t="shared" si="40"/>
        <v>0.21055184322846099</v>
      </c>
      <c r="AP28" s="27">
        <f t="shared" si="41"/>
        <v>4.9512283042686872E-2</v>
      </c>
      <c r="AQ28" s="27">
        <f t="shared" si="52"/>
        <v>3.959633733879616E-2</v>
      </c>
      <c r="AR28" s="19"/>
      <c r="AS28" s="19"/>
      <c r="AT28" s="18">
        <f t="shared" si="42"/>
        <v>79.782162325502</v>
      </c>
      <c r="AU28" s="18">
        <f t="shared" si="53"/>
        <v>2.8744875155562726</v>
      </c>
      <c r="AV28" s="18">
        <f t="shared" si="54"/>
        <v>33.689417920188447</v>
      </c>
      <c r="AW28" s="18">
        <f t="shared" si="55"/>
        <v>36.563905435744722</v>
      </c>
      <c r="AX28" s="18">
        <f t="shared" si="43"/>
        <v>43.218256889757285</v>
      </c>
      <c r="AY28" s="18">
        <f t="shared" si="56"/>
        <v>43.218256889757285</v>
      </c>
      <c r="AZ28" s="7">
        <f>(D28*Conventional!$B$35+results_all_scenarios!C28*Conventional!$C$35+results_all_scenarios!A28*Conventional!$D$35+B28*Conventional!$F$35)*10^-6</f>
        <v>2363.6137864401003</v>
      </c>
      <c r="BA28" s="5">
        <f>(D28*Conventional!$B$36+results_all_scenarios!C28*Conventional!$C$36+results_all_scenarios!A28*Conventional!$D$36)*10^-9</f>
        <v>0.60247966129176223</v>
      </c>
      <c r="BB28" s="5">
        <f>(D28*Conventional!$B$37+results_all_scenarios!C28*Conventional!$C$37+results_all_scenarios!A28*Conventional!$D$37)*10^-9</f>
        <v>0.54838199157041922</v>
      </c>
      <c r="BC28" s="5">
        <f t="shared" si="1"/>
        <v>0.67863297109301546</v>
      </c>
      <c r="BD28" s="5">
        <f t="shared" si="2"/>
        <v>0.17298196723642431</v>
      </c>
      <c r="BE28" s="5">
        <f t="shared" si="3"/>
        <v>0.15744962327108586</v>
      </c>
      <c r="BF28" s="11">
        <f t="shared" si="44"/>
        <v>0.22030163244780579</v>
      </c>
      <c r="BG28" s="11">
        <f t="shared" si="45"/>
        <v>0.22020584575552382</v>
      </c>
      <c r="BH28" s="11">
        <f t="shared" si="46"/>
        <v>0.22016196185087672</v>
      </c>
      <c r="BI28" s="5">
        <f t="shared" si="57"/>
        <v>49.929100172367974</v>
      </c>
      <c r="BJ28" s="7">
        <f t="shared" si="58"/>
        <v>195988.2724735644</v>
      </c>
      <c r="BK28" s="7">
        <f t="shared" si="59"/>
        <v>215295.16907020149</v>
      </c>
      <c r="BL28" s="14">
        <f>A28/(R28+Conventional!$B$54)/8760</f>
        <v>0.49454353728667477</v>
      </c>
      <c r="BM28" s="14">
        <f>C28/(S28+Conventional!$B$53)/8760</f>
        <v>8.7226398360209553E-2</v>
      </c>
      <c r="BN28" s="14">
        <f>D28/(T28+Conventional!$B$52)/8760</f>
        <v>9.901950622428253E-2</v>
      </c>
      <c r="BO28" s="14">
        <f t="shared" si="4"/>
        <v>0.73843360079694076</v>
      </c>
      <c r="BP28" s="14">
        <f t="shared" si="5"/>
        <v>4.8142238786579644E-3</v>
      </c>
      <c r="BQ28" s="14">
        <f t="shared" si="6"/>
        <v>3.9299796608555673E-4</v>
      </c>
      <c r="BR28" s="14">
        <f t="shared" si="7"/>
        <v>3.6977152156141967E-2</v>
      </c>
      <c r="BS28" s="14">
        <f t="shared" si="8"/>
        <v>8.6269378156524686E-3</v>
      </c>
      <c r="BT28" s="14">
        <f t="shared" si="9"/>
        <v>2.0324418102960509E-4</v>
      </c>
      <c r="BU28" s="14">
        <f t="shared" si="10"/>
        <v>0</v>
      </c>
      <c r="BV28" s="14">
        <f t="shared" si="11"/>
        <v>0.21055184322846099</v>
      </c>
      <c r="BW28" s="11">
        <f>C28/(Conventional!$B$53*8760)</f>
        <v>8.7226398360209553E-2</v>
      </c>
      <c r="BX28" s="11">
        <f>D28/(Conventional!$B$52*8760)</f>
        <v>9.9019506224282516E-2</v>
      </c>
    </row>
    <row r="29" spans="1:76" x14ac:dyDescent="0.25">
      <c r="A29">
        <v>2743307415.3200002</v>
      </c>
      <c r="B29">
        <v>806061.23</v>
      </c>
      <c r="C29">
        <v>21914209.82</v>
      </c>
      <c r="D29">
        <v>1457177.85</v>
      </c>
      <c r="E29">
        <v>128787887.33</v>
      </c>
      <c r="F29">
        <v>30046800</v>
      </c>
      <c r="G29">
        <v>0</v>
      </c>
      <c r="H29">
        <v>556584881.32000005</v>
      </c>
      <c r="I29">
        <v>3482904432.8800001</v>
      </c>
      <c r="J29">
        <v>556584881.32000005</v>
      </c>
      <c r="K29">
        <v>689271559.15499997</v>
      </c>
      <c r="L29">
        <v>0</v>
      </c>
      <c r="M29">
        <v>400003</v>
      </c>
      <c r="N29">
        <v>400003</v>
      </c>
      <c r="O29">
        <v>0</v>
      </c>
      <c r="P29" s="1">
        <v>42687.994444444441</v>
      </c>
      <c r="Q29" s="2">
        <v>5971518698120</v>
      </c>
      <c r="R29">
        <v>413160</v>
      </c>
      <c r="S29">
        <v>0</v>
      </c>
      <c r="T29">
        <v>0</v>
      </c>
      <c r="U29" t="s">
        <v>36</v>
      </c>
      <c r="V29">
        <v>27</v>
      </c>
      <c r="W29" t="s">
        <v>181</v>
      </c>
      <c r="X29" t="s">
        <v>179</v>
      </c>
      <c r="Y29" t="s">
        <v>178</v>
      </c>
      <c r="Z29" s="7">
        <f>Conventional!$E$44*results_all_scenarios!R29/10^3</f>
        <v>57846.570404916434</v>
      </c>
      <c r="AA29" s="21">
        <f>Conventional!$C$44*results_all_scenarios!S29/10^3</f>
        <v>0</v>
      </c>
      <c r="AB29" s="21">
        <f>Conventional!$B$44*results_all_scenarios!T29/10^3</f>
        <v>0</v>
      </c>
      <c r="AC29" s="21">
        <f>Renewables!$C$11*results_all_scenarios!M29/10^3</f>
        <v>58208.595257156849</v>
      </c>
      <c r="AD29" s="21">
        <f>Renewables!$B$11*results_all_scenarios!O29/10^3</f>
        <v>0</v>
      </c>
      <c r="AE29" s="21">
        <f t="shared" si="36"/>
        <v>116055.16566207328</v>
      </c>
      <c r="AF29" s="20">
        <f t="shared" si="0"/>
        <v>91869.518432615383</v>
      </c>
      <c r="AG29" s="21">
        <f t="shared" si="37"/>
        <v>207924.68409468868</v>
      </c>
      <c r="AH29" s="17">
        <f t="shared" si="47"/>
        <v>38430.477863885404</v>
      </c>
      <c r="AI29" s="21">
        <f t="shared" si="38"/>
        <v>104.5817039067051</v>
      </c>
      <c r="AJ29" s="17">
        <f t="shared" si="48"/>
        <v>1.6602438386312748</v>
      </c>
      <c r="AK29" s="17">
        <f t="shared" si="49"/>
        <v>33.874529126034176</v>
      </c>
      <c r="AL29" s="17">
        <f t="shared" si="50"/>
        <v>35.53477296466545</v>
      </c>
      <c r="AM29" s="22">
        <f t="shared" si="39"/>
        <v>69.046930942039694</v>
      </c>
      <c r="AN29" s="22">
        <f t="shared" si="51"/>
        <v>69.046930942039651</v>
      </c>
      <c r="AO29" s="27">
        <f t="shared" si="40"/>
        <v>0.15980481005037575</v>
      </c>
      <c r="AP29" s="27">
        <f t="shared" si="41"/>
        <v>0.19250276044707945</v>
      </c>
      <c r="AQ29" s="27">
        <f t="shared" si="52"/>
        <v>1.6499876250928119E-2</v>
      </c>
      <c r="AR29" s="22">
        <f>AC29/K29*10^6</f>
        <v>84.449437212405257</v>
      </c>
      <c r="AS29" s="19"/>
      <c r="AT29" s="18">
        <f t="shared" si="42"/>
        <v>84.449437212405257</v>
      </c>
      <c r="AU29" s="18">
        <f t="shared" si="53"/>
        <v>1.3406423166794987</v>
      </c>
      <c r="AV29" s="18">
        <f t="shared" si="54"/>
        <v>27.353588760427602</v>
      </c>
      <c r="AW29" s="18">
        <f t="shared" si="55"/>
        <v>28.694231077107101</v>
      </c>
      <c r="AX29" s="18">
        <f t="shared" si="43"/>
        <v>55.755206135298195</v>
      </c>
      <c r="AY29" s="18">
        <f t="shared" si="56"/>
        <v>55.755206135298167</v>
      </c>
      <c r="AZ29" s="7">
        <f>(D29*Conventional!$B$35+results_all_scenarios!C29*Conventional!$C$35+results_all_scenarios!A29*Conventional!$D$35+B29*Conventional!$F$35)*10^-6</f>
        <v>2522.8854843958011</v>
      </c>
      <c r="BA29" s="5">
        <f>(D29*Conventional!$B$36+results_all_scenarios!C29*Conventional!$C$36+results_all_scenarios!A29*Conventional!$D$36)*10^-9</f>
        <v>0.64263713886674345</v>
      </c>
      <c r="BB29" s="5">
        <f>(D29*Conventional!$B$37+results_all_scenarios!C29*Conventional!$C$37+results_all_scenarios!A29*Conventional!$D$37)*10^-9</f>
        <v>0.58503655458929416</v>
      </c>
      <c r="BC29" s="5">
        <f t="shared" si="1"/>
        <v>0.72436253506664172</v>
      </c>
      <c r="BD29" s="5">
        <f t="shared" si="2"/>
        <v>0.18451184959311367</v>
      </c>
      <c r="BE29" s="5">
        <f t="shared" si="3"/>
        <v>0.16797376036686992</v>
      </c>
      <c r="BF29" s="11">
        <f t="shared" si="44"/>
        <v>0.16776179552277135</v>
      </c>
      <c r="BG29" s="11">
        <f t="shared" si="45"/>
        <v>0.16822970734940204</v>
      </c>
      <c r="BH29" s="11">
        <f t="shared" si="46"/>
        <v>0.16803657671196265</v>
      </c>
      <c r="BI29" s="5">
        <f t="shared" si="57"/>
        <v>75.567112827882042</v>
      </c>
      <c r="BJ29" s="7">
        <f t="shared" si="58"/>
        <v>295672.32749312028</v>
      </c>
      <c r="BK29" s="7">
        <f t="shared" si="59"/>
        <v>325069.11217603786</v>
      </c>
      <c r="BL29" s="14">
        <f>A29/(R29+Conventional!$B$54)/8760</f>
        <v>0.51941992399240666</v>
      </c>
      <c r="BM29" s="14">
        <f>C29/(S29+Conventional!$B$53)/8760</f>
        <v>0.11400027914558769</v>
      </c>
      <c r="BN29" s="14">
        <f>D29/(T29+Conventional!$B$52)/8760</f>
        <v>0.10541476769623419</v>
      </c>
      <c r="BO29" s="14">
        <f t="shared" si="4"/>
        <v>0.78764935076084475</v>
      </c>
      <c r="BP29" s="14">
        <f t="shared" si="5"/>
        <v>6.2919354355867943E-3</v>
      </c>
      <c r="BQ29" s="14">
        <f t="shared" si="6"/>
        <v>4.183800842319022E-4</v>
      </c>
      <c r="BR29" s="14">
        <f t="shared" si="7"/>
        <v>3.6977152204979047E-2</v>
      </c>
      <c r="BS29" s="14">
        <f t="shared" si="8"/>
        <v>8.6269378270463822E-3</v>
      </c>
      <c r="BT29" s="14">
        <f t="shared" si="9"/>
        <v>2.3143363406427753E-4</v>
      </c>
      <c r="BU29" s="14">
        <f t="shared" si="10"/>
        <v>0</v>
      </c>
      <c r="BV29" s="14">
        <f t="shared" si="11"/>
        <v>0.15980481005037575</v>
      </c>
      <c r="BW29" s="11">
        <f>C29/(Conventional!$B$53*8760)</f>
        <v>0.11400027914558769</v>
      </c>
      <c r="BX29" s="11">
        <f>D29/(Conventional!$B$52*8760)</f>
        <v>0.10541476769623419</v>
      </c>
    </row>
    <row r="30" spans="1:76" x14ac:dyDescent="0.25">
      <c r="A30">
        <v>2107582855.9300001</v>
      </c>
      <c r="B30">
        <v>281361.65000000002</v>
      </c>
      <c r="C30">
        <v>7892398.7999999998</v>
      </c>
      <c r="D30">
        <v>815062.48</v>
      </c>
      <c r="E30">
        <v>128787887.33</v>
      </c>
      <c r="F30">
        <v>30046800</v>
      </c>
      <c r="G30">
        <v>0</v>
      </c>
      <c r="H30">
        <v>0</v>
      </c>
      <c r="I30">
        <v>3482904481</v>
      </c>
      <c r="J30">
        <v>1207498114.6900001</v>
      </c>
      <c r="K30">
        <v>1286680245.75</v>
      </c>
      <c r="L30">
        <v>1207498114.6900001</v>
      </c>
      <c r="M30">
        <v>0</v>
      </c>
      <c r="N30">
        <v>600016</v>
      </c>
      <c r="O30">
        <v>600016</v>
      </c>
      <c r="P30" s="1">
        <v>42687.584583333337</v>
      </c>
      <c r="Q30" s="2">
        <v>4416433094140</v>
      </c>
      <c r="R30">
        <v>401280</v>
      </c>
      <c r="S30">
        <v>0</v>
      </c>
      <c r="T30">
        <v>0</v>
      </c>
      <c r="U30" t="s">
        <v>25</v>
      </c>
      <c r="V30">
        <v>28</v>
      </c>
      <c r="W30" t="s">
        <v>181</v>
      </c>
      <c r="X30" t="s">
        <v>180</v>
      </c>
      <c r="Y30" t="s">
        <v>174</v>
      </c>
      <c r="Z30" s="7">
        <f>Conventional!$E$44*results_all_scenarios!R30/10^3</f>
        <v>56183.250489120117</v>
      </c>
      <c r="AA30" s="25">
        <f>Conventional!$C$44*results_all_scenarios!S30/10^3</f>
        <v>0</v>
      </c>
      <c r="AB30" s="25">
        <f>Conventional!$B$44*results_all_scenarios!T30/10^3</f>
        <v>0</v>
      </c>
      <c r="AC30" s="25">
        <f>Renewables!$C$11*results_all_scenarios!M30/10^3</f>
        <v>0</v>
      </c>
      <c r="AD30" s="25">
        <f>Renewables!$B$11*results_all_scenarios!O30/10^3</f>
        <v>107356.31207326821</v>
      </c>
      <c r="AE30" s="25">
        <f t="shared" si="36"/>
        <v>163539.56256238834</v>
      </c>
      <c r="AF30" s="24">
        <f t="shared" si="0"/>
        <v>67945.124525230771</v>
      </c>
      <c r="AG30" s="25">
        <f t="shared" si="37"/>
        <v>231484.6870876191</v>
      </c>
      <c r="AH30" s="17">
        <f t="shared" si="47"/>
        <v>61990.480856815819</v>
      </c>
      <c r="AI30" s="25">
        <f t="shared" si="38"/>
        <v>88.908057716371431</v>
      </c>
      <c r="AJ30" s="17">
        <f t="shared" si="48"/>
        <v>2.1427665221220029</v>
      </c>
      <c r="AK30" s="17">
        <f t="shared" si="49"/>
        <v>35.42733869340384</v>
      </c>
      <c r="AL30" s="17">
        <f t="shared" si="50"/>
        <v>37.570105215525842</v>
      </c>
      <c r="AM30" s="26">
        <f t="shared" si="39"/>
        <v>51.337952500845581</v>
      </c>
      <c r="AN30" s="26">
        <f t="shared" si="51"/>
        <v>51.337952500845589</v>
      </c>
      <c r="AO30" s="27">
        <f t="shared" si="40"/>
        <v>0.34669285973163044</v>
      </c>
      <c r="AP30" s="27">
        <f t="shared" si="41"/>
        <v>6.1539866895092526E-2</v>
      </c>
      <c r="AQ30" s="27">
        <f t="shared" si="52"/>
        <v>3.0799178688568307E-2</v>
      </c>
      <c r="AR30" s="23"/>
      <c r="AS30" s="26">
        <f>AD30/K30*10^6</f>
        <v>83.436667678604721</v>
      </c>
      <c r="AT30" s="18">
        <f t="shared" si="42"/>
        <v>83.436667678604721</v>
      </c>
      <c r="AU30" s="18">
        <f t="shared" si="53"/>
        <v>2.0109009555633541</v>
      </c>
      <c r="AV30" s="18">
        <f t="shared" si="54"/>
        <v>33.247144985764407</v>
      </c>
      <c r="AW30" s="18">
        <f t="shared" si="55"/>
        <v>35.258045941327765</v>
      </c>
      <c r="AX30" s="18">
        <f t="shared" si="43"/>
        <v>48.178621737276963</v>
      </c>
      <c r="AY30" s="18">
        <f t="shared" si="56"/>
        <v>48.178621737276956</v>
      </c>
      <c r="AZ30" s="7">
        <f>(D30*Conventional!$B$35+results_all_scenarios!C30*Conventional!$C$35+results_all_scenarios!A30*Conventional!$D$35+B30*Conventional!$F$35)*10^-6</f>
        <v>1933.9986495858584</v>
      </c>
      <c r="BA30" s="5">
        <f>(D30*Conventional!$B$36+results_all_scenarios!C30*Conventional!$C$36+results_all_scenarios!A30*Conventional!$D$36)*10^-9</f>
        <v>0.4937078561929456</v>
      </c>
      <c r="BB30" s="5">
        <f>(D30*Conventional!$B$37+results_all_scenarios!C30*Conventional!$C$37+results_all_scenarios!A30*Conventional!$D$37)*10^-9</f>
        <v>0.44917251040657474</v>
      </c>
      <c r="BC30" s="5">
        <f t="shared" si="1"/>
        <v>0.55528328730697063</v>
      </c>
      <c r="BD30" s="5">
        <f t="shared" si="2"/>
        <v>0.14175176462238029</v>
      </c>
      <c r="BE30" s="5">
        <f t="shared" si="3"/>
        <v>0.12896492363109821</v>
      </c>
      <c r="BF30" s="11">
        <f t="shared" si="44"/>
        <v>0.36202115650992939</v>
      </c>
      <c r="BG30" s="11">
        <f t="shared" si="45"/>
        <v>0.36099004680360069</v>
      </c>
      <c r="BH30" s="11">
        <f t="shared" si="46"/>
        <v>0.36124487184039983</v>
      </c>
      <c r="BI30" s="5">
        <f t="shared" si="57"/>
        <v>56.486044549199839</v>
      </c>
      <c r="BJ30" s="7">
        <f t="shared" si="58"/>
        <v>222263.09734357201</v>
      </c>
      <c r="BK30" s="7">
        <f t="shared" si="59"/>
        <v>243973.89872316821</v>
      </c>
      <c r="BL30" s="14">
        <f>A30/(R30+Conventional!$B$54)/8760</f>
        <v>0.40707249596943573</v>
      </c>
      <c r="BM30" s="14">
        <f>C30/(S30+Conventional!$B$53)/8760</f>
        <v>4.1057180419398813E-2</v>
      </c>
      <c r="BN30" s="14">
        <f>D30/(T30+Conventional!$B$52)/8760</f>
        <v>5.896303048191167E-2</v>
      </c>
      <c r="BO30" s="14">
        <f t="shared" si="4"/>
        <v>0.60512220976122721</v>
      </c>
      <c r="BP30" s="14">
        <f t="shared" si="5"/>
        <v>2.2660394056324968E-3</v>
      </c>
      <c r="BQ30" s="14">
        <f t="shared" si="6"/>
        <v>2.340180399566921E-4</v>
      </c>
      <c r="BR30" s="14">
        <f t="shared" si="7"/>
        <v>3.6977151694100679E-2</v>
      </c>
      <c r="BS30" s="14">
        <f t="shared" si="8"/>
        <v>8.6269377078561343E-3</v>
      </c>
      <c r="BT30" s="14">
        <f t="shared" si="9"/>
        <v>8.0783625142431814E-5</v>
      </c>
      <c r="BU30" s="14">
        <f t="shared" si="10"/>
        <v>0</v>
      </c>
      <c r="BV30" s="14">
        <f t="shared" si="11"/>
        <v>0.34669285973163044</v>
      </c>
      <c r="BW30" s="11">
        <f>C30/(Conventional!$B$53*8760)</f>
        <v>4.105718041939882E-2</v>
      </c>
      <c r="BX30" s="11">
        <f>D30/(Conventional!$B$52*8760)</f>
        <v>5.896303048191167E-2</v>
      </c>
    </row>
    <row r="31" spans="1:76" x14ac:dyDescent="0.25">
      <c r="A31">
        <v>2088824925.05</v>
      </c>
      <c r="B31">
        <v>363499.31</v>
      </c>
      <c r="C31">
        <v>7436832.5899999999</v>
      </c>
      <c r="D31">
        <v>791809.77</v>
      </c>
      <c r="E31">
        <v>128787887.33</v>
      </c>
      <c r="F31">
        <v>30046800</v>
      </c>
      <c r="G31">
        <v>0</v>
      </c>
      <c r="H31">
        <v>244600918.24000001</v>
      </c>
      <c r="I31">
        <v>3482904477.0799999</v>
      </c>
      <c r="J31">
        <v>1226652722.99</v>
      </c>
      <c r="K31">
        <v>1267252345.6500001</v>
      </c>
      <c r="L31">
        <v>982051804.60000002</v>
      </c>
      <c r="M31">
        <v>150088</v>
      </c>
      <c r="N31">
        <v>600096</v>
      </c>
      <c r="O31">
        <v>450008</v>
      </c>
      <c r="P31" s="1">
        <v>42688.901018518518</v>
      </c>
      <c r="Q31" s="2">
        <v>4331822736460</v>
      </c>
      <c r="R31">
        <v>390720</v>
      </c>
      <c r="S31">
        <v>0</v>
      </c>
      <c r="T31">
        <v>0</v>
      </c>
      <c r="U31" t="s">
        <v>24</v>
      </c>
      <c r="V31">
        <v>29</v>
      </c>
      <c r="W31" t="s">
        <v>181</v>
      </c>
      <c r="X31" t="s">
        <v>180</v>
      </c>
      <c r="Y31" t="s">
        <v>175</v>
      </c>
      <c r="Z31" s="7">
        <f>Conventional!$E$44*results_all_scenarios!R31/10^3</f>
        <v>54704.743897301167</v>
      </c>
      <c r="AA31" s="25">
        <f>Conventional!$C$44*results_all_scenarios!S31/10^3</f>
        <v>0</v>
      </c>
      <c r="AB31" s="25">
        <f>Conventional!$B$44*results_all_scenarios!T31/10^3</f>
        <v>0</v>
      </c>
      <c r="AC31" s="25">
        <f>Renewables!$C$11*results_all_scenarios!M31/10^3</f>
        <v>21840.865305900599</v>
      </c>
      <c r="AD31" s="25">
        <f>Renewables!$B$11*results_all_scenarios!O31/10^3</f>
        <v>80516.518365289056</v>
      </c>
      <c r="AE31" s="25">
        <f t="shared" si="36"/>
        <v>157062.1275684908</v>
      </c>
      <c r="AF31" s="24">
        <f t="shared" si="0"/>
        <v>66643.42671476923</v>
      </c>
      <c r="AG31" s="25">
        <f t="shared" si="37"/>
        <v>223705.55428326002</v>
      </c>
      <c r="AH31" s="17">
        <f t="shared" si="47"/>
        <v>54211.348052456742</v>
      </c>
      <c r="AI31" s="25">
        <f t="shared" si="38"/>
        <v>83.444467821088509</v>
      </c>
      <c r="AJ31" s="17">
        <f t="shared" si="48"/>
        <v>3.3146244664841977</v>
      </c>
      <c r="AK31" s="17">
        <f t="shared" si="49"/>
        <v>35.935307251252169</v>
      </c>
      <c r="AL31" s="17">
        <f t="shared" si="50"/>
        <v>39.249931717736366</v>
      </c>
      <c r="AM31" s="26">
        <f t="shared" si="39"/>
        <v>44.194536103352121</v>
      </c>
      <c r="AN31" s="26">
        <f t="shared" si="51"/>
        <v>44.194536103352135</v>
      </c>
      <c r="AO31" s="27">
        <f t="shared" si="40"/>
        <v>0.35219246782742719</v>
      </c>
      <c r="AP31" s="27">
        <f t="shared" si="41"/>
        <v>3.2037520229781617E-2</v>
      </c>
      <c r="AQ31" s="27">
        <f t="shared" si="52"/>
        <v>4.8392257238841788E-2</v>
      </c>
      <c r="AR31" s="23"/>
      <c r="AS31" s="23"/>
      <c r="AT31" s="18">
        <f t="shared" si="42"/>
        <v>80.771113995207031</v>
      </c>
      <c r="AU31" s="18">
        <f t="shared" si="53"/>
        <v>3.208432118085081</v>
      </c>
      <c r="AV31" s="18">
        <f t="shared" si="54"/>
        <v>34.784029118226762</v>
      </c>
      <c r="AW31" s="18">
        <f t="shared" si="55"/>
        <v>37.99246123631184</v>
      </c>
      <c r="AX31" s="18">
        <f t="shared" si="43"/>
        <v>42.778652758895163</v>
      </c>
      <c r="AY31" s="18">
        <f t="shared" si="56"/>
        <v>42.778652758895184</v>
      </c>
      <c r="AZ31" s="7">
        <f>(D31*Conventional!$B$35+results_all_scenarios!C31*Conventional!$C$35+results_all_scenarios!A31*Conventional!$D$35+B31*Conventional!$F$35)*10^-6</f>
        <v>1916.6824085684623</v>
      </c>
      <c r="BA31" s="5">
        <f>(D31*Conventional!$B$36+results_all_scenarios!C31*Conventional!$C$36+results_all_scenarios!A31*Conventional!$D$36)*10^-9</f>
        <v>0.4893134572581031</v>
      </c>
      <c r="BB31" s="5">
        <f>(D31*Conventional!$B$37+results_all_scenarios!C31*Conventional!$C$37+results_all_scenarios!A31*Conventional!$D$37)*10^-9</f>
        <v>0.44516178477437862</v>
      </c>
      <c r="BC31" s="5">
        <f t="shared" si="1"/>
        <v>0.55031150615286817</v>
      </c>
      <c r="BD31" s="5">
        <f t="shared" si="2"/>
        <v>0.14049005951157584</v>
      </c>
      <c r="BE31" s="5">
        <f t="shared" si="3"/>
        <v>0.12781337751404359</v>
      </c>
      <c r="BF31" s="11">
        <f t="shared" si="44"/>
        <v>0.36773336081795172</v>
      </c>
      <c r="BG31" s="11">
        <f t="shared" si="45"/>
        <v>0.36667775183493928</v>
      </c>
      <c r="BH31" s="11">
        <f t="shared" si="46"/>
        <v>0.36694840780008603</v>
      </c>
      <c r="BI31" s="5">
        <f t="shared" si="57"/>
        <v>48.630337812570517</v>
      </c>
      <c r="BJ31" s="7">
        <f t="shared" si="58"/>
        <v>191356.50558970199</v>
      </c>
      <c r="BK31" s="7">
        <f t="shared" si="59"/>
        <v>210042.32816498255</v>
      </c>
      <c r="BL31" s="14">
        <f>A31/(R31+Conventional!$B$54)/8760</f>
        <v>0.41078909280222947</v>
      </c>
      <c r="BM31" s="14">
        <f>C31/(S31+Conventional!$B$53)/8760</f>
        <v>3.8687271783135815E-2</v>
      </c>
      <c r="BN31" s="14">
        <f>D31/(T31+Conventional!$B$52)/8760</f>
        <v>5.7280889195617829E-2</v>
      </c>
      <c r="BO31" s="14">
        <f t="shared" si="4"/>
        <v>0.59973649544394925</v>
      </c>
      <c r="BP31" s="14">
        <f t="shared" si="5"/>
        <v>2.1352387465518141E-3</v>
      </c>
      <c r="BQ31" s="14">
        <f t="shared" si="6"/>
        <v>2.2734179912503317E-4</v>
      </c>
      <c r="BR31" s="14">
        <f t="shared" si="7"/>
        <v>3.6977151735718368E-2</v>
      </c>
      <c r="BS31" s="14">
        <f t="shared" si="8"/>
        <v>8.6269377175657302E-3</v>
      </c>
      <c r="BT31" s="14">
        <f t="shared" si="9"/>
        <v>1.0436671817791305E-4</v>
      </c>
      <c r="BU31" s="14">
        <f t="shared" si="10"/>
        <v>0</v>
      </c>
      <c r="BV31" s="14">
        <f t="shared" si="11"/>
        <v>0.35219246782742719</v>
      </c>
      <c r="BW31" s="11">
        <f>C31/(Conventional!$B$53*8760)</f>
        <v>3.8687271783135815E-2</v>
      </c>
      <c r="BX31" s="11">
        <f>D31/(Conventional!$B$52*8760)</f>
        <v>5.7280889195617829E-2</v>
      </c>
    </row>
    <row r="32" spans="1:76" x14ac:dyDescent="0.25">
      <c r="A32">
        <v>2183607358.3699999</v>
      </c>
      <c r="B32">
        <v>698757.92</v>
      </c>
      <c r="C32">
        <v>10375628.109999999</v>
      </c>
      <c r="D32">
        <v>1104718.67</v>
      </c>
      <c r="E32">
        <v>128787887.33</v>
      </c>
      <c r="F32">
        <v>30046800</v>
      </c>
      <c r="G32">
        <v>0</v>
      </c>
      <c r="H32">
        <v>477885609.88999999</v>
      </c>
      <c r="I32">
        <v>3482904443.5700002</v>
      </c>
      <c r="J32">
        <v>1128283293.3900001</v>
      </c>
      <c r="K32">
        <v>1207988451.8</v>
      </c>
      <c r="L32">
        <v>650397683.52999997</v>
      </c>
      <c r="M32">
        <v>300012</v>
      </c>
      <c r="N32">
        <v>600019</v>
      </c>
      <c r="O32">
        <v>300007</v>
      </c>
      <c r="P32" s="1">
        <v>42687.669872685183</v>
      </c>
      <c r="Q32" s="2">
        <v>4580651183470</v>
      </c>
      <c r="R32">
        <v>392700</v>
      </c>
      <c r="S32">
        <v>0</v>
      </c>
      <c r="T32">
        <v>0</v>
      </c>
      <c r="U32" t="s">
        <v>23</v>
      </c>
      <c r="V32">
        <v>30</v>
      </c>
      <c r="W32" t="s">
        <v>181</v>
      </c>
      <c r="X32" t="s">
        <v>180</v>
      </c>
      <c r="Y32" t="s">
        <v>176</v>
      </c>
      <c r="Z32" s="7">
        <f>Conventional!$E$44*results_all_scenarios!R32/10^3</f>
        <v>54981.963883267221</v>
      </c>
      <c r="AA32" s="25">
        <f>Conventional!$C$44*results_all_scenarios!S32/10^3</f>
        <v>0</v>
      </c>
      <c r="AB32" s="25">
        <f>Conventional!$B$44*results_all_scenarios!T32/10^3</f>
        <v>0</v>
      </c>
      <c r="AC32" s="25">
        <f>Renewables!$C$11*results_all_scenarios!M32/10^3</f>
        <v>43657.865266735855</v>
      </c>
      <c r="AD32" s="25">
        <f>Renewables!$B$11*results_all_scenarios!O32/10^3</f>
        <v>53677.977114218585</v>
      </c>
      <c r="AE32" s="25">
        <f t="shared" si="36"/>
        <v>152317.80626422167</v>
      </c>
      <c r="AF32" s="24">
        <f t="shared" si="0"/>
        <v>70471.556668769219</v>
      </c>
      <c r="AG32" s="25">
        <f t="shared" si="37"/>
        <v>222789.36293299089</v>
      </c>
      <c r="AH32" s="17">
        <f t="shared" si="47"/>
        <v>53295.156702187611</v>
      </c>
      <c r="AI32" s="25">
        <f t="shared" si="38"/>
        <v>86.268974247152613</v>
      </c>
      <c r="AJ32" s="17">
        <f t="shared" si="48"/>
        <v>3.3579094574313419</v>
      </c>
      <c r="AK32" s="17">
        <f t="shared" si="49"/>
        <v>35.675448509293268</v>
      </c>
      <c r="AL32" s="17">
        <f t="shared" si="50"/>
        <v>39.033357966724608</v>
      </c>
      <c r="AM32" s="26">
        <f t="shared" si="39"/>
        <v>47.235616280427998</v>
      </c>
      <c r="AN32" s="26">
        <f t="shared" si="51"/>
        <v>47.235616280427998</v>
      </c>
      <c r="AO32" s="27">
        <f t="shared" si="40"/>
        <v>0.32394896606279044</v>
      </c>
      <c r="AP32" s="27">
        <f t="shared" si="41"/>
        <v>6.5981722168976659E-2</v>
      </c>
      <c r="AQ32" s="27">
        <f t="shared" si="52"/>
        <v>4.5098571878557182E-2</v>
      </c>
      <c r="AR32" s="23"/>
      <c r="AS32" s="23"/>
      <c r="AT32" s="18">
        <f t="shared" si="42"/>
        <v>80.576798756574391</v>
      </c>
      <c r="AU32" s="18">
        <f t="shared" si="53"/>
        <v>3.136348808542528</v>
      </c>
      <c r="AV32" s="18">
        <f t="shared" si="54"/>
        <v>33.321520977499453</v>
      </c>
      <c r="AW32" s="18">
        <f t="shared" si="55"/>
        <v>36.457869786041982</v>
      </c>
      <c r="AX32" s="18">
        <f t="shared" si="43"/>
        <v>44.118928970532409</v>
      </c>
      <c r="AY32" s="18">
        <f t="shared" si="56"/>
        <v>44.118928970532416</v>
      </c>
      <c r="AZ32" s="7">
        <f>(D32*Conventional!$B$35+results_all_scenarios!C32*Conventional!$C$35+results_all_scenarios!A32*Conventional!$D$35+B32*Conventional!$F$35)*10^-6</f>
        <v>2005.1875975637206</v>
      </c>
      <c r="BA32" s="5">
        <f>(D32*Conventional!$B$36+results_all_scenarios!C32*Conventional!$C$36+results_all_scenarios!A32*Conventional!$D$36)*10^-9</f>
        <v>0.51151869965120145</v>
      </c>
      <c r="BB32" s="5">
        <f>(D32*Conventional!$B$37+results_all_scenarios!C32*Conventional!$C$37+results_all_scenarios!A32*Conventional!$D$37)*10^-9</f>
        <v>0.46547931711159857</v>
      </c>
      <c r="BC32" s="5">
        <f t="shared" si="1"/>
        <v>0.57572282847599177</v>
      </c>
      <c r="BD32" s="5">
        <f t="shared" si="2"/>
        <v>0.14686555658899769</v>
      </c>
      <c r="BE32" s="5">
        <f t="shared" si="3"/>
        <v>0.13364688140409592</v>
      </c>
      <c r="BF32" s="11">
        <f t="shared" si="44"/>
        <v>0.33853766405251906</v>
      </c>
      <c r="BG32" s="11">
        <f t="shared" si="45"/>
        <v>0.33793733232501938</v>
      </c>
      <c r="BH32" s="11">
        <f t="shared" si="46"/>
        <v>0.33805543756866963</v>
      </c>
      <c r="BI32" s="5">
        <f t="shared" si="57"/>
        <v>51.931499252463951</v>
      </c>
      <c r="BJ32" s="7">
        <f t="shared" si="58"/>
        <v>204121.6906653757</v>
      </c>
      <c r="BK32" s="7">
        <f t="shared" si="59"/>
        <v>224136.67744639172</v>
      </c>
      <c r="BL32" s="14">
        <f>A32/(R32+Conventional!$B$54)/8760</f>
        <v>0.42796922372477142</v>
      </c>
      <c r="BM32" s="14">
        <f>C32/(S32+Conventional!$B$53)/8760</f>
        <v>5.3975229340521409E-2</v>
      </c>
      <c r="BN32" s="14">
        <f>D32/(T32+Conventional!$B$52)/8760</f>
        <v>7.9917260592276218E-2</v>
      </c>
      <c r="BO32" s="14">
        <f t="shared" si="4"/>
        <v>0.62695011986369276</v>
      </c>
      <c r="BP32" s="14">
        <f t="shared" si="5"/>
        <v>2.9790160132458048E-3</v>
      </c>
      <c r="BQ32" s="14">
        <f t="shared" si="6"/>
        <v>3.1718316936299749E-4</v>
      </c>
      <c r="BR32" s="14">
        <f t="shared" si="7"/>
        <v>3.6977152091485908E-2</v>
      </c>
      <c r="BS32" s="14">
        <f t="shared" si="8"/>
        <v>8.626937800567917E-3</v>
      </c>
      <c r="BT32" s="14">
        <f t="shared" si="9"/>
        <v>2.0062506201972297E-4</v>
      </c>
      <c r="BU32" s="14">
        <f t="shared" si="10"/>
        <v>0</v>
      </c>
      <c r="BV32" s="14">
        <f t="shared" si="11"/>
        <v>0.32394896606279044</v>
      </c>
      <c r="BW32" s="11">
        <f>C32/(Conventional!$B$53*8760)</f>
        <v>5.3975229340521409E-2</v>
      </c>
      <c r="BX32" s="11">
        <f>D32/(Conventional!$B$52*8760)</f>
        <v>7.9917260592276218E-2</v>
      </c>
    </row>
    <row r="33" spans="1:76" x14ac:dyDescent="0.25">
      <c r="A33">
        <v>2400001478.4699998</v>
      </c>
      <c r="B33">
        <v>759605.8</v>
      </c>
      <c r="C33">
        <v>16233613.74</v>
      </c>
      <c r="D33">
        <v>1327009.68</v>
      </c>
      <c r="E33">
        <v>128787887.33</v>
      </c>
      <c r="F33">
        <v>30046800</v>
      </c>
      <c r="G33">
        <v>0</v>
      </c>
      <c r="H33">
        <v>593029918.28999996</v>
      </c>
      <c r="I33">
        <v>3482904453.21</v>
      </c>
      <c r="J33">
        <v>905748058.13999999</v>
      </c>
      <c r="K33">
        <v>1142202955.26</v>
      </c>
      <c r="L33">
        <v>312718139.76999998</v>
      </c>
      <c r="M33">
        <v>450047</v>
      </c>
      <c r="N33">
        <v>600057</v>
      </c>
      <c r="O33">
        <v>150010</v>
      </c>
      <c r="P33" s="1">
        <v>42688.999236111114</v>
      </c>
      <c r="Q33" s="2">
        <v>5125430476500</v>
      </c>
      <c r="R33">
        <v>400620</v>
      </c>
      <c r="S33">
        <v>0</v>
      </c>
      <c r="T33">
        <v>0</v>
      </c>
      <c r="U33" t="s">
        <v>22</v>
      </c>
      <c r="V33">
        <v>31</v>
      </c>
      <c r="W33" t="s">
        <v>181</v>
      </c>
      <c r="X33" t="s">
        <v>180</v>
      </c>
      <c r="Y33" t="s">
        <v>177</v>
      </c>
      <c r="Z33" s="7">
        <f>Conventional!$E$44*results_all_scenarios!R33/10^3</f>
        <v>56090.843827131437</v>
      </c>
      <c r="AA33" s="25">
        <f>Conventional!$C$44*results_all_scenarios!S33/10^3</f>
        <v>0</v>
      </c>
      <c r="AB33" s="25">
        <f>Conventional!$B$44*results_all_scenarios!T33/10^3</f>
        <v>0</v>
      </c>
      <c r="AC33" s="25">
        <f>Renewables!$C$11*results_all_scenarios!M33/10^3</f>
        <v>65491.017991609238</v>
      </c>
      <c r="AD33" s="25">
        <f>Renewables!$B$11*results_all_scenarios!O33/10^3</f>
        <v>26840.151552810203</v>
      </c>
      <c r="AE33" s="25">
        <f t="shared" si="36"/>
        <v>148422.01337155089</v>
      </c>
      <c r="AF33" s="24">
        <f t="shared" si="0"/>
        <v>78852.776561538456</v>
      </c>
      <c r="AG33" s="25">
        <f t="shared" si="37"/>
        <v>227274.78993308934</v>
      </c>
      <c r="AH33" s="17">
        <f t="shared" si="47"/>
        <v>57780.583702286065</v>
      </c>
      <c r="AI33" s="25">
        <f t="shared" si="38"/>
        <v>101.93913055030582</v>
      </c>
      <c r="AJ33" s="17">
        <f t="shared" si="48"/>
        <v>2.9586518829253015</v>
      </c>
      <c r="AK33" s="17">
        <f t="shared" si="49"/>
        <v>35.187260251940089</v>
      </c>
      <c r="AL33" s="17">
        <f t="shared" si="50"/>
        <v>38.145912134865391</v>
      </c>
      <c r="AM33" s="26">
        <f t="shared" si="39"/>
        <v>63.793218415440442</v>
      </c>
      <c r="AN33" s="26">
        <f t="shared" si="51"/>
        <v>63.793218415440435</v>
      </c>
      <c r="AO33" s="27">
        <f t="shared" si="40"/>
        <v>0.26005538489728658</v>
      </c>
      <c r="AP33" s="27">
        <f t="shared" si="41"/>
        <v>0.20701653417292701</v>
      </c>
      <c r="AQ33" s="27">
        <f t="shared" si="52"/>
        <v>3.1896969787870155E-2</v>
      </c>
      <c r="AR33" s="23"/>
      <c r="AS33" s="23"/>
      <c r="AT33" s="18">
        <f t="shared" si="42"/>
        <v>80.836045047179965</v>
      </c>
      <c r="AU33" s="18">
        <f t="shared" si="53"/>
        <v>2.3461620242979011</v>
      </c>
      <c r="AV33" s="18">
        <f t="shared" si="54"/>
        <v>27.902915587542662</v>
      </c>
      <c r="AW33" s="18">
        <f t="shared" si="55"/>
        <v>30.249077611840562</v>
      </c>
      <c r="AX33" s="18">
        <f t="shared" si="43"/>
        <v>50.586967435339417</v>
      </c>
      <c r="AY33" s="18">
        <f t="shared" si="56"/>
        <v>50.586967435339403</v>
      </c>
      <c r="AZ33" s="7">
        <f>(D33*Conventional!$B$35+results_all_scenarios!C33*Conventional!$C$35+results_all_scenarios!A33*Conventional!$D$35+B33*Conventional!$F$35)*10^-6</f>
        <v>2206.0021331521252</v>
      </c>
      <c r="BA33" s="5">
        <f>(D33*Conventional!$B$36+results_all_scenarios!C33*Conventional!$C$36+results_all_scenarios!A33*Conventional!$D$36)*10^-9</f>
        <v>0.56221348649136416</v>
      </c>
      <c r="BB33" s="5">
        <f>(D33*Conventional!$B$37+results_all_scenarios!C33*Conventional!$C$37+results_all_scenarios!A33*Conventional!$D$37)*10^-9</f>
        <v>0.51175526585976827</v>
      </c>
      <c r="BC33" s="5">
        <f t="shared" si="1"/>
        <v>0.63338003174878232</v>
      </c>
      <c r="BD33" s="5">
        <f t="shared" si="2"/>
        <v>0.16142087560662285</v>
      </c>
      <c r="BE33" s="5">
        <f t="shared" si="3"/>
        <v>0.14693347828939488</v>
      </c>
      <c r="BF33" s="11">
        <f t="shared" si="44"/>
        <v>0.2722938612462863</v>
      </c>
      <c r="BG33" s="11">
        <f t="shared" si="45"/>
        <v>0.27232267183362596</v>
      </c>
      <c r="BH33" s="11">
        <f t="shared" si="46"/>
        <v>0.27224776036556453</v>
      </c>
      <c r="BI33" s="5">
        <f t="shared" si="57"/>
        <v>69.999378618732081</v>
      </c>
      <c r="BJ33" s="7">
        <f t="shared" si="58"/>
        <v>274622.24309206271</v>
      </c>
      <c r="BK33" s="7">
        <f t="shared" si="59"/>
        <v>301720.34171669948</v>
      </c>
      <c r="BL33" s="14">
        <f>A33/(R33+Conventional!$B$54)/8760</f>
        <v>0.46407038905301623</v>
      </c>
      <c r="BM33" s="14">
        <f>C33/(S33+Conventional!$B$53)/8760</f>
        <v>8.4449154822487132E-2</v>
      </c>
      <c r="BN33" s="14">
        <f>D33/(T33+Conventional!$B$52)/8760</f>
        <v>9.5998176988384809E-2</v>
      </c>
      <c r="BO33" s="14">
        <f t="shared" si="4"/>
        <v>0.68908048173932868</v>
      </c>
      <c r="BP33" s="14">
        <f t="shared" si="5"/>
        <v>4.6609414521946984E-3</v>
      </c>
      <c r="BQ33" s="14">
        <f t="shared" si="6"/>
        <v>3.8100662760845151E-4</v>
      </c>
      <c r="BR33" s="14">
        <f t="shared" si="7"/>
        <v>3.6977151989140367E-2</v>
      </c>
      <c r="BS33" s="14">
        <f t="shared" si="8"/>
        <v>8.6269377766902359E-3</v>
      </c>
      <c r="BT33" s="14">
        <f t="shared" si="9"/>
        <v>2.180955033951372E-4</v>
      </c>
      <c r="BU33" s="14">
        <f t="shared" si="10"/>
        <v>0</v>
      </c>
      <c r="BV33" s="14">
        <f t="shared" si="11"/>
        <v>0.26005538489728658</v>
      </c>
      <c r="BW33" s="11">
        <f>C33/(Conventional!$B$53*8760)</f>
        <v>8.4449154822487132E-2</v>
      </c>
      <c r="BX33" s="11">
        <f>D33/(Conventional!$B$52*8760)</f>
        <v>9.5998176988384809E-2</v>
      </c>
    </row>
    <row r="34" spans="1:76" x14ac:dyDescent="0.25">
      <c r="A34">
        <v>2686916300.3699999</v>
      </c>
      <c r="B34">
        <v>904644.74</v>
      </c>
      <c r="C34">
        <v>22097749.59</v>
      </c>
      <c r="D34">
        <v>1477096.15</v>
      </c>
      <c r="E34">
        <v>128787887.33</v>
      </c>
      <c r="F34">
        <v>30046800</v>
      </c>
      <c r="G34">
        <v>0</v>
      </c>
      <c r="H34">
        <v>612673972.16999996</v>
      </c>
      <c r="I34">
        <v>3482904450.3699999</v>
      </c>
      <c r="J34">
        <v>612673972.16999996</v>
      </c>
      <c r="K34">
        <v>1026500345.34</v>
      </c>
      <c r="L34">
        <v>0</v>
      </c>
      <c r="M34">
        <v>600051</v>
      </c>
      <c r="N34">
        <v>600051</v>
      </c>
      <c r="O34">
        <v>0</v>
      </c>
      <c r="P34" s="1">
        <v>42687.759884259256</v>
      </c>
      <c r="Q34" s="2">
        <v>5860492300960</v>
      </c>
      <c r="R34">
        <v>413160</v>
      </c>
      <c r="S34">
        <v>0</v>
      </c>
      <c r="T34">
        <v>0</v>
      </c>
      <c r="U34" t="s">
        <v>21</v>
      </c>
      <c r="V34">
        <v>32</v>
      </c>
      <c r="W34" t="s">
        <v>181</v>
      </c>
      <c r="X34" t="s">
        <v>180</v>
      </c>
      <c r="Y34" t="s">
        <v>178</v>
      </c>
      <c r="Z34" s="7">
        <f>Conventional!$E$44*results_all_scenarios!R34/10^3</f>
        <v>57846.570404916434</v>
      </c>
      <c r="AA34" s="25">
        <f>Conventional!$C$44*results_all_scenarios!S34/10^3</f>
        <v>0</v>
      </c>
      <c r="AB34" s="25">
        <f>Conventional!$B$44*results_all_scenarios!T34/10^3</f>
        <v>0</v>
      </c>
      <c r="AC34" s="25">
        <f>Renewables!$C$11*results_all_scenarios!M34/10^3</f>
        <v>87319.659584183682</v>
      </c>
      <c r="AD34" s="25">
        <f>Renewables!$B$11*results_all_scenarios!O34/10^3</f>
        <v>0</v>
      </c>
      <c r="AE34" s="25">
        <f t="shared" si="36"/>
        <v>145166.22998910013</v>
      </c>
      <c r="AF34" s="24">
        <f t="shared" si="0"/>
        <v>90161.420014769232</v>
      </c>
      <c r="AG34" s="25">
        <f t="shared" si="37"/>
        <v>235327.65000386938</v>
      </c>
      <c r="AH34" s="17">
        <f t="shared" si="47"/>
        <v>65833.443773066101</v>
      </c>
      <c r="AI34" s="25">
        <f t="shared" si="38"/>
        <v>142.52222805370766</v>
      </c>
      <c r="AJ34" s="17">
        <f t="shared" si="48"/>
        <v>1.5082517976305456</v>
      </c>
      <c r="AK34" s="17">
        <f t="shared" si="49"/>
        <v>33.561323191848182</v>
      </c>
      <c r="AL34" s="17">
        <f t="shared" si="50"/>
        <v>35.069574989478724</v>
      </c>
      <c r="AM34" s="26">
        <f t="shared" si="39"/>
        <v>107.452653064229</v>
      </c>
      <c r="AN34" s="26">
        <f t="shared" si="51"/>
        <v>107.45265306422894</v>
      </c>
      <c r="AO34" s="27">
        <f t="shared" si="40"/>
        <v>0.17590892340009892</v>
      </c>
      <c r="AP34" s="27">
        <f t="shared" si="41"/>
        <v>0.40314294588272298</v>
      </c>
      <c r="AQ34" s="27">
        <f t="shared" si="52"/>
        <v>1.0999065079468245E-2</v>
      </c>
      <c r="AR34" s="26">
        <f>AC34/K34*10^6</f>
        <v>85.065397182366695</v>
      </c>
      <c r="AS34" s="23"/>
      <c r="AT34" s="18">
        <f t="shared" si="42"/>
        <v>85.065397182366695</v>
      </c>
      <c r="AU34" s="18">
        <f t="shared" si="53"/>
        <v>0.90021072480085496</v>
      </c>
      <c r="AV34" s="18">
        <f t="shared" si="54"/>
        <v>20.031312492564354</v>
      </c>
      <c r="AW34" s="18">
        <f t="shared" si="55"/>
        <v>20.931523217365207</v>
      </c>
      <c r="AX34" s="18">
        <f t="shared" si="43"/>
        <v>64.133873965001527</v>
      </c>
      <c r="AY34" s="18">
        <f t="shared" si="56"/>
        <v>64.133873965001484</v>
      </c>
      <c r="AZ34" s="7">
        <f>(D34*Conventional!$B$35+results_all_scenarios!C34*Conventional!$C$35+results_all_scenarios!A34*Conventional!$D$35+B34*Conventional!$F$35)*10^-6</f>
        <v>2471.4187426321455</v>
      </c>
      <c r="BA34" s="5">
        <f>(D34*Conventional!$B$36+results_all_scenarios!C34*Conventional!$C$36+results_all_scenarios!A34*Conventional!$D$36)*10^-9</f>
        <v>0.62942767407011813</v>
      </c>
      <c r="BB34" s="5">
        <f>(D34*Conventional!$B$37+results_all_scenarios!C34*Conventional!$C$37+results_all_scenarios!A34*Conventional!$D$37)*10^-9</f>
        <v>0.5730361951920796</v>
      </c>
      <c r="BC34" s="5">
        <f t="shared" si="1"/>
        <v>0.70958557085009866</v>
      </c>
      <c r="BD34" s="5">
        <f t="shared" si="2"/>
        <v>0.18071919084752727</v>
      </c>
      <c r="BE34" s="5">
        <f t="shared" si="3"/>
        <v>0.1645282560453831</v>
      </c>
      <c r="BF34" s="11">
        <f t="shared" si="44"/>
        <v>0.18473941461035978</v>
      </c>
      <c r="BG34" s="11">
        <f t="shared" si="45"/>
        <v>0.18532682131175757</v>
      </c>
      <c r="BH34" s="11">
        <f t="shared" si="46"/>
        <v>0.18510193785303228</v>
      </c>
      <c r="BI34" s="5">
        <f t="shared" si="57"/>
        <v>117.55392143383014</v>
      </c>
      <c r="BJ34" s="7">
        <f t="shared" si="58"/>
        <v>459775.55959853838</v>
      </c>
      <c r="BK34" s="7">
        <f t="shared" si="59"/>
        <v>505544.51225454151</v>
      </c>
      <c r="BL34" s="14">
        <f>A34/(R34+Conventional!$B$54)/8760</f>
        <v>0.50874278716202359</v>
      </c>
      <c r="BM34" s="14">
        <f>C34/(S34+Conventional!$B$53)/8760</f>
        <v>0.11495507446726162</v>
      </c>
      <c r="BN34" s="14">
        <f>D34/(T34+Conventional!$B$52)/8760</f>
        <v>0.10685569199205977</v>
      </c>
      <c r="BO34" s="14">
        <f t="shared" si="4"/>
        <v>0.77145851649319874</v>
      </c>
      <c r="BP34" s="14">
        <f t="shared" si="5"/>
        <v>6.3446327353747778E-3</v>
      </c>
      <c r="BQ34" s="14">
        <f t="shared" si="6"/>
        <v>4.2409895851236554E-4</v>
      </c>
      <c r="BR34" s="14">
        <f t="shared" si="7"/>
        <v>3.6977152019291963E-2</v>
      </c>
      <c r="BS34" s="14">
        <f t="shared" si="8"/>
        <v>8.6269377837247391E-3</v>
      </c>
      <c r="BT34" s="14">
        <f t="shared" si="9"/>
        <v>2.5973860405613386E-4</v>
      </c>
      <c r="BU34" s="14">
        <f t="shared" si="10"/>
        <v>0</v>
      </c>
      <c r="BV34" s="14">
        <f t="shared" si="11"/>
        <v>0.17590892340009892</v>
      </c>
      <c r="BW34" s="11">
        <f>C34/(Conventional!$B$53*8760)</f>
        <v>0.11495507446726162</v>
      </c>
      <c r="BX34" s="11">
        <f>D34/(Conventional!$B$52*8760)</f>
        <v>0.10685569199205977</v>
      </c>
    </row>
    <row r="35" spans="1:76" x14ac:dyDescent="0.25">
      <c r="A35" s="7">
        <v>3297834894.0900002</v>
      </c>
      <c r="B35" s="7">
        <v>174795.26</v>
      </c>
      <c r="C35" s="7">
        <v>24580659</v>
      </c>
      <c r="D35" s="7">
        <v>1479445.42</v>
      </c>
      <c r="E35" s="7">
        <v>128787887.33</v>
      </c>
      <c r="F35" s="7">
        <v>30046800</v>
      </c>
      <c r="G35" s="7">
        <v>0</v>
      </c>
      <c r="H35" s="7">
        <v>0</v>
      </c>
      <c r="I35" s="7">
        <v>3482904481</v>
      </c>
      <c r="J35" s="7">
        <v>0</v>
      </c>
      <c r="K35" s="7">
        <v>0</v>
      </c>
      <c r="L35">
        <v>0</v>
      </c>
      <c r="M35">
        <v>0</v>
      </c>
      <c r="N35">
        <v>0</v>
      </c>
      <c r="O35">
        <v>0</v>
      </c>
      <c r="P35" s="1">
        <v>42690.109317129631</v>
      </c>
      <c r="Q35" s="2">
        <v>7197347667370</v>
      </c>
      <c r="R35">
        <v>390060</v>
      </c>
      <c r="S35">
        <v>0</v>
      </c>
      <c r="T35">
        <v>29600</v>
      </c>
      <c r="U35" t="s">
        <v>26</v>
      </c>
      <c r="V35">
        <v>33</v>
      </c>
      <c r="W35" t="s">
        <v>182</v>
      </c>
      <c r="X35" t="s">
        <v>170</v>
      </c>
      <c r="Y35" t="s">
        <v>171</v>
      </c>
      <c r="Z35" s="7">
        <f>Conventional!$E$44*results_all_scenarios!R35/10^3</f>
        <v>54612.337235312487</v>
      </c>
      <c r="AA35" s="7">
        <f>Conventional!$C$44*results_all_scenarios!S35/10^3</f>
        <v>0</v>
      </c>
      <c r="AB35" s="7">
        <f>Conventional!$B$44*results_all_scenarios!T35/10^3</f>
        <v>2406.9702070640724</v>
      </c>
      <c r="AC35" s="7">
        <f>Renewables!$C$11*results_all_scenarios!M35/10^3</f>
        <v>0</v>
      </c>
      <c r="AD35" s="7">
        <f>Renewables!$B$11*results_all_scenarios!O35/10^3</f>
        <v>0</v>
      </c>
      <c r="AE35" s="7">
        <f>SUM(Z35:AD35)</f>
        <v>57019.307442376557</v>
      </c>
      <c r="AF35" s="2">
        <f t="shared" si="0"/>
        <v>110728.42565184615</v>
      </c>
      <c r="AG35" s="7">
        <f>SUM(AE35:AF35)</f>
        <v>167747.7330942227</v>
      </c>
      <c r="AI35">
        <v>0</v>
      </c>
      <c r="AO35">
        <v>0</v>
      </c>
      <c r="AQ35">
        <v>0</v>
      </c>
      <c r="AZ35" s="7">
        <f>(D35*Conventional!$B$35+results_all_scenarios!C35*Conventional!$C$35+results_all_scenarios!A35*Conventional!$D$35+B35*Conventional!$F$35)*10^-6</f>
        <v>3031.2899844656508</v>
      </c>
      <c r="BA35" s="5">
        <f>(D35*Conventional!$B$36+results_all_scenarios!C35*Conventional!$C$36+results_all_scenarios!A35*Conventional!$D$36)*10^-9</f>
        <v>0.77253714744430169</v>
      </c>
      <c r="BB35" s="5">
        <f>(D35*Conventional!$B$37+results_all_scenarios!C35*Conventional!$C$37+results_all_scenarios!A35*Conventional!$D$37)*10^-9</f>
        <v>0.70319985015344399</v>
      </c>
      <c r="BC35" s="5">
        <f t="shared" si="1"/>
        <v>0.87033394139919584</v>
      </c>
      <c r="BD35" s="5">
        <f t="shared" si="2"/>
        <v>0.22180830730749568</v>
      </c>
      <c r="BE35" s="5">
        <f t="shared" si="3"/>
        <v>0.20190041213864804</v>
      </c>
      <c r="BF35" s="11">
        <f>($AZ$35-AZ35)/$AZ$35</f>
        <v>0</v>
      </c>
      <c r="BG35" s="11">
        <f>($BA$35-BA35)/$BA$35</f>
        <v>0</v>
      </c>
      <c r="BH35" s="11">
        <f>($BB$35-BB35)/$BB$35</f>
        <v>0</v>
      </c>
      <c r="BI35">
        <v>0</v>
      </c>
      <c r="BL35" s="14">
        <f>A35/(R35+Conventional!$B$54)/8760</f>
        <v>0.64929169874599946</v>
      </c>
      <c r="BM35" s="14">
        <f>C35/(S35+Conventional!$B$53)/8760</f>
        <v>0.12787145923121868</v>
      </c>
      <c r="BN35" s="14">
        <f>D35/(T35+Conventional!$B$52)/8760</f>
        <v>5.4168472471075643E-3</v>
      </c>
      <c r="BO35" s="14">
        <f t="shared" si="4"/>
        <v>0.94686343311463328</v>
      </c>
      <c r="BP35" s="14">
        <f t="shared" si="5"/>
        <v>7.0575174065475614E-3</v>
      </c>
      <c r="BQ35" s="14">
        <f t="shared" si="6"/>
        <v>4.2477346940483031E-4</v>
      </c>
      <c r="BR35" s="14">
        <f t="shared" si="7"/>
        <v>3.6977151694100679E-2</v>
      </c>
      <c r="BS35" s="14">
        <f t="shared" si="8"/>
        <v>8.6269377078561343E-3</v>
      </c>
      <c r="BT35" s="14">
        <f t="shared" si="9"/>
        <v>5.0186636169193296E-5</v>
      </c>
      <c r="BU35" s="14">
        <f t="shared" si="10"/>
        <v>0</v>
      </c>
      <c r="BV35" s="14">
        <f t="shared" si="11"/>
        <v>0</v>
      </c>
      <c r="BW35" s="11">
        <f>C35/(Conventional!$B$53*8760)</f>
        <v>0.1278714592312187</v>
      </c>
      <c r="BX35" s="11">
        <f>D35/(Conventional!$B$52*8760)</f>
        <v>0.1070256422498857</v>
      </c>
    </row>
    <row r="36" spans="1:76" x14ac:dyDescent="0.25">
      <c r="A36">
        <v>2831949136.75</v>
      </c>
      <c r="B36">
        <v>185403.09</v>
      </c>
      <c r="C36">
        <v>13558140.890000001</v>
      </c>
      <c r="D36">
        <v>1210288.52</v>
      </c>
      <c r="E36">
        <v>128787887.33</v>
      </c>
      <c r="F36">
        <v>30046800</v>
      </c>
      <c r="G36">
        <v>0</v>
      </c>
      <c r="H36">
        <v>0</v>
      </c>
      <c r="I36">
        <v>3482904481</v>
      </c>
      <c r="J36">
        <v>477166824.56999999</v>
      </c>
      <c r="K36">
        <v>477166824.56400001</v>
      </c>
      <c r="L36">
        <v>477166824.56999999</v>
      </c>
      <c r="M36">
        <v>0</v>
      </c>
      <c r="N36">
        <v>200005</v>
      </c>
      <c r="O36">
        <v>200005</v>
      </c>
      <c r="P36" s="1">
        <v>42690.298900462964</v>
      </c>
      <c r="Q36" s="2">
        <v>6027861029720</v>
      </c>
      <c r="R36">
        <v>351780</v>
      </c>
      <c r="S36">
        <v>0</v>
      </c>
      <c r="T36">
        <v>57450</v>
      </c>
      <c r="U36" t="s">
        <v>27</v>
      </c>
      <c r="V36">
        <v>34</v>
      </c>
      <c r="W36" t="s">
        <v>182</v>
      </c>
      <c r="X36" t="s">
        <v>173</v>
      </c>
      <c r="Y36" t="s">
        <v>174</v>
      </c>
      <c r="Z36" s="7">
        <f>Conventional!$E$44*results_all_scenarios!R36/10^3</f>
        <v>49252.750839968787</v>
      </c>
      <c r="AA36" s="17">
        <f>Conventional!$C$44*results_all_scenarios!S36/10^3</f>
        <v>0</v>
      </c>
      <c r="AB36" s="17">
        <f>Conventional!$B$44*results_all_scenarios!T36/10^3</f>
        <v>4671.636432291587</v>
      </c>
      <c r="AC36" s="17">
        <f>Renewables!$C$11*results_all_scenarios!M36/10^3</f>
        <v>0</v>
      </c>
      <c r="AD36" s="17">
        <f>Renewables!$B$11*results_all_scenarios!O36/10^3</f>
        <v>35785.377716950898</v>
      </c>
      <c r="AE36" s="17">
        <f t="shared" ref="AE36:AE50" si="60">SUM(Z36:AD36)</f>
        <v>89709.764989211268</v>
      </c>
      <c r="AF36" s="16">
        <f t="shared" si="0"/>
        <v>92736.323534153853</v>
      </c>
      <c r="AG36" s="17">
        <f t="shared" ref="AG36:AG50" si="61">SUM(AE36:AF36)</f>
        <v>182446.08852336512</v>
      </c>
      <c r="AH36" s="17">
        <f>AG36-$AG$35</f>
        <v>14698.355429142423</v>
      </c>
      <c r="AI36" s="17">
        <f t="shared" ref="AI36:AI50" si="62">(AC36+AD36)*10^6/J36</f>
        <v>74.995527505917821</v>
      </c>
      <c r="AJ36" s="17">
        <f>(SUM($Z$35:$AB$35)-SUM(Z36:AB36))/J36*10^6</f>
        <v>6.4860338371285176</v>
      </c>
      <c r="AK36" s="17">
        <f>($AF$35-AF36)/J36*10^6</f>
        <v>37.706104429841531</v>
      </c>
      <c r="AL36" s="17">
        <f>AJ36+AK36</f>
        <v>44.192138266970048</v>
      </c>
      <c r="AM36" s="18">
        <f t="shared" ref="AM36:AM50" si="63">AH36/J36*10^6</f>
        <v>30.803389238947783</v>
      </c>
      <c r="AN36" s="18">
        <f>AI36-AJ36-AK36</f>
        <v>30.803389238947773</v>
      </c>
      <c r="AO36" s="27">
        <f t="shared" ref="AO36:AO50" si="64">J36/I36</f>
        <v>0.13700255840292164</v>
      </c>
      <c r="AP36" s="27">
        <f t="shared" ref="AP36:AP50" si="65">(K36-J36)/K36</f>
        <v>-1.2574181707849219E-11</v>
      </c>
      <c r="AQ36" s="27">
        <f>(SUM($R$35:$T$35)-SUM(R36:T36))/SUM(N36)</f>
        <v>5.2148696282592936E-2</v>
      </c>
      <c r="AR36" s="15"/>
      <c r="AS36" s="18">
        <f>AD36/K36*10^6</f>
        <v>74.995527506860839</v>
      </c>
      <c r="AT36" s="18">
        <f t="shared" ref="AT36:AT50" si="66">(AC36+AD36)/K36*10^6</f>
        <v>74.995527506860839</v>
      </c>
      <c r="AU36" s="18">
        <f>(SUM($Z$35:$AB$35)-SUM(Z36:AB36))/K36*10^6</f>
        <v>6.4860338372100745</v>
      </c>
      <c r="AV36" s="18">
        <f>($AF$35-AF36)/K36*10^6</f>
        <v>37.706104430315662</v>
      </c>
      <c r="AW36" s="18">
        <f>AU36+AV36</f>
        <v>44.192138267525735</v>
      </c>
      <c r="AX36" s="18">
        <f t="shared" ref="AX36:AX50" si="67">AH36/K36*10^6</f>
        <v>30.803389239335111</v>
      </c>
      <c r="AY36" s="18">
        <f>AT36-AU36-AV36</f>
        <v>30.803389239335104</v>
      </c>
      <c r="AZ36" s="7">
        <f>(D36*Conventional!$B$35+results_all_scenarios!C36*Conventional!$C$35+results_all_scenarios!A36*Conventional!$D$35+B36*Conventional!$F$35)*10^-6</f>
        <v>2599.8653483044154</v>
      </c>
      <c r="BA36" s="5">
        <f>(D36*Conventional!$B$36+results_all_scenarios!C36*Conventional!$C$36+results_all_scenarios!A36*Conventional!$D$36)*10^-9</f>
        <v>0.66339517010548688</v>
      </c>
      <c r="BB36" s="5">
        <f>(D36*Conventional!$B$37+results_all_scenarios!C36*Conventional!$C$37+results_all_scenarios!A36*Conventional!$D$37)*10^-9</f>
        <v>0.60364924149714816</v>
      </c>
      <c r="BC36" s="5">
        <f t="shared" si="1"/>
        <v>0.74646472864451063</v>
      </c>
      <c r="BD36" s="5">
        <f t="shared" si="2"/>
        <v>0.19047182422729406</v>
      </c>
      <c r="BE36" s="5">
        <f t="shared" si="3"/>
        <v>0.17331777107014729</v>
      </c>
      <c r="BF36" s="11">
        <f t="shared" ref="BF36:BF50" si="68">($AZ$35-AZ36)/$AZ$35</f>
        <v>0.14232377580902608</v>
      </c>
      <c r="BG36" s="11">
        <f t="shared" ref="BG36:BG50" si="69">($BA$35-BA36)/$BA$35</f>
        <v>0.14127731941418872</v>
      </c>
      <c r="BH36" s="11">
        <f t="shared" ref="BH36:BH50" si="70">($BB$35-BB36)/$BB$35</f>
        <v>0.14156801744848649</v>
      </c>
      <c r="BI36" s="5">
        <f>AH36/($AZ$35-AZ36)</f>
        <v>34.069346525795616</v>
      </c>
      <c r="BJ36" s="7">
        <f>AH36/($BA$35-BA36)</f>
        <v>134671.88141106875</v>
      </c>
      <c r="BK36" s="7">
        <f>AH36/($BB$35-BB36)</f>
        <v>147647.06743169532</v>
      </c>
      <c r="BL36" s="14">
        <f>A36/(R36+Conventional!$B$54)/8760</f>
        <v>0.596979783032486</v>
      </c>
      <c r="BM36" s="14">
        <f>C36/(S36+Conventional!$B$53)/8760</f>
        <v>7.0531032551517603E-2</v>
      </c>
      <c r="BN36" s="14">
        <f>D36/(T36+Conventional!$B$52)/8760</f>
        <v>2.3405975122710899E-3</v>
      </c>
      <c r="BO36" s="14">
        <f t="shared" si="4"/>
        <v>0.81309985737446933</v>
      </c>
      <c r="BP36" s="14">
        <f t="shared" si="5"/>
        <v>3.8927685108686161E-3</v>
      </c>
      <c r="BQ36" s="14">
        <f t="shared" si="6"/>
        <v>3.4749403166305207E-4</v>
      </c>
      <c r="BR36" s="14">
        <f t="shared" si="7"/>
        <v>3.6977151694100679E-2</v>
      </c>
      <c r="BS36" s="14">
        <f t="shared" si="8"/>
        <v>8.6269377078561343E-3</v>
      </c>
      <c r="BT36" s="14">
        <f t="shared" si="9"/>
        <v>5.3232321188081416E-5</v>
      </c>
      <c r="BU36" s="14">
        <f t="shared" si="10"/>
        <v>0</v>
      </c>
      <c r="BV36" s="14">
        <f t="shared" si="11"/>
        <v>0.13700255840292164</v>
      </c>
      <c r="BW36" s="11">
        <f>C36/(Conventional!$B$53*8760)</f>
        <v>7.0531032551517603E-2</v>
      </c>
      <c r="BX36" s="11">
        <f>D36/(Conventional!$B$52*8760)</f>
        <v>8.7554366257501834E-2</v>
      </c>
    </row>
    <row r="37" spans="1:76" x14ac:dyDescent="0.25">
      <c r="A37">
        <v>2854859888.1799998</v>
      </c>
      <c r="B37">
        <v>212456.78</v>
      </c>
      <c r="C37">
        <v>12917703.43</v>
      </c>
      <c r="D37">
        <v>1257977.3</v>
      </c>
      <c r="E37">
        <v>128787887.33</v>
      </c>
      <c r="F37">
        <v>30046800</v>
      </c>
      <c r="G37">
        <v>0</v>
      </c>
      <c r="H37">
        <v>87844246.670000002</v>
      </c>
      <c r="I37">
        <v>3482904481</v>
      </c>
      <c r="J37">
        <v>454821767.92000002</v>
      </c>
      <c r="K37">
        <v>454821767.96700001</v>
      </c>
      <c r="L37">
        <v>366977521.19999999</v>
      </c>
      <c r="M37">
        <v>50015</v>
      </c>
      <c r="N37">
        <v>200025</v>
      </c>
      <c r="O37">
        <v>150010</v>
      </c>
      <c r="P37" s="1">
        <v>42690.385034722225</v>
      </c>
      <c r="Q37" s="2">
        <v>6076549315640</v>
      </c>
      <c r="R37">
        <v>343860</v>
      </c>
      <c r="S37">
        <v>0</v>
      </c>
      <c r="T37">
        <v>57100</v>
      </c>
      <c r="U37" t="s">
        <v>28</v>
      </c>
      <c r="V37">
        <v>35</v>
      </c>
      <c r="W37" t="s">
        <v>182</v>
      </c>
      <c r="X37" t="s">
        <v>173</v>
      </c>
      <c r="Y37" t="s">
        <v>175</v>
      </c>
      <c r="Z37" s="7">
        <f>Conventional!$E$44*results_all_scenarios!R37/10^3</f>
        <v>48143.870896104578</v>
      </c>
      <c r="AA37" s="17">
        <f>Conventional!$C$44*results_all_scenarios!S37/10^3</f>
        <v>0</v>
      </c>
      <c r="AB37" s="17">
        <f>Conventional!$B$44*results_all_scenarios!T37/10^3</f>
        <v>4643.1756359242754</v>
      </c>
      <c r="AC37" s="17">
        <f>Renewables!$C$11*results_all_scenarios!M37/10^3</f>
        <v>7278.2026429469279</v>
      </c>
      <c r="AD37" s="17">
        <f>Renewables!$B$11*results_all_scenarios!O37/10^3</f>
        <v>26840.151552810203</v>
      </c>
      <c r="AE37" s="17">
        <f t="shared" si="60"/>
        <v>86905.400727785978</v>
      </c>
      <c r="AF37" s="16">
        <f t="shared" si="0"/>
        <v>93485.374086769225</v>
      </c>
      <c r="AG37" s="17">
        <f t="shared" si="61"/>
        <v>180390.77481455519</v>
      </c>
      <c r="AH37" s="17">
        <f t="shared" ref="AH37:AH50" si="71">AG37-$AG$35</f>
        <v>12643.041720332491</v>
      </c>
      <c r="AI37" s="17">
        <f t="shared" si="62"/>
        <v>75.014778540147418</v>
      </c>
      <c r="AJ37" s="17">
        <f t="shared" ref="AJ37:AJ50" si="72">(SUM($Z$35:$AB$35)-SUM(Z37:AB37))/J37*10^6</f>
        <v>9.3053173987313063</v>
      </c>
      <c r="AK37" s="17">
        <f t="shared" ref="AK37:AK50" si="73">($AF$35-AF37)/J37*10^6</f>
        <v>37.911667341546092</v>
      </c>
      <c r="AL37" s="17">
        <f t="shared" ref="AL37:AL50" si="74">AJ37+AK37</f>
        <v>47.216984740277397</v>
      </c>
      <c r="AM37" s="18">
        <f t="shared" si="63"/>
        <v>27.797793799870004</v>
      </c>
      <c r="AN37" s="18">
        <f t="shared" ref="AN37:AN50" si="75">AI37-AJ37-AK37</f>
        <v>27.797793799870021</v>
      </c>
      <c r="AO37" s="27">
        <f t="shared" si="64"/>
        <v>0.13058691973930134</v>
      </c>
      <c r="AP37" s="27">
        <f t="shared" si="65"/>
        <v>1.0333716248933829E-10</v>
      </c>
      <c r="AQ37" s="27">
        <f t="shared" ref="AQ37:AQ50" si="76">(SUM($R$35:$T$35)-SUM(R37:T37))/SUM(N37)</f>
        <v>9.348831396075491E-2</v>
      </c>
      <c r="AR37" s="15"/>
      <c r="AS37" s="15"/>
      <c r="AT37" s="18">
        <f t="shared" si="66"/>
        <v>75.01477853239561</v>
      </c>
      <c r="AU37" s="18">
        <f t="shared" ref="AU37:AU50" si="77">(SUM($Z$35:$AB$35)-SUM(Z37:AB37))/K37*10^6</f>
        <v>9.3053173977697199</v>
      </c>
      <c r="AV37" s="18">
        <f t="shared" ref="AV37:AV50" si="78">($AF$35-AF37)/K37*10^6</f>
        <v>37.911667337628408</v>
      </c>
      <c r="AW37" s="18">
        <f t="shared" ref="AW37:AW50" si="79">AU37+AV37</f>
        <v>47.216984735398128</v>
      </c>
      <c r="AX37" s="18">
        <f t="shared" si="67"/>
        <v>27.797793796997457</v>
      </c>
      <c r="AY37" s="18">
        <f t="shared" ref="AY37:AY50" si="80">AT37-AU37-AV37</f>
        <v>27.797793796997475</v>
      </c>
      <c r="AZ37" s="7">
        <f>(D37*Conventional!$B$35+results_all_scenarios!C37*Conventional!$C$35+results_all_scenarios!A37*Conventional!$D$35+B37*Conventional!$F$35)*10^-6</f>
        <v>2620.6270459716634</v>
      </c>
      <c r="BA37" s="5">
        <f>(D37*Conventional!$B$36+results_all_scenarios!C37*Conventional!$C$36+results_all_scenarios!A37*Conventional!$D$36)*10^-9</f>
        <v>0.66876160343038682</v>
      </c>
      <c r="BB37" s="5">
        <f>(D37*Conventional!$B$37+results_all_scenarios!C37*Conventional!$C$37+results_all_scenarios!A37*Conventional!$D$37)*10^-9</f>
        <v>0.60851984566738826</v>
      </c>
      <c r="BC37" s="5">
        <f t="shared" si="1"/>
        <v>0.7524257585207268</v>
      </c>
      <c r="BD37" s="5">
        <f t="shared" si="2"/>
        <v>0.19201261679113696</v>
      </c>
      <c r="BE37" s="5">
        <f t="shared" si="3"/>
        <v>0.17471620280917727</v>
      </c>
      <c r="BF37" s="11">
        <f t="shared" si="68"/>
        <v>0.1354746463052027</v>
      </c>
      <c r="BG37" s="11">
        <f t="shared" si="69"/>
        <v>0.13433081419738055</v>
      </c>
      <c r="BH37" s="11">
        <f t="shared" si="70"/>
        <v>0.13464167329585719</v>
      </c>
      <c r="BI37" s="5">
        <f t="shared" ref="BI37:BI50" si="81">AH37/($AZ$35-AZ37)</f>
        <v>30.786907059833446</v>
      </c>
      <c r="BJ37" s="7">
        <f t="shared" ref="BJ37:BJ50" si="82">AH37/($BA$35-BA37)</f>
        <v>121830.64748508795</v>
      </c>
      <c r="BK37" s="7">
        <f t="shared" ref="BK37:BK50" si="83">AH37/($BB$35-BB37)</f>
        <v>133534.44361311293</v>
      </c>
      <c r="BL37" s="14">
        <f>A37/(R37+Conventional!$B$54)/8760</f>
        <v>0.61074166198308577</v>
      </c>
      <c r="BM37" s="14">
        <f>C37/(S37+Conventional!$B$53)/8760</f>
        <v>6.7199402079098816E-2</v>
      </c>
      <c r="BN37" s="14">
        <f>D37/(T37+Conventional!$B$52)/8760</f>
        <v>2.4473348548326827E-3</v>
      </c>
      <c r="BO37" s="14">
        <f t="shared" si="4"/>
        <v>0.81967791644987109</v>
      </c>
      <c r="BP37" s="14">
        <f t="shared" si="5"/>
        <v>3.7088882283361131E-3</v>
      </c>
      <c r="BQ37" s="14">
        <f t="shared" si="6"/>
        <v>3.6118627624229699E-4</v>
      </c>
      <c r="BR37" s="14">
        <f t="shared" si="7"/>
        <v>3.6977151694100679E-2</v>
      </c>
      <c r="BS37" s="14">
        <f t="shared" si="8"/>
        <v>8.6269377078561343E-3</v>
      </c>
      <c r="BT37" s="14">
        <f t="shared" si="9"/>
        <v>6.0999887065234733E-5</v>
      </c>
      <c r="BU37" s="14">
        <f t="shared" si="10"/>
        <v>0</v>
      </c>
      <c r="BV37" s="14">
        <f t="shared" si="11"/>
        <v>0.13058691973930134</v>
      </c>
      <c r="BW37" s="11">
        <f>C37/(Conventional!$B$53*8760)</f>
        <v>6.7199402079098802E-2</v>
      </c>
      <c r="BX37" s="11">
        <f>D37/(Conventional!$B$52*8760)</f>
        <v>9.1004255140603396E-2</v>
      </c>
    </row>
    <row r="38" spans="1:76" x14ac:dyDescent="0.25">
      <c r="A38">
        <v>2880866952.0700002</v>
      </c>
      <c r="B38">
        <v>245290.44</v>
      </c>
      <c r="C38">
        <v>14533062.16</v>
      </c>
      <c r="D38">
        <v>1206647.49</v>
      </c>
      <c r="E38">
        <v>128787887.33</v>
      </c>
      <c r="F38">
        <v>30046800</v>
      </c>
      <c r="G38">
        <v>0</v>
      </c>
      <c r="H38">
        <v>175038224.00999999</v>
      </c>
      <c r="I38">
        <v>3482904481</v>
      </c>
      <c r="J38">
        <v>427217841.44</v>
      </c>
      <c r="K38">
        <v>427217841.33700001</v>
      </c>
      <c r="L38">
        <v>252179617.28</v>
      </c>
      <c r="M38">
        <v>100079</v>
      </c>
      <c r="N38">
        <v>200102</v>
      </c>
      <c r="O38">
        <v>100023</v>
      </c>
      <c r="P38" s="1">
        <v>42690.472638888888</v>
      </c>
      <c r="Q38" s="2">
        <v>6148367660690</v>
      </c>
      <c r="R38">
        <v>345180</v>
      </c>
      <c r="S38">
        <v>0</v>
      </c>
      <c r="T38">
        <v>58300</v>
      </c>
      <c r="U38" t="s">
        <v>29</v>
      </c>
      <c r="V38">
        <v>36</v>
      </c>
      <c r="W38" t="s">
        <v>182</v>
      </c>
      <c r="X38" t="s">
        <v>173</v>
      </c>
      <c r="Y38" t="s">
        <v>176</v>
      </c>
      <c r="Z38" s="7">
        <f>Conventional!$E$44*results_all_scenarios!R38/10^3</f>
        <v>48328.684220081937</v>
      </c>
      <c r="AA38" s="17">
        <f>Conventional!$C$44*results_all_scenarios!S38/10^3</f>
        <v>0</v>
      </c>
      <c r="AB38" s="17">
        <f>Conventional!$B$44*results_all_scenarios!T38/10^3</f>
        <v>4740.7555091836293</v>
      </c>
      <c r="AC38" s="17">
        <f>Renewables!$C$11*results_all_scenarios!M38/10^3</f>
        <v>14563.53578533411</v>
      </c>
      <c r="AD38" s="17">
        <f>Renewables!$B$11*results_all_scenarios!O38/10^3</f>
        <v>17896.3567679937</v>
      </c>
      <c r="AE38" s="17">
        <f t="shared" si="60"/>
        <v>85529.332282593372</v>
      </c>
      <c r="AF38" s="16">
        <f t="shared" si="0"/>
        <v>94590.271702923084</v>
      </c>
      <c r="AG38" s="17">
        <f t="shared" si="61"/>
        <v>180119.60398551647</v>
      </c>
      <c r="AH38" s="17">
        <f t="shared" si="71"/>
        <v>12371.870891293773</v>
      </c>
      <c r="AI38" s="17">
        <f t="shared" si="62"/>
        <v>75.979721361629018</v>
      </c>
      <c r="AJ38" s="17">
        <f t="shared" si="72"/>
        <v>9.2455588928528574</v>
      </c>
      <c r="AK38" s="17">
        <f t="shared" si="73"/>
        <v>37.774999973145</v>
      </c>
      <c r="AL38" s="17">
        <f t="shared" si="74"/>
        <v>47.020558865997856</v>
      </c>
      <c r="AM38" s="18">
        <f t="shared" si="63"/>
        <v>28.959162495631219</v>
      </c>
      <c r="AN38" s="18">
        <f t="shared" si="75"/>
        <v>28.959162495631162</v>
      </c>
      <c r="AO38" s="27">
        <f t="shared" si="64"/>
        <v>0.12266137178626806</v>
      </c>
      <c r="AP38" s="27">
        <f t="shared" si="65"/>
        <v>-2.4109476536772058E-10</v>
      </c>
      <c r="AQ38" s="27">
        <f t="shared" si="76"/>
        <v>8.0858762031364009E-2</v>
      </c>
      <c r="AR38" s="15"/>
      <c r="AS38" s="15"/>
      <c r="AT38" s="18">
        <f t="shared" si="66"/>
        <v>75.979721379947335</v>
      </c>
      <c r="AU38" s="18">
        <f t="shared" si="77"/>
        <v>9.2455588950819152</v>
      </c>
      <c r="AV38" s="18">
        <f t="shared" si="78"/>
        <v>37.774999982252353</v>
      </c>
      <c r="AW38" s="18">
        <f t="shared" si="79"/>
        <v>47.020558877334267</v>
      </c>
      <c r="AX38" s="18">
        <f t="shared" si="67"/>
        <v>28.959162502613118</v>
      </c>
      <c r="AY38" s="18">
        <f t="shared" si="80"/>
        <v>28.959162502613069</v>
      </c>
      <c r="AZ38" s="7">
        <f>(D38*Conventional!$B$35+results_all_scenarios!C38*Conventional!$C$35+results_all_scenarios!A38*Conventional!$D$35+B38*Conventional!$F$35)*10^-6</f>
        <v>2645.1176428733497</v>
      </c>
      <c r="BA38" s="5">
        <f>(D38*Conventional!$B$36+results_all_scenarios!C38*Conventional!$C$36+results_all_scenarios!A38*Conventional!$D$36)*10^-9</f>
        <v>0.67485486735462386</v>
      </c>
      <c r="BB38" s="5">
        <f>(D38*Conventional!$B$37+results_all_scenarios!C38*Conventional!$C$37+results_all_scenarios!A38*Conventional!$D$37)*10^-9</f>
        <v>0.61409152047818394</v>
      </c>
      <c r="BC38" s="5">
        <f t="shared" si="1"/>
        <v>0.75945741759587171</v>
      </c>
      <c r="BD38" s="5">
        <f t="shared" si="2"/>
        <v>0.1937620945495645</v>
      </c>
      <c r="BE38" s="5">
        <f t="shared" si="3"/>
        <v>0.1763159236287376</v>
      </c>
      <c r="BF38" s="11">
        <f t="shared" si="68"/>
        <v>0.12739538070303583</v>
      </c>
      <c r="BG38" s="11">
        <f t="shared" si="69"/>
        <v>0.12644347318809096</v>
      </c>
      <c r="BH38" s="11">
        <f t="shared" si="70"/>
        <v>0.12671835703010445</v>
      </c>
      <c r="BI38" s="5">
        <f t="shared" si="81"/>
        <v>32.037175009170632</v>
      </c>
      <c r="BJ38" s="7">
        <f t="shared" si="82"/>
        <v>126654.19848856618</v>
      </c>
      <c r="BK38" s="7">
        <f t="shared" si="83"/>
        <v>138840.79004040276</v>
      </c>
      <c r="BL38" s="14">
        <f>A38/(R38+Conventional!$B$54)/8760</f>
        <v>0.61478456097715739</v>
      </c>
      <c r="BM38" s="14">
        <f>C38/(S38+Conventional!$B$53)/8760</f>
        <v>7.5602686872520669E-2</v>
      </c>
      <c r="BN38" s="14">
        <f>D38/(T38+Conventional!$B$52)/8760</f>
        <v>2.3004299953284005E-3</v>
      </c>
      <c r="BO38" s="14">
        <f t="shared" si="4"/>
        <v>0.82714497850450819</v>
      </c>
      <c r="BP38" s="14">
        <f t="shared" si="5"/>
        <v>4.172684677194281E-3</v>
      </c>
      <c r="BQ38" s="14">
        <f t="shared" si="6"/>
        <v>3.4644863118771241E-4</v>
      </c>
      <c r="BR38" s="14">
        <f t="shared" si="7"/>
        <v>3.6977151694100679E-2</v>
      </c>
      <c r="BS38" s="14">
        <f t="shared" si="8"/>
        <v>8.6269377078561343E-3</v>
      </c>
      <c r="BT38" s="14">
        <f t="shared" si="9"/>
        <v>7.0426978786846609E-5</v>
      </c>
      <c r="BU38" s="14">
        <f t="shared" si="10"/>
        <v>0</v>
      </c>
      <c r="BV38" s="14">
        <f t="shared" si="11"/>
        <v>0.12266137178626806</v>
      </c>
      <c r="BW38" s="11">
        <f>C38/(Conventional!$B$53*8760)</f>
        <v>7.5602686872520669E-2</v>
      </c>
      <c r="BX38" s="11">
        <f>D38/(Conventional!$B$52*8760)</f>
        <v>8.7290967845547504E-2</v>
      </c>
    </row>
    <row r="39" spans="1:76" x14ac:dyDescent="0.25">
      <c r="A39">
        <v>2912092622.6399999</v>
      </c>
      <c r="B39">
        <v>258813.76</v>
      </c>
      <c r="C39">
        <v>17600214.350000001</v>
      </c>
      <c r="D39">
        <v>1172582.1599999999</v>
      </c>
      <c r="E39">
        <v>128787887.33</v>
      </c>
      <c r="F39">
        <v>30046800</v>
      </c>
      <c r="G39">
        <v>0</v>
      </c>
      <c r="H39">
        <v>261665558.16</v>
      </c>
      <c r="I39">
        <v>3482904481</v>
      </c>
      <c r="J39">
        <v>392945560.43000001</v>
      </c>
      <c r="K39">
        <v>392945560.50400001</v>
      </c>
      <c r="L39">
        <v>131280002.53</v>
      </c>
      <c r="M39">
        <v>150010</v>
      </c>
      <c r="N39">
        <v>200039</v>
      </c>
      <c r="O39">
        <v>50029</v>
      </c>
      <c r="P39" s="1">
        <v>42690.559039351851</v>
      </c>
      <c r="Q39" s="2">
        <v>6245341926630</v>
      </c>
      <c r="R39">
        <v>357720</v>
      </c>
      <c r="S39">
        <v>0</v>
      </c>
      <c r="T39">
        <v>49950</v>
      </c>
      <c r="U39" t="s">
        <v>30</v>
      </c>
      <c r="V39">
        <v>37</v>
      </c>
      <c r="W39" t="s">
        <v>182</v>
      </c>
      <c r="X39" t="s">
        <v>173</v>
      </c>
      <c r="Y39" t="s">
        <v>177</v>
      </c>
      <c r="Z39" s="7">
        <f>Conventional!$E$44*results_all_scenarios!R39/10^3</f>
        <v>50084.410797866949</v>
      </c>
      <c r="AA39" s="17">
        <f>Conventional!$C$44*results_all_scenarios!S39/10^3</f>
        <v>0</v>
      </c>
      <c r="AB39" s="17">
        <f>Conventional!$B$44*results_all_scenarios!T39/10^3</f>
        <v>4061.7622244206223</v>
      </c>
      <c r="AC39" s="17">
        <f>Renewables!$C$11*results_all_scenarios!M39/10^3</f>
        <v>21829.514714954887</v>
      </c>
      <c r="AD39" s="17">
        <f>Renewables!$B$11*results_all_scenarios!O39/10^3</f>
        <v>8951.3095262685256</v>
      </c>
      <c r="AE39" s="17">
        <f t="shared" si="60"/>
        <v>84926.997263510988</v>
      </c>
      <c r="AF39" s="16">
        <f t="shared" si="0"/>
        <v>96082.18348661538</v>
      </c>
      <c r="AG39" s="17">
        <f t="shared" si="61"/>
        <v>181009.18075012637</v>
      </c>
      <c r="AH39" s="17">
        <f t="shared" si="71"/>
        <v>13261.44765590367</v>
      </c>
      <c r="AI39" s="17">
        <f t="shared" si="62"/>
        <v>78.333558998707048</v>
      </c>
      <c r="AJ39" s="17">
        <f t="shared" si="72"/>
        <v>7.3117874571350763</v>
      </c>
      <c r="AK39" s="17">
        <f t="shared" si="73"/>
        <v>37.272954933511393</v>
      </c>
      <c r="AL39" s="17">
        <f t="shared" si="74"/>
        <v>44.584742390646468</v>
      </c>
      <c r="AM39" s="18">
        <f t="shared" si="63"/>
        <v>33.748816608060615</v>
      </c>
      <c r="AN39" s="18">
        <f t="shared" si="75"/>
        <v>33.748816608060572</v>
      </c>
      <c r="AO39" s="27">
        <f t="shared" si="64"/>
        <v>0.11282122796464943</v>
      </c>
      <c r="AP39" s="27">
        <f t="shared" si="65"/>
        <v>1.8832125462560361E-10</v>
      </c>
      <c r="AQ39" s="27">
        <f t="shared" si="76"/>
        <v>5.9938312029154311E-2</v>
      </c>
      <c r="AR39" s="15"/>
      <c r="AS39" s="15"/>
      <c r="AT39" s="18">
        <f t="shared" si="66"/>
        <v>78.333558983955172</v>
      </c>
      <c r="AU39" s="18">
        <f t="shared" si="77"/>
        <v>7.3117874557581111</v>
      </c>
      <c r="AV39" s="18">
        <f t="shared" si="78"/>
        <v>37.272954926492098</v>
      </c>
      <c r="AW39" s="18">
        <f t="shared" si="79"/>
        <v>44.584742382250212</v>
      </c>
      <c r="AX39" s="18">
        <f t="shared" si="67"/>
        <v>33.748816601704995</v>
      </c>
      <c r="AY39" s="18">
        <f t="shared" si="80"/>
        <v>33.748816601704966</v>
      </c>
      <c r="AZ39" s="7">
        <f>(D39*Conventional!$B$35+results_all_scenarios!C39*Conventional!$C$35+results_all_scenarios!A39*Conventional!$D$35+B39*Conventional!$F$35)*10^-6</f>
        <v>2674.9944014259459</v>
      </c>
      <c r="BA39" s="5">
        <f>(D39*Conventional!$B$36+results_all_scenarios!C39*Conventional!$C$36+results_all_scenarios!A39*Conventional!$D$36)*10^-9</f>
        <v>0.6821716553539442</v>
      </c>
      <c r="BB39" s="5">
        <f>(D39*Conventional!$B$37+results_all_scenarios!C39*Conventional!$C$37+results_all_scenarios!A39*Conventional!$D$37)*10^-9</f>
        <v>0.62081580999827002</v>
      </c>
      <c r="BC39" s="5">
        <f t="shared" si="1"/>
        <v>0.76803553356648768</v>
      </c>
      <c r="BD39" s="5">
        <f t="shared" si="2"/>
        <v>0.19586286648839743</v>
      </c>
      <c r="BE39" s="5">
        <f t="shared" si="3"/>
        <v>0.17824657936643254</v>
      </c>
      <c r="BF39" s="11">
        <f t="shared" si="68"/>
        <v>0.11753926046851369</v>
      </c>
      <c r="BG39" s="11">
        <f t="shared" si="69"/>
        <v>0.1169723584028335</v>
      </c>
      <c r="BH39" s="11">
        <f t="shared" si="70"/>
        <v>0.11715594099913004</v>
      </c>
      <c r="BI39" s="5">
        <f t="shared" si="81"/>
        <v>37.220353793793272</v>
      </c>
      <c r="BJ39" s="7">
        <f t="shared" si="82"/>
        <v>146753.44923307005</v>
      </c>
      <c r="BK39" s="7">
        <f t="shared" si="83"/>
        <v>160971.07681202752</v>
      </c>
      <c r="BL39" s="14">
        <f>A39/(R39+Conventional!$B$54)/8760</f>
        <v>0.60721367727657916</v>
      </c>
      <c r="BM39" s="14">
        <f>C39/(S39+Conventional!$B$53)/8760</f>
        <v>9.155837081978703E-2</v>
      </c>
      <c r="BN39" s="14">
        <f>D39/(T39+Conventional!$B$52)/8760</f>
        <v>2.5977412466795546E-3</v>
      </c>
      <c r="BO39" s="14">
        <f t="shared" si="4"/>
        <v>0.83611038962627238</v>
      </c>
      <c r="BP39" s="14">
        <f t="shared" si="5"/>
        <v>5.0533152562790597E-3</v>
      </c>
      <c r="BQ39" s="14">
        <f t="shared" si="6"/>
        <v>3.3666790645471047E-4</v>
      </c>
      <c r="BR39" s="14">
        <f t="shared" si="7"/>
        <v>3.6977151694100679E-2</v>
      </c>
      <c r="BS39" s="14">
        <f t="shared" si="8"/>
        <v>8.6269377078561343E-3</v>
      </c>
      <c r="BT39" s="14">
        <f t="shared" si="9"/>
        <v>7.4309749639097267E-5</v>
      </c>
      <c r="BU39" s="14">
        <f t="shared" si="10"/>
        <v>0</v>
      </c>
      <c r="BV39" s="14">
        <f t="shared" si="11"/>
        <v>0.11282122796464943</v>
      </c>
      <c r="BW39" s="11">
        <f>C39/(Conventional!$B$53*8760)</f>
        <v>9.155837081978703E-2</v>
      </c>
      <c r="BX39" s="11">
        <f>D39/(Conventional!$B$52*8760)</f>
        <v>8.4826622914387889E-2</v>
      </c>
    </row>
    <row r="40" spans="1:76" x14ac:dyDescent="0.25">
      <c r="A40">
        <v>2953760147.48</v>
      </c>
      <c r="B40">
        <v>304169.23</v>
      </c>
      <c r="C40">
        <v>20819977.239999998</v>
      </c>
      <c r="D40">
        <v>1177949.97</v>
      </c>
      <c r="E40">
        <v>128787887.33</v>
      </c>
      <c r="F40">
        <v>30046800</v>
      </c>
      <c r="G40">
        <v>0</v>
      </c>
      <c r="H40">
        <v>348007549.38999999</v>
      </c>
      <c r="I40">
        <v>3482904481</v>
      </c>
      <c r="J40">
        <v>348007549.38999999</v>
      </c>
      <c r="K40">
        <v>348007549.41399997</v>
      </c>
      <c r="L40">
        <v>0</v>
      </c>
      <c r="M40">
        <v>200004</v>
      </c>
      <c r="N40">
        <v>200004</v>
      </c>
      <c r="O40">
        <v>0</v>
      </c>
      <c r="P40" s="1">
        <v>42690.641770833332</v>
      </c>
      <c r="Q40" s="2">
        <v>6379780929460</v>
      </c>
      <c r="R40">
        <v>377520</v>
      </c>
      <c r="S40">
        <v>0</v>
      </c>
      <c r="T40">
        <v>35650</v>
      </c>
      <c r="U40" t="s">
        <v>31</v>
      </c>
      <c r="V40">
        <v>38</v>
      </c>
      <c r="W40" t="s">
        <v>182</v>
      </c>
      <c r="X40" t="s">
        <v>173</v>
      </c>
      <c r="Y40" t="s">
        <v>178</v>
      </c>
      <c r="Z40" s="7">
        <f>Conventional!$E$44*results_all_scenarios!R40/10^3</f>
        <v>52856.610657527475</v>
      </c>
      <c r="AA40" s="17">
        <f>Conventional!$C$44*results_all_scenarios!S40/10^3</f>
        <v>0</v>
      </c>
      <c r="AB40" s="17">
        <f>Conventional!$B$44*results_all_scenarios!T40/10^3</f>
        <v>2898.9354014133173</v>
      </c>
      <c r="AC40" s="17">
        <f>Renewables!$C$11*results_all_scenarios!M40/10^3</f>
        <v>29104.661429570275</v>
      </c>
      <c r="AD40" s="17">
        <f>Renewables!$B$11*results_all_scenarios!O40/10^3</f>
        <v>0</v>
      </c>
      <c r="AE40" s="17">
        <f t="shared" si="60"/>
        <v>84860.207488511078</v>
      </c>
      <c r="AF40" s="16">
        <f t="shared" si="0"/>
        <v>98150.475837846156</v>
      </c>
      <c r="AG40" s="17">
        <f t="shared" si="61"/>
        <v>183010.68332635722</v>
      </c>
      <c r="AH40" s="17">
        <f t="shared" si="71"/>
        <v>15262.950232134521</v>
      </c>
      <c r="AI40" s="17">
        <f t="shared" si="62"/>
        <v>83.632270278578616</v>
      </c>
      <c r="AJ40" s="17">
        <f t="shared" si="72"/>
        <v>3.631419449523229</v>
      </c>
      <c r="AK40" s="17">
        <f t="shared" si="73"/>
        <v>36.142749880130673</v>
      </c>
      <c r="AL40" s="17">
        <f t="shared" si="74"/>
        <v>39.774169329653901</v>
      </c>
      <c r="AM40" s="18">
        <f t="shared" si="63"/>
        <v>43.858100948924708</v>
      </c>
      <c r="AN40" s="18">
        <f t="shared" si="75"/>
        <v>43.858100948924708</v>
      </c>
      <c r="AO40" s="27">
        <f t="shared" si="64"/>
        <v>9.9918775059280762E-2</v>
      </c>
      <c r="AP40" s="27">
        <f t="shared" si="65"/>
        <v>6.8963989640909409E-11</v>
      </c>
      <c r="AQ40" s="27">
        <f t="shared" si="76"/>
        <v>3.2449351012979744E-2</v>
      </c>
      <c r="AR40" s="18">
        <f>AC40/H40*10^6</f>
        <v>83.632270278578616</v>
      </c>
      <c r="AS40" s="15"/>
      <c r="AT40" s="18">
        <f t="shared" si="66"/>
        <v>83.632270272810999</v>
      </c>
      <c r="AU40" s="18">
        <f t="shared" si="77"/>
        <v>3.631419449272792</v>
      </c>
      <c r="AV40" s="18">
        <f t="shared" si="78"/>
        <v>36.142749877638124</v>
      </c>
      <c r="AW40" s="18">
        <f t="shared" si="79"/>
        <v>39.774169326910915</v>
      </c>
      <c r="AX40" s="18">
        <f t="shared" si="67"/>
        <v>43.858100945900077</v>
      </c>
      <c r="AY40" s="18">
        <f t="shared" si="80"/>
        <v>43.858100945900077</v>
      </c>
      <c r="AZ40" s="7">
        <f>(D40*Conventional!$B$35+results_all_scenarios!C40*Conventional!$C$35+results_all_scenarios!A40*Conventional!$D$35+B40*Conventional!$F$35)*10^-6</f>
        <v>2714.548236953101</v>
      </c>
      <c r="BA40" s="5">
        <f>(D40*Conventional!$B$36+results_all_scenarios!C40*Conventional!$C$36+results_all_scenarios!A40*Conventional!$D$36)*10^-9</f>
        <v>0.69193460040181332</v>
      </c>
      <c r="BB40" s="5">
        <f>(D40*Conventional!$B$37+results_all_scenarios!C40*Conventional!$C$37+results_all_scenarios!A40*Conventional!$D$37)*10^-9</f>
        <v>0.62977479324669972</v>
      </c>
      <c r="BC40" s="5">
        <f t="shared" si="1"/>
        <v>0.77939209982976876</v>
      </c>
      <c r="BD40" s="5">
        <f t="shared" si="2"/>
        <v>0.19866597093789587</v>
      </c>
      <c r="BE40" s="5">
        <f t="shared" si="3"/>
        <v>0.1808188529666139</v>
      </c>
      <c r="BF40" s="11">
        <f t="shared" si="68"/>
        <v>0.10449074457928656</v>
      </c>
      <c r="BG40" s="11">
        <f t="shared" si="69"/>
        <v>0.10433484953977523</v>
      </c>
      <c r="BH40" s="11">
        <f t="shared" si="70"/>
        <v>0.10441563218581791</v>
      </c>
      <c r="BI40" s="5">
        <f t="shared" si="81"/>
        <v>48.18736510737277</v>
      </c>
      <c r="BJ40" s="7">
        <f t="shared" si="82"/>
        <v>189360.64420010071</v>
      </c>
      <c r="BK40" s="7">
        <f t="shared" si="83"/>
        <v>207871.13929676206</v>
      </c>
      <c r="BL40" s="14">
        <f>A40/(R40+Conventional!$B$54)/8760</f>
        <v>0.59440447379900641</v>
      </c>
      <c r="BM40" s="14">
        <f>C40/(S40+Conventional!$B$53)/8760</f>
        <v>0.10830795345395584</v>
      </c>
      <c r="BN40" s="14">
        <f>D40/(T40+Conventional!$B$52)/8760</f>
        <v>3.6120440168027892E-3</v>
      </c>
      <c r="BO40" s="14">
        <f t="shared" si="4"/>
        <v>0.84807383136500092</v>
      </c>
      <c r="BP40" s="14">
        <f t="shared" si="5"/>
        <v>5.9777629141360301E-3</v>
      </c>
      <c r="BQ40" s="14">
        <f t="shared" si="6"/>
        <v>3.3820909428494889E-4</v>
      </c>
      <c r="BR40" s="14">
        <f t="shared" si="7"/>
        <v>3.6977151694100679E-2</v>
      </c>
      <c r="BS40" s="14">
        <f t="shared" si="8"/>
        <v>8.6269377078561343E-3</v>
      </c>
      <c r="BT40" s="14">
        <f t="shared" si="9"/>
        <v>8.7332061978532329E-5</v>
      </c>
      <c r="BU40" s="14">
        <f t="shared" si="10"/>
        <v>0</v>
      </c>
      <c r="BV40" s="14">
        <f t="shared" si="11"/>
        <v>9.9918775059280762E-2</v>
      </c>
      <c r="BW40" s="11">
        <f>C40/(Conventional!$B$53*8760)</f>
        <v>0.10830795345395584</v>
      </c>
      <c r="BX40" s="11">
        <f>D40/(Conventional!$B$52*8760)</f>
        <v>8.5214939580186472E-2</v>
      </c>
    </row>
    <row r="41" spans="1:76" x14ac:dyDescent="0.25">
      <c r="A41">
        <v>2425128178.6700001</v>
      </c>
      <c r="B41">
        <v>261169.11</v>
      </c>
      <c r="C41">
        <v>10818279.66</v>
      </c>
      <c r="D41">
        <v>1051942.06</v>
      </c>
      <c r="E41">
        <v>128787887.33</v>
      </c>
      <c r="F41">
        <v>30046800</v>
      </c>
      <c r="G41">
        <v>1139.25</v>
      </c>
      <c r="H41">
        <v>0</v>
      </c>
      <c r="I41">
        <v>3482904481</v>
      </c>
      <c r="J41">
        <v>886809084.89999998</v>
      </c>
      <c r="K41">
        <v>888594834.62600005</v>
      </c>
      <c r="L41">
        <v>886809084.89999998</v>
      </c>
      <c r="M41">
        <v>0</v>
      </c>
      <c r="N41">
        <v>400031</v>
      </c>
      <c r="O41">
        <v>400031</v>
      </c>
      <c r="P41" s="1">
        <v>42689.613136574073</v>
      </c>
      <c r="Q41" s="2">
        <v>5095737779470</v>
      </c>
      <c r="R41">
        <v>335940</v>
      </c>
      <c r="S41">
        <v>0</v>
      </c>
      <c r="T41">
        <v>68250</v>
      </c>
      <c r="U41" t="s">
        <v>32</v>
      </c>
      <c r="V41">
        <v>39</v>
      </c>
      <c r="W41" t="s">
        <v>182</v>
      </c>
      <c r="X41" t="s">
        <v>179</v>
      </c>
      <c r="Y41" t="s">
        <v>174</v>
      </c>
      <c r="Z41" s="7">
        <f>Conventional!$E$44*results_all_scenarios!R41/10^3</f>
        <v>47034.990952240361</v>
      </c>
      <c r="AA41" s="21">
        <f>Conventional!$C$44*results_all_scenarios!S41/10^3</f>
        <v>0</v>
      </c>
      <c r="AB41" s="21">
        <f>Conventional!$B$44*results_all_scenarios!T41/10^3</f>
        <v>5549.855291625775</v>
      </c>
      <c r="AC41" s="21">
        <f>Renewables!$C$11*results_all_scenarios!M41/10^3</f>
        <v>0</v>
      </c>
      <c r="AD41" s="21">
        <f>Renewables!$B$11*results_all_scenarios!O41/10^3</f>
        <v>71574.512804627811</v>
      </c>
      <c r="AE41" s="21">
        <f t="shared" si="60"/>
        <v>124159.35904849395</v>
      </c>
      <c r="AF41" s="20">
        <f t="shared" si="0"/>
        <v>78395.965838000004</v>
      </c>
      <c r="AG41" s="21">
        <f t="shared" si="61"/>
        <v>202555.32488649397</v>
      </c>
      <c r="AH41" s="17">
        <f t="shared" si="71"/>
        <v>34807.591792271269</v>
      </c>
      <c r="AI41" s="21">
        <f t="shared" si="62"/>
        <v>80.710170907528337</v>
      </c>
      <c r="AJ41" s="17">
        <f t="shared" si="72"/>
        <v>5.0004688427503732</v>
      </c>
      <c r="AK41" s="17">
        <f t="shared" si="73"/>
        <v>36.459324069162051</v>
      </c>
      <c r="AL41" s="17">
        <f t="shared" si="74"/>
        <v>41.459792911912423</v>
      </c>
      <c r="AM41" s="22">
        <f t="shared" si="63"/>
        <v>39.250377995615942</v>
      </c>
      <c r="AN41" s="22">
        <f t="shared" si="75"/>
        <v>39.250377995615906</v>
      </c>
      <c r="AO41" s="27">
        <f t="shared" si="64"/>
        <v>0.25461768754719977</v>
      </c>
      <c r="AP41" s="27">
        <f t="shared" si="65"/>
        <v>2.0096332506272935E-3</v>
      </c>
      <c r="AQ41" s="27">
        <f t="shared" si="76"/>
        <v>3.8672002919773719E-2</v>
      </c>
      <c r="AR41" s="19"/>
      <c r="AS41" s="22">
        <f>AD41/K41*10^6</f>
        <v>80.547973064408765</v>
      </c>
      <c r="AT41" s="18">
        <f t="shared" si="66"/>
        <v>80.547973064408765</v>
      </c>
      <c r="AU41" s="18">
        <f t="shared" si="77"/>
        <v>4.9904197342952568</v>
      </c>
      <c r="AV41" s="18">
        <f t="shared" si="78"/>
        <v>36.38605419921727</v>
      </c>
      <c r="AW41" s="18">
        <f t="shared" si="79"/>
        <v>41.376473933512528</v>
      </c>
      <c r="AX41" s="18">
        <f t="shared" si="67"/>
        <v>39.171499130896265</v>
      </c>
      <c r="AY41" s="18">
        <f t="shared" si="80"/>
        <v>39.171499130896237</v>
      </c>
      <c r="AZ41" s="7">
        <f>(D41*Conventional!$B$35+results_all_scenarios!C41*Conventional!$C$35+results_all_scenarios!A41*Conventional!$D$35+B41*Conventional!$F$35)*10^-6</f>
        <v>2226.1438074929838</v>
      </c>
      <c r="BA41" s="5">
        <f>(D41*Conventional!$B$36+results_all_scenarios!C41*Conventional!$C$36+results_all_scenarios!A41*Conventional!$D$36)*10^-9</f>
        <v>0.56809521389157536</v>
      </c>
      <c r="BB41" s="5">
        <f>(D41*Conventional!$B$37+results_all_scenarios!C41*Conventional!$C$37+results_all_scenarios!A41*Conventional!$D$37)*10^-9</f>
        <v>0.51691450489744706</v>
      </c>
      <c r="BC41" s="5">
        <f t="shared" si="1"/>
        <v>0.63916303752717929</v>
      </c>
      <c r="BD41" s="5">
        <f t="shared" si="2"/>
        <v>0.16310961641085997</v>
      </c>
      <c r="BE41" s="5">
        <f t="shared" si="3"/>
        <v>0.14841478074329281</v>
      </c>
      <c r="BF41" s="11">
        <f t="shared" si="68"/>
        <v>0.26561173002212668</v>
      </c>
      <c r="BG41" s="11">
        <f t="shared" si="69"/>
        <v>0.26463702648999954</v>
      </c>
      <c r="BH41" s="11">
        <f t="shared" si="70"/>
        <v>0.26491095698519834</v>
      </c>
      <c r="BI41" s="5">
        <f t="shared" si="81"/>
        <v>43.231394233463412</v>
      </c>
      <c r="BJ41" s="7">
        <f t="shared" si="82"/>
        <v>170256.61608357987</v>
      </c>
      <c r="BK41" s="7">
        <f t="shared" si="83"/>
        <v>186850.93958646076</v>
      </c>
      <c r="BL41" s="14">
        <f>A41/(R41+Conventional!$B$54)/8760</f>
        <v>0.52662527898915457</v>
      </c>
      <c r="BM41" s="14">
        <f>C41/(S41+Conventional!$B$53)/8760</f>
        <v>5.6277954406983653E-2</v>
      </c>
      <c r="BN41" s="14">
        <f>D41/(T41+Conventional!$B$52)/8760</f>
        <v>1.7197214590946627E-3</v>
      </c>
      <c r="BO41" s="14">
        <f t="shared" si="4"/>
        <v>0.69629477118870209</v>
      </c>
      <c r="BP41" s="14">
        <f t="shared" si="5"/>
        <v>3.1061086283060775E-3</v>
      </c>
      <c r="BQ41" s="14">
        <f t="shared" si="6"/>
        <v>3.020301204751874E-4</v>
      </c>
      <c r="BR41" s="14">
        <f t="shared" si="7"/>
        <v>3.6977151694100679E-2</v>
      </c>
      <c r="BS41" s="14">
        <f t="shared" si="8"/>
        <v>8.6269377078561343E-3</v>
      </c>
      <c r="BT41" s="14">
        <f t="shared" si="9"/>
        <v>7.4986009930715636E-5</v>
      </c>
      <c r="BU41" s="14">
        <f t="shared" si="10"/>
        <v>3.2709768706401683E-7</v>
      </c>
      <c r="BV41" s="14">
        <f t="shared" si="11"/>
        <v>0.25461768754719977</v>
      </c>
      <c r="BW41" s="11">
        <f>C41/(Conventional!$B$53*8760)</f>
        <v>5.6277954406983653E-2</v>
      </c>
      <c r="BX41" s="11">
        <f>D41/(Conventional!$B$52*8760)</f>
        <v>7.6099309281154701E-2</v>
      </c>
    </row>
    <row r="42" spans="1:76" x14ac:dyDescent="0.25">
      <c r="A42" s="7">
        <v>2448457828.6799998</v>
      </c>
      <c r="B42" s="7">
        <v>363521.16</v>
      </c>
      <c r="C42" s="7">
        <v>12770115.32</v>
      </c>
      <c r="D42" s="7">
        <v>1075006.18</v>
      </c>
      <c r="E42" s="7">
        <v>128787887.33</v>
      </c>
      <c r="F42" s="7">
        <v>30046800</v>
      </c>
      <c r="G42" s="7">
        <v>2945.78</v>
      </c>
      <c r="H42" s="7">
        <v>174164766.00999999</v>
      </c>
      <c r="I42" s="7">
        <v>3482904481</v>
      </c>
      <c r="J42" s="7">
        <v>861400376.67999995</v>
      </c>
      <c r="K42" s="7">
        <v>862515830.98500001</v>
      </c>
      <c r="L42">
        <v>687235610.66999996</v>
      </c>
      <c r="M42">
        <v>100079</v>
      </c>
      <c r="N42">
        <v>400086</v>
      </c>
      <c r="O42">
        <v>300007</v>
      </c>
      <c r="P42" s="1">
        <v>42689.756296296298</v>
      </c>
      <c r="Q42" s="2">
        <v>5136999300690</v>
      </c>
      <c r="R42">
        <v>316800</v>
      </c>
      <c r="S42">
        <v>0</v>
      </c>
      <c r="T42">
        <v>76100</v>
      </c>
      <c r="U42" t="s">
        <v>33</v>
      </c>
      <c r="V42">
        <v>40</v>
      </c>
      <c r="W42" t="s">
        <v>182</v>
      </c>
      <c r="X42" t="s">
        <v>179</v>
      </c>
      <c r="Y42" t="s">
        <v>175</v>
      </c>
      <c r="Z42" s="7">
        <f>Conventional!$E$44*results_all_scenarios!R42/10^3</f>
        <v>44355.197754568515</v>
      </c>
      <c r="AA42" s="21">
        <f>Conventional!$C$44*results_all_scenarios!S42/10^3</f>
        <v>0</v>
      </c>
      <c r="AB42" s="21">
        <f>Conventional!$B$44*results_all_scenarios!T42/10^3</f>
        <v>6188.1902958640512</v>
      </c>
      <c r="AC42" s="21">
        <f>Renewables!$C$11*results_all_scenarios!M42/10^3</f>
        <v>14563.53578533411</v>
      </c>
      <c r="AD42" s="21">
        <f>Renewables!$B$11*results_all_scenarios!O42/10^3</f>
        <v>53677.977114218585</v>
      </c>
      <c r="AE42" s="21">
        <f t="shared" si="60"/>
        <v>118784.90094998525</v>
      </c>
      <c r="AF42" s="20">
        <f t="shared" si="0"/>
        <v>79030.758472153844</v>
      </c>
      <c r="AG42" s="21">
        <f t="shared" si="61"/>
        <v>197815.65942213911</v>
      </c>
      <c r="AH42" s="17">
        <f t="shared" si="71"/>
        <v>30067.926327916415</v>
      </c>
      <c r="AI42" s="21">
        <f t="shared" si="62"/>
        <v>79.221596306433469</v>
      </c>
      <c r="AJ42" s="17">
        <f t="shared" si="72"/>
        <v>7.5178970978668618</v>
      </c>
      <c r="AK42" s="17">
        <f t="shared" si="73"/>
        <v>36.797832968057328</v>
      </c>
      <c r="AL42" s="17">
        <f t="shared" si="74"/>
        <v>44.315730065924193</v>
      </c>
      <c r="AM42" s="22">
        <f t="shared" si="63"/>
        <v>34.905866240509312</v>
      </c>
      <c r="AN42" s="22">
        <f t="shared" si="75"/>
        <v>34.905866240509276</v>
      </c>
      <c r="AO42" s="27">
        <f t="shared" si="64"/>
        <v>0.24732242339091581</v>
      </c>
      <c r="AP42" s="27">
        <f t="shared" si="65"/>
        <v>1.2932566162017095E-3</v>
      </c>
      <c r="AQ42" s="27">
        <f t="shared" si="76"/>
        <v>6.6885619591787765E-2</v>
      </c>
      <c r="AR42" s="19"/>
      <c r="AS42" s="19"/>
      <c r="AT42" s="18">
        <f t="shared" si="66"/>
        <v>79.119142452864125</v>
      </c>
      <c r="AU42" s="18">
        <f t="shared" si="77"/>
        <v>7.5081745277051217</v>
      </c>
      <c r="AV42" s="18">
        <f t="shared" si="78"/>
        <v>36.750243927109501</v>
      </c>
      <c r="AW42" s="18">
        <f t="shared" si="79"/>
        <v>44.258418454814624</v>
      </c>
      <c r="AX42" s="18">
        <f t="shared" si="67"/>
        <v>34.860723998049522</v>
      </c>
      <c r="AY42" s="18">
        <f t="shared" si="80"/>
        <v>34.860723998049501</v>
      </c>
      <c r="AZ42" s="7">
        <f>(D42*Conventional!$B$35+results_all_scenarios!C42*Conventional!$C$35+results_all_scenarios!A42*Conventional!$D$35+B42*Conventional!$F$35)*10^-6</f>
        <v>2248.4286858039382</v>
      </c>
      <c r="BA42" s="5">
        <f>(D42*Conventional!$B$36+results_all_scenarios!C42*Conventional!$C$36+results_all_scenarios!A42*Conventional!$D$36)*10^-9</f>
        <v>0.57356161668517314</v>
      </c>
      <c r="BB42" s="5">
        <f>(D42*Conventional!$B$37+results_all_scenarios!C42*Conventional!$C$37+results_all_scenarios!A42*Conventional!$D$37)*10^-9</f>
        <v>0.52193814350710632</v>
      </c>
      <c r="BC42" s="5">
        <f t="shared" si="1"/>
        <v>0.6455613979853897</v>
      </c>
      <c r="BD42" s="5">
        <f t="shared" si="2"/>
        <v>0.16467911187747936</v>
      </c>
      <c r="BE42" s="5">
        <f t="shared" si="3"/>
        <v>0.14985715122375368</v>
      </c>
      <c r="BF42" s="11">
        <f t="shared" si="68"/>
        <v>0.25826011456297993</v>
      </c>
      <c r="BG42" s="11">
        <f t="shared" si="69"/>
        <v>0.25756111718041919</v>
      </c>
      <c r="BH42" s="11">
        <f t="shared" si="70"/>
        <v>0.25776698701910256</v>
      </c>
      <c r="BI42" s="5">
        <f t="shared" si="81"/>
        <v>38.407731202598718</v>
      </c>
      <c r="BJ42" s="7">
        <f t="shared" si="82"/>
        <v>151113.68826710351</v>
      </c>
      <c r="BK42" s="7">
        <f t="shared" si="83"/>
        <v>165881.29332017369</v>
      </c>
      <c r="BL42" s="14">
        <f>A42/(R42+Conventional!$B$54)/8760</f>
        <v>0.55178140385720975</v>
      </c>
      <c r="BM42" s="14">
        <f>C42/(S42+Conventional!$B$53)/8760</f>
        <v>6.6431631492033696E-2</v>
      </c>
      <c r="BN42" s="14">
        <f>D42/(T42+Conventional!$B$52)/8760</f>
        <v>1.579824409184338E-3</v>
      </c>
      <c r="BO42" s="14">
        <f t="shared" si="4"/>
        <v>0.70299310303709694</v>
      </c>
      <c r="BP42" s="14">
        <f t="shared" si="5"/>
        <v>3.6665132189710489E-3</v>
      </c>
      <c r="BQ42" s="14">
        <f t="shared" si="6"/>
        <v>3.0865221422648597E-4</v>
      </c>
      <c r="BR42" s="14">
        <f t="shared" si="7"/>
        <v>3.6977151694100679E-2</v>
      </c>
      <c r="BS42" s="14">
        <f t="shared" si="8"/>
        <v>8.6269377078561343E-3</v>
      </c>
      <c r="BT42" s="14">
        <f t="shared" si="9"/>
        <v>1.0437299156008637E-4</v>
      </c>
      <c r="BU42" s="14">
        <f t="shared" si="10"/>
        <v>8.4578259784897042E-7</v>
      </c>
      <c r="BV42" s="14">
        <f t="shared" si="11"/>
        <v>0.24732242339091581</v>
      </c>
      <c r="BW42" s="11">
        <f>C42/(Conventional!$B$53*8760)</f>
        <v>6.6431631492033683E-2</v>
      </c>
      <c r="BX42" s="11">
        <f>D42/(Conventional!$B$52*8760)</f>
        <v>7.7767807640444234E-2</v>
      </c>
    </row>
    <row r="43" spans="1:76" x14ac:dyDescent="0.25">
      <c r="A43" s="7">
        <v>2488338884.1199999</v>
      </c>
      <c r="B43" s="7">
        <v>491502.91</v>
      </c>
      <c r="C43" s="7">
        <v>13426454.960000001</v>
      </c>
      <c r="D43" s="7">
        <v>1150033.02</v>
      </c>
      <c r="E43" s="7">
        <v>128787887.33</v>
      </c>
      <c r="F43" s="7">
        <v>30046800</v>
      </c>
      <c r="G43" s="7">
        <v>976.5</v>
      </c>
      <c r="H43" s="7">
        <v>346048832.82999998</v>
      </c>
      <c r="I43" s="7">
        <v>3482904481</v>
      </c>
      <c r="J43" s="7">
        <v>820661942.04999995</v>
      </c>
      <c r="K43" s="7">
        <v>825174373.96700001</v>
      </c>
      <c r="L43">
        <v>474613109.31</v>
      </c>
      <c r="M43">
        <v>200004</v>
      </c>
      <c r="N43">
        <v>400009</v>
      </c>
      <c r="O43">
        <v>200005</v>
      </c>
      <c r="P43" s="1">
        <v>42689.867303240739</v>
      </c>
      <c r="Q43" s="2">
        <v>5251550286010</v>
      </c>
      <c r="R43">
        <v>324720</v>
      </c>
      <c r="S43">
        <v>0</v>
      </c>
      <c r="T43">
        <v>73600</v>
      </c>
      <c r="U43" t="s">
        <v>34</v>
      </c>
      <c r="V43">
        <v>41</v>
      </c>
      <c r="W43" t="s">
        <v>182</v>
      </c>
      <c r="X43" t="s">
        <v>179</v>
      </c>
      <c r="Y43" t="s">
        <v>176</v>
      </c>
      <c r="Z43" s="7">
        <f>Conventional!$E$44*results_all_scenarios!R43/10^3</f>
        <v>45464.077698432731</v>
      </c>
      <c r="AA43" s="21">
        <f>Conventional!$C$44*results_all_scenarios!S43/10^3</f>
        <v>0</v>
      </c>
      <c r="AB43" s="21">
        <f>Conventional!$B$44*results_all_scenarios!T43/10^3</f>
        <v>5984.8988932403972</v>
      </c>
      <c r="AC43" s="21">
        <f>Renewables!$C$11*results_all_scenarios!M43/10^3</f>
        <v>29104.661429570275</v>
      </c>
      <c r="AD43" s="21">
        <f>Renewables!$B$11*results_all_scenarios!O43/10^3</f>
        <v>35785.377716950898</v>
      </c>
      <c r="AE43" s="21">
        <f t="shared" si="60"/>
        <v>116339.0157381943</v>
      </c>
      <c r="AF43" s="20">
        <f t="shared" si="0"/>
        <v>80793.08132323077</v>
      </c>
      <c r="AG43" s="21">
        <f t="shared" si="61"/>
        <v>197132.09706142507</v>
      </c>
      <c r="AH43" s="17">
        <f t="shared" si="71"/>
        <v>29384.363967202371</v>
      </c>
      <c r="AI43" s="21">
        <f t="shared" si="62"/>
        <v>79.070364813588071</v>
      </c>
      <c r="AJ43" s="17">
        <f t="shared" si="72"/>
        <v>6.7876071318585049</v>
      </c>
      <c r="AK43" s="17">
        <f t="shared" si="73"/>
        <v>36.477071489190031</v>
      </c>
      <c r="AL43" s="17">
        <f t="shared" si="74"/>
        <v>43.264678621048539</v>
      </c>
      <c r="AM43" s="22">
        <f t="shared" si="63"/>
        <v>35.805686192539547</v>
      </c>
      <c r="AN43" s="22">
        <f t="shared" si="75"/>
        <v>35.805686192539532</v>
      </c>
      <c r="AO43" s="27">
        <f t="shared" si="64"/>
        <v>0.23562573895634778</v>
      </c>
      <c r="AP43" s="27">
        <f t="shared" si="65"/>
        <v>5.4684586183968362E-3</v>
      </c>
      <c r="AQ43" s="27">
        <f t="shared" si="76"/>
        <v>5.3348799652007832E-2</v>
      </c>
      <c r="AR43" s="19"/>
      <c r="AS43" s="19"/>
      <c r="AT43" s="18">
        <f t="shared" si="66"/>
        <v>78.637971795663432</v>
      </c>
      <c r="AU43" s="18">
        <f t="shared" si="77"/>
        <v>6.7504893831400015</v>
      </c>
      <c r="AV43" s="18">
        <f t="shared" si="78"/>
        <v>36.277598133231095</v>
      </c>
      <c r="AW43" s="18">
        <f t="shared" si="79"/>
        <v>43.028087516371095</v>
      </c>
      <c r="AX43" s="18">
        <f t="shared" si="67"/>
        <v>35.609884279292338</v>
      </c>
      <c r="AY43" s="18">
        <f t="shared" si="80"/>
        <v>35.609884279292331</v>
      </c>
      <c r="AZ43" s="7">
        <f>(D43*Conventional!$B$35+results_all_scenarios!C43*Conventional!$C$35+results_all_scenarios!A43*Conventional!$D$35+B43*Conventional!$F$35)*10^-6</f>
        <v>2285.3772104942386</v>
      </c>
      <c r="BA43" s="5">
        <f>(D43*Conventional!$B$36+results_all_scenarios!C43*Conventional!$C$36+results_all_scenarios!A43*Conventional!$D$36)*10^-9</f>
        <v>0.58290430830816664</v>
      </c>
      <c r="BB43" s="5">
        <f>(D43*Conventional!$B$37+results_all_scenarios!C43*Conventional!$C$37+results_all_scenarios!A43*Conventional!$D$37)*10^-9</f>
        <v>0.53046165776917165</v>
      </c>
      <c r="BC43" s="5">
        <f t="shared" si="1"/>
        <v>0.656169936029388</v>
      </c>
      <c r="BD43" s="5">
        <f t="shared" si="2"/>
        <v>0.16736155455541094</v>
      </c>
      <c r="BE43" s="5">
        <f t="shared" si="3"/>
        <v>0.152304394410744</v>
      </c>
      <c r="BF43" s="11">
        <f t="shared" si="68"/>
        <v>0.24607107132407857</v>
      </c>
      <c r="BG43" s="11">
        <f t="shared" si="69"/>
        <v>0.24546759953676814</v>
      </c>
      <c r="BH43" s="11">
        <f t="shared" si="70"/>
        <v>0.24564594595203548</v>
      </c>
      <c r="BI43" s="5">
        <f t="shared" si="81"/>
        <v>39.393833960978064</v>
      </c>
      <c r="BJ43" s="7">
        <f t="shared" si="82"/>
        <v>154953.9842416624</v>
      </c>
      <c r="BK43" s="7">
        <f t="shared" si="83"/>
        <v>170109.24776747744</v>
      </c>
      <c r="BL43" s="14">
        <f>A43/(R43+Conventional!$B$54)/8760</f>
        <v>0.55213618360291705</v>
      </c>
      <c r="BM43" s="14">
        <f>C43/(S43+Conventional!$B$53)/8760</f>
        <v>6.9845986962246781E-2</v>
      </c>
      <c r="BN43" s="14">
        <f>D43/(T43+Conventional!$B$52)/8760</f>
        <v>1.74628625687273E-3</v>
      </c>
      <c r="BO43" s="14">
        <f t="shared" si="4"/>
        <v>0.71444361959807645</v>
      </c>
      <c r="BP43" s="14">
        <f t="shared" si="5"/>
        <v>3.8549592827607612E-3</v>
      </c>
      <c r="BQ43" s="14">
        <f t="shared" si="6"/>
        <v>3.3019367205551568E-4</v>
      </c>
      <c r="BR43" s="14">
        <f t="shared" si="7"/>
        <v>3.6977151694100679E-2</v>
      </c>
      <c r="BS43" s="14">
        <f t="shared" si="8"/>
        <v>8.6269377078561343E-3</v>
      </c>
      <c r="BT43" s="14">
        <f t="shared" si="9"/>
        <v>1.411186877737403E-4</v>
      </c>
      <c r="BU43" s="14">
        <f t="shared" si="10"/>
        <v>2.8036944605487161E-7</v>
      </c>
      <c r="BV43" s="14">
        <f t="shared" si="11"/>
        <v>0.23562573895634778</v>
      </c>
      <c r="BW43" s="11">
        <f>C43/(Conventional!$B$53*8760)</f>
        <v>6.9845986962246781E-2</v>
      </c>
      <c r="BX43" s="11">
        <f>D43/(Conventional!$B$52*8760)</f>
        <v>8.3195379099605879E-2</v>
      </c>
    </row>
    <row r="44" spans="1:76" x14ac:dyDescent="0.25">
      <c r="A44">
        <v>2569840272.48</v>
      </c>
      <c r="B44">
        <v>761808.67</v>
      </c>
      <c r="C44">
        <v>18226313.82</v>
      </c>
      <c r="D44">
        <v>1550813.19</v>
      </c>
      <c r="E44">
        <v>128787887.33</v>
      </c>
      <c r="F44">
        <v>30046800</v>
      </c>
      <c r="G44">
        <v>0</v>
      </c>
      <c r="H44">
        <v>490038785.05000001</v>
      </c>
      <c r="I44">
        <v>3482904481</v>
      </c>
      <c r="J44">
        <v>733690585.41999996</v>
      </c>
      <c r="K44">
        <v>771532273.39699996</v>
      </c>
      <c r="L44">
        <v>243651800.19</v>
      </c>
      <c r="M44">
        <v>300014</v>
      </c>
      <c r="N44">
        <v>400037</v>
      </c>
      <c r="O44">
        <v>100023</v>
      </c>
      <c r="P44" s="1">
        <v>42689.972337962965</v>
      </c>
      <c r="Q44" s="2">
        <v>5510969224770</v>
      </c>
      <c r="R44">
        <v>342540</v>
      </c>
      <c r="S44">
        <v>0</v>
      </c>
      <c r="T44">
        <v>61400</v>
      </c>
      <c r="U44" t="s">
        <v>35</v>
      </c>
      <c r="V44">
        <v>42</v>
      </c>
      <c r="W44" t="s">
        <v>182</v>
      </c>
      <c r="X44" t="s">
        <v>179</v>
      </c>
      <c r="Y44" t="s">
        <v>177</v>
      </c>
      <c r="Z44" s="7">
        <f>Conventional!$E$44*results_all_scenarios!R44/10^3</f>
        <v>47959.057572127211</v>
      </c>
      <c r="AA44" s="21">
        <f>Conventional!$C$44*results_all_scenarios!S44/10^3</f>
        <v>0</v>
      </c>
      <c r="AB44" s="21">
        <f>Conventional!$B$44*results_all_scenarios!T44/10^3</f>
        <v>4992.8368484369612</v>
      </c>
      <c r="AC44" s="21">
        <f>Renewables!$C$11*results_all_scenarios!M44/10^3</f>
        <v>43658.156307529331</v>
      </c>
      <c r="AD44" s="21">
        <f>Renewables!$B$11*results_all_scenarios!O44/10^3</f>
        <v>17896.3567679937</v>
      </c>
      <c r="AE44" s="21">
        <f t="shared" si="60"/>
        <v>114506.40749608721</v>
      </c>
      <c r="AF44" s="20">
        <f t="shared" si="0"/>
        <v>84784.141919538466</v>
      </c>
      <c r="AG44" s="21">
        <f t="shared" si="61"/>
        <v>199290.54941562569</v>
      </c>
      <c r="AH44" s="17">
        <f t="shared" si="71"/>
        <v>31542.816321402992</v>
      </c>
      <c r="AI44" s="21">
        <f t="shared" si="62"/>
        <v>83.897100901582718</v>
      </c>
      <c r="AJ44" s="17">
        <f t="shared" si="72"/>
        <v>5.5437715879698786</v>
      </c>
      <c r="AK44" s="17">
        <f t="shared" si="73"/>
        <v>35.361342026020303</v>
      </c>
      <c r="AL44" s="17">
        <f t="shared" si="74"/>
        <v>40.905113613990181</v>
      </c>
      <c r="AM44" s="22">
        <f t="shared" si="63"/>
        <v>42.991987287592579</v>
      </c>
      <c r="AN44" s="22">
        <f t="shared" si="75"/>
        <v>42.991987287592544</v>
      </c>
      <c r="AO44" s="27">
        <f t="shared" si="64"/>
        <v>0.21065481107002543</v>
      </c>
      <c r="AP44" s="27">
        <f t="shared" si="65"/>
        <v>4.9047446596609402E-2</v>
      </c>
      <c r="AQ44" s="27">
        <f t="shared" si="76"/>
        <v>3.9296365086229523E-2</v>
      </c>
      <c r="AR44" s="19"/>
      <c r="AS44" s="19"/>
      <c r="AT44" s="18">
        <f t="shared" si="66"/>
        <v>79.782162325502</v>
      </c>
      <c r="AU44" s="18">
        <f t="shared" si="77"/>
        <v>5.2718637470651251</v>
      </c>
      <c r="AV44" s="18">
        <f t="shared" si="78"/>
        <v>33.626958491414626</v>
      </c>
      <c r="AW44" s="18">
        <f t="shared" si="79"/>
        <v>38.898822238479752</v>
      </c>
      <c r="AX44" s="18">
        <f t="shared" si="67"/>
        <v>40.883340087022269</v>
      </c>
      <c r="AY44" s="18">
        <f t="shared" si="80"/>
        <v>40.883340087022248</v>
      </c>
      <c r="AZ44" s="7">
        <f>(D44*Conventional!$B$35+results_all_scenarios!C44*Conventional!$C$35+results_all_scenarios!A44*Conventional!$D$35+B44*Conventional!$F$35)*10^-6</f>
        <v>2362.5082237252436</v>
      </c>
      <c r="BA44" s="5">
        <f>(D44*Conventional!$B$36+results_all_scenarios!C44*Conventional!$C$36+results_all_scenarios!A44*Conventional!$D$36)*10^-9</f>
        <v>0.60199990284042948</v>
      </c>
      <c r="BB44" s="5">
        <f>(D44*Conventional!$B$37+results_all_scenarios!C44*Conventional!$C$37+results_all_scenarios!A44*Conventional!$D$37)*10^-9</f>
        <v>0.54801559106744702</v>
      </c>
      <c r="BC44" s="5">
        <f t="shared" si="1"/>
        <v>0.67831553710796222</v>
      </c>
      <c r="BD44" s="5">
        <f t="shared" si="2"/>
        <v>0.17284421841726341</v>
      </c>
      <c r="BE44" s="5">
        <f t="shared" si="3"/>
        <v>0.15734442160472417</v>
      </c>
      <c r="BF44" s="11">
        <f t="shared" si="68"/>
        <v>0.22062612424667072</v>
      </c>
      <c r="BG44" s="11">
        <f t="shared" si="69"/>
        <v>0.2207495719371444</v>
      </c>
      <c r="BH44" s="11">
        <f t="shared" si="70"/>
        <v>0.22068300932108348</v>
      </c>
      <c r="BI44" s="5">
        <f t="shared" si="81"/>
        <v>47.164588170709067</v>
      </c>
      <c r="BJ44" s="7">
        <f t="shared" si="82"/>
        <v>184961.45164460328</v>
      </c>
      <c r="BK44" s="7">
        <f t="shared" si="83"/>
        <v>203260.41125036535</v>
      </c>
      <c r="BL44" s="14">
        <f>A44/(R44+Conventional!$B$54)/8760</f>
        <v>0.55113061081222814</v>
      </c>
      <c r="BM44" s="14">
        <f>C44/(S44+Conventional!$B$53)/8760</f>
        <v>9.4815413393494766E-2</v>
      </c>
      <c r="BN44" s="14">
        <f>D44/(T44+Conventional!$B$52)/8760</f>
        <v>2.8110366981816217E-3</v>
      </c>
      <c r="BO44" s="14">
        <f t="shared" si="4"/>
        <v>0.73784402831000295</v>
      </c>
      <c r="BP44" s="14">
        <f t="shared" si="5"/>
        <v>5.2330788626069125E-3</v>
      </c>
      <c r="BQ44" s="14">
        <f t="shared" si="6"/>
        <v>4.4526434717346474E-4</v>
      </c>
      <c r="BR44" s="14">
        <f t="shared" si="7"/>
        <v>3.6977151694100679E-2</v>
      </c>
      <c r="BS44" s="14">
        <f t="shared" si="8"/>
        <v>8.6269377078561343E-3</v>
      </c>
      <c r="BT44" s="14">
        <f t="shared" si="9"/>
        <v>2.1872798239395646E-4</v>
      </c>
      <c r="BU44" s="14">
        <f t="shared" si="10"/>
        <v>0</v>
      </c>
      <c r="BV44" s="14">
        <f t="shared" si="11"/>
        <v>0.21065481107002543</v>
      </c>
      <c r="BW44" s="11">
        <f>C44/(Conventional!$B$53*8760)</f>
        <v>9.481541339349478E-2</v>
      </c>
      <c r="BX44" s="11">
        <f>D44/(Conventional!$B$52*8760)</f>
        <v>0.11218851025227008</v>
      </c>
    </row>
    <row r="45" spans="1:76" x14ac:dyDescent="0.25">
      <c r="A45">
        <v>2741357080.6399999</v>
      </c>
      <c r="B45">
        <v>949601.62</v>
      </c>
      <c r="C45">
        <v>22478305.370000001</v>
      </c>
      <c r="D45">
        <v>1788257.69</v>
      </c>
      <c r="E45">
        <v>128787887.33</v>
      </c>
      <c r="F45">
        <v>30046800</v>
      </c>
      <c r="G45">
        <v>0</v>
      </c>
      <c r="H45">
        <v>557496548.02999997</v>
      </c>
      <c r="I45">
        <v>3482904481</v>
      </c>
      <c r="J45">
        <v>557496548.02999997</v>
      </c>
      <c r="K45">
        <v>689271559.15499997</v>
      </c>
      <c r="L45">
        <v>0</v>
      </c>
      <c r="M45">
        <v>400003</v>
      </c>
      <c r="N45">
        <v>400003</v>
      </c>
      <c r="O45">
        <v>0</v>
      </c>
      <c r="P45" s="1">
        <v>42690.210833333331</v>
      </c>
      <c r="Q45" s="2">
        <v>5972187559820</v>
      </c>
      <c r="R45">
        <v>376860</v>
      </c>
      <c r="S45">
        <v>0</v>
      </c>
      <c r="T45">
        <v>36400</v>
      </c>
      <c r="U45" t="s">
        <v>36</v>
      </c>
      <c r="V45">
        <v>43</v>
      </c>
      <c r="W45" t="s">
        <v>182</v>
      </c>
      <c r="X45" t="s">
        <v>179</v>
      </c>
      <c r="Y45" t="s">
        <v>178</v>
      </c>
      <c r="Z45" s="7">
        <f>Conventional!$E$44*results_all_scenarios!R45/10^3</f>
        <v>52764.203995538795</v>
      </c>
      <c r="AA45" s="21">
        <f>Conventional!$C$44*results_all_scenarios!S45/10^3</f>
        <v>0</v>
      </c>
      <c r="AB45" s="21">
        <f>Conventional!$B$44*results_all_scenarios!T45/10^3</f>
        <v>2959.9228222004135</v>
      </c>
      <c r="AC45" s="21">
        <f>Renewables!$C$11*results_all_scenarios!M45/10^3</f>
        <v>58208.595257156849</v>
      </c>
      <c r="AD45" s="21">
        <f>Renewables!$B$11*results_all_scenarios!O45/10^3</f>
        <v>0</v>
      </c>
      <c r="AE45" s="21">
        <f t="shared" si="60"/>
        <v>113932.72207489607</v>
      </c>
      <c r="AF45" s="20">
        <f t="shared" si="0"/>
        <v>91879.808612615379</v>
      </c>
      <c r="AG45" s="21">
        <f t="shared" si="61"/>
        <v>205812.53068751143</v>
      </c>
      <c r="AH45" s="17">
        <f t="shared" si="71"/>
        <v>38064.797593288735</v>
      </c>
      <c r="AI45" s="21">
        <f t="shared" si="62"/>
        <v>104.41068283354559</v>
      </c>
      <c r="AJ45" s="17">
        <f t="shared" si="72"/>
        <v>2.3232083305521187</v>
      </c>
      <c r="AK45" s="17">
        <f t="shared" si="73"/>
        <v>33.809387889190099</v>
      </c>
      <c r="AL45" s="17">
        <f t="shared" si="74"/>
        <v>36.132596219742219</v>
      </c>
      <c r="AM45" s="22">
        <f t="shared" si="63"/>
        <v>68.278086613803382</v>
      </c>
      <c r="AN45" s="22">
        <f t="shared" si="75"/>
        <v>68.278086613803367</v>
      </c>
      <c r="AO45" s="27">
        <f t="shared" si="64"/>
        <v>0.16006656256904681</v>
      </c>
      <c r="AP45" s="27">
        <f t="shared" si="65"/>
        <v>0.19118010800641069</v>
      </c>
      <c r="AQ45" s="27">
        <f t="shared" si="76"/>
        <v>1.5999880000899993E-2</v>
      </c>
      <c r="AR45" s="22">
        <f>AC45/K45*10^6</f>
        <v>84.449437212405257</v>
      </c>
      <c r="AS45" s="19"/>
      <c r="AT45" s="18">
        <f t="shared" si="66"/>
        <v>84.449437212405257</v>
      </c>
      <c r="AU45" s="18">
        <f t="shared" si="77"/>
        <v>1.8790571109957714</v>
      </c>
      <c r="AV45" s="18">
        <f t="shared" si="78"/>
        <v>27.345705460904103</v>
      </c>
      <c r="AW45" s="18">
        <f t="shared" si="79"/>
        <v>29.224762571899873</v>
      </c>
      <c r="AX45" s="18">
        <f t="shared" si="67"/>
        <v>55.224674640505384</v>
      </c>
      <c r="AY45" s="18">
        <f t="shared" si="80"/>
        <v>55.224674640505384</v>
      </c>
      <c r="AZ45" s="7">
        <f>(D45*Conventional!$B$35+results_all_scenarios!C45*Conventional!$C$35+results_all_scenarios!A45*Conventional!$D$35+B45*Conventional!$F$35)*10^-6</f>
        <v>2521.6646701706572</v>
      </c>
      <c r="BA45" s="5">
        <f>(D45*Conventional!$B$36+results_all_scenarios!C45*Conventional!$C$36+results_all_scenarios!A45*Conventional!$D$36)*10^-9</f>
        <v>0.64218103777647761</v>
      </c>
      <c r="BB45" s="5">
        <f>(D45*Conventional!$B$37+results_all_scenarios!C45*Conventional!$C$37+results_all_scenarios!A45*Conventional!$D$37)*10^-9</f>
        <v>0.58469515051348353</v>
      </c>
      <c r="BC45" s="5">
        <f t="shared" si="1"/>
        <v>0.72401200892154394</v>
      </c>
      <c r="BD45" s="5">
        <f t="shared" si="2"/>
        <v>0.18438089280935338</v>
      </c>
      <c r="BE45" s="5">
        <f t="shared" si="3"/>
        <v>0.16787573523854085</v>
      </c>
      <c r="BF45" s="11">
        <f t="shared" si="68"/>
        <v>0.16812159737493054</v>
      </c>
      <c r="BG45" s="11">
        <f t="shared" si="69"/>
        <v>0.16873765889325404</v>
      </c>
      <c r="BH45" s="11">
        <f t="shared" si="70"/>
        <v>0.16852207749205544</v>
      </c>
      <c r="BI45" s="5">
        <f t="shared" si="81"/>
        <v>74.691732387640286</v>
      </c>
      <c r="BJ45" s="7">
        <f t="shared" si="82"/>
        <v>292006.24113657715</v>
      </c>
      <c r="BK45" s="7">
        <f t="shared" si="83"/>
        <v>321209.18165217701</v>
      </c>
      <c r="BL45" s="14">
        <f>A45/(R45+Conventional!$B$54)/8760</f>
        <v>0.55230380387380429</v>
      </c>
      <c r="BM45" s="14">
        <f>C45/(S45+Conventional!$B$53)/8760</f>
        <v>0.1169347700851649</v>
      </c>
      <c r="BN45" s="14">
        <f>D45/(T45+Conventional!$B$52)/8760</f>
        <v>5.3751910502860224E-3</v>
      </c>
      <c r="BO45" s="14">
        <f t="shared" si="4"/>
        <v>0.78708936624437964</v>
      </c>
      <c r="BP45" s="14">
        <f t="shared" si="5"/>
        <v>6.4538965948173531E-3</v>
      </c>
      <c r="BQ45" s="14">
        <f t="shared" si="6"/>
        <v>5.1343862565147384E-4</v>
      </c>
      <c r="BR45" s="14">
        <f t="shared" si="7"/>
        <v>3.6977151694100679E-2</v>
      </c>
      <c r="BS45" s="14">
        <f t="shared" si="8"/>
        <v>8.6269377078561343E-3</v>
      </c>
      <c r="BT45" s="14">
        <f t="shared" si="9"/>
        <v>2.7264647227056698E-4</v>
      </c>
      <c r="BU45" s="14">
        <f t="shared" si="10"/>
        <v>0</v>
      </c>
      <c r="BV45" s="14">
        <f t="shared" si="11"/>
        <v>0.16006656256904681</v>
      </c>
      <c r="BW45" s="11">
        <f>C45/(Conventional!$B$53*8760)</f>
        <v>0.1169347700851649</v>
      </c>
      <c r="BX45" s="11">
        <f>D45/(Conventional!$B$52*8760)</f>
        <v>0.12936565634205485</v>
      </c>
    </row>
    <row r="46" spans="1:76" x14ac:dyDescent="0.25">
      <c r="A46">
        <v>2102801484.8</v>
      </c>
      <c r="B46">
        <v>371178.6</v>
      </c>
      <c r="C46">
        <v>10818844.43</v>
      </c>
      <c r="D46">
        <v>1161892.6000000001</v>
      </c>
      <c r="E46">
        <v>128787887.33</v>
      </c>
      <c r="F46">
        <v>30046800</v>
      </c>
      <c r="G46">
        <v>3401.47</v>
      </c>
      <c r="H46">
        <v>0</v>
      </c>
      <c r="I46">
        <v>3482904481</v>
      </c>
      <c r="J46">
        <v>1208912991.78</v>
      </c>
      <c r="K46">
        <v>1286680245.75</v>
      </c>
      <c r="L46">
        <v>1208912991.78</v>
      </c>
      <c r="M46">
        <v>0</v>
      </c>
      <c r="N46">
        <v>600016</v>
      </c>
      <c r="O46">
        <v>600016</v>
      </c>
      <c r="P46" s="1">
        <v>42691.385034722225</v>
      </c>
      <c r="Q46" s="2">
        <v>4421314917710</v>
      </c>
      <c r="R46">
        <v>323400</v>
      </c>
      <c r="S46">
        <v>0</v>
      </c>
      <c r="T46">
        <v>77400</v>
      </c>
      <c r="U46" t="s">
        <v>25</v>
      </c>
      <c r="V46">
        <v>44</v>
      </c>
      <c r="W46" t="s">
        <v>182</v>
      </c>
      <c r="X46" t="s">
        <v>180</v>
      </c>
      <c r="Y46" t="s">
        <v>174</v>
      </c>
      <c r="Z46" s="7">
        <f>Conventional!$E$44*results_all_scenarios!R46/10^3</f>
        <v>45279.264374455357</v>
      </c>
      <c r="AA46" s="25">
        <f>Conventional!$C$44*results_all_scenarios!S46/10^3</f>
        <v>0</v>
      </c>
      <c r="AB46" s="25">
        <f>Conventional!$B$44*results_all_scenarios!T46/10^3</f>
        <v>6293.9018252283522</v>
      </c>
      <c r="AC46" s="25">
        <f>Renewables!$C$11*results_all_scenarios!M46/10^3</f>
        <v>0</v>
      </c>
      <c r="AD46" s="25">
        <f>Renewables!$B$11*results_all_scenarios!O46/10^3</f>
        <v>107356.31207326821</v>
      </c>
      <c r="AE46" s="25">
        <f t="shared" si="60"/>
        <v>158929.47827295191</v>
      </c>
      <c r="AF46" s="24">
        <f t="shared" si="0"/>
        <v>68020.229503230759</v>
      </c>
      <c r="AG46" s="25">
        <f t="shared" si="61"/>
        <v>226949.70777618268</v>
      </c>
      <c r="AH46" s="17">
        <f t="shared" si="71"/>
        <v>59201.974681959982</v>
      </c>
      <c r="AI46" s="25">
        <f t="shared" si="62"/>
        <v>88.804002275794133</v>
      </c>
      <c r="AJ46" s="17">
        <f t="shared" si="72"/>
        <v>4.5049902513446964</v>
      </c>
      <c r="AK46" s="17">
        <f t="shared" si="73"/>
        <v>35.327766711921896</v>
      </c>
      <c r="AL46" s="17">
        <f t="shared" si="74"/>
        <v>39.83275696326659</v>
      </c>
      <c r="AM46" s="26">
        <f t="shared" si="63"/>
        <v>48.97124531252755</v>
      </c>
      <c r="AN46" s="26">
        <f t="shared" si="75"/>
        <v>48.971245312527543</v>
      </c>
      <c r="AO46" s="27">
        <f t="shared" si="64"/>
        <v>0.34709909455596122</v>
      </c>
      <c r="AP46" s="27">
        <f t="shared" si="65"/>
        <v>6.0440233093552981E-2</v>
      </c>
      <c r="AQ46" s="27">
        <f t="shared" si="76"/>
        <v>3.1432495133463106E-2</v>
      </c>
      <c r="AR46" s="23"/>
      <c r="AS46" s="26">
        <f>AD46/K46*10^6</f>
        <v>83.436667678604721</v>
      </c>
      <c r="AT46" s="18">
        <f t="shared" si="66"/>
        <v>83.436667678604721</v>
      </c>
      <c r="AU46" s="18">
        <f t="shared" si="77"/>
        <v>4.2327075904692393</v>
      </c>
      <c r="AV46" s="18">
        <f t="shared" si="78"/>
        <v>33.192548257178672</v>
      </c>
      <c r="AW46" s="18">
        <f t="shared" si="79"/>
        <v>37.425255847647911</v>
      </c>
      <c r="AX46" s="18">
        <f t="shared" si="67"/>
        <v>46.011411830956824</v>
      </c>
      <c r="AY46" s="18">
        <f t="shared" si="80"/>
        <v>46.011411830956817</v>
      </c>
      <c r="AZ46" s="7">
        <f>(D46*Conventional!$B$35+results_all_scenarios!C46*Conventional!$C$35+results_all_scenarios!A46*Conventional!$D$35+B46*Conventional!$F$35)*10^-6</f>
        <v>1931.1478010133446</v>
      </c>
      <c r="BA46" s="5">
        <f>(D46*Conventional!$B$36+results_all_scenarios!C46*Conventional!$C$36+results_all_scenarios!A46*Conventional!$D$36)*10^-9</f>
        <v>0.49259030517635116</v>
      </c>
      <c r="BB46" s="5">
        <f>(D46*Conventional!$B$37+results_all_scenarios!C46*Conventional!$C$37+results_all_scenarios!A46*Conventional!$D$37)*10^-9</f>
        <v>0.44829320642000986</v>
      </c>
      <c r="BC46" s="5">
        <f t="shared" si="1"/>
        <v>0.55446476110619036</v>
      </c>
      <c r="BD46" s="5">
        <f t="shared" si="2"/>
        <v>0.14143089707556961</v>
      </c>
      <c r="BE46" s="5">
        <f t="shared" si="3"/>
        <v>0.12871246078252979</v>
      </c>
      <c r="BF46" s="11">
        <f t="shared" si="68"/>
        <v>0.36292871651678577</v>
      </c>
      <c r="BG46" s="11">
        <f t="shared" si="69"/>
        <v>0.3623733087710635</v>
      </c>
      <c r="BH46" s="11">
        <f t="shared" si="70"/>
        <v>0.36249530439719435</v>
      </c>
      <c r="BI46" s="5">
        <f t="shared" si="81"/>
        <v>53.813021237110419</v>
      </c>
      <c r="BJ46" s="7">
        <f t="shared" si="82"/>
        <v>211475.77233714584</v>
      </c>
      <c r="BK46" s="7">
        <f t="shared" si="83"/>
        <v>232249.63388506189</v>
      </c>
      <c r="BL46" s="14">
        <f>A46/(R46+Conventional!$B$54)/8760</f>
        <v>0.4677897289055879</v>
      </c>
      <c r="BM46" s="14">
        <f>C46/(S46+Conventional!$B$53)/8760</f>
        <v>5.6280892406490909E-2</v>
      </c>
      <c r="BN46" s="14">
        <f>D46/(T46+Conventional!$B$52)/8760</f>
        <v>1.679406183399319E-3</v>
      </c>
      <c r="BO46" s="14">
        <f t="shared" si="4"/>
        <v>0.60374939831719143</v>
      </c>
      <c r="BP46" s="14">
        <f t="shared" si="5"/>
        <v>3.1062707831980879E-3</v>
      </c>
      <c r="BQ46" s="14">
        <f t="shared" si="6"/>
        <v>3.3359875538889353E-4</v>
      </c>
      <c r="BR46" s="14">
        <f t="shared" si="7"/>
        <v>3.6977151694100679E-2</v>
      </c>
      <c r="BS46" s="14">
        <f t="shared" si="8"/>
        <v>8.6269377078561343E-3</v>
      </c>
      <c r="BT46" s="14">
        <f t="shared" si="9"/>
        <v>1.0657157037319277E-4</v>
      </c>
      <c r="BU46" s="14">
        <f t="shared" si="10"/>
        <v>9.7661880150769483E-7</v>
      </c>
      <c r="BV46" s="14">
        <f t="shared" si="11"/>
        <v>0.34709909455596122</v>
      </c>
      <c r="BW46" s="11">
        <f>C46/(Conventional!$B$53*8760)</f>
        <v>5.6280892406490909E-2</v>
      </c>
      <c r="BX46" s="11">
        <f>D46/(Conventional!$B$52*8760)</f>
        <v>8.4053321642909642E-2</v>
      </c>
    </row>
    <row r="47" spans="1:76" x14ac:dyDescent="0.25">
      <c r="A47">
        <v>2081843231.1600001</v>
      </c>
      <c r="B47">
        <v>583022.06999999995</v>
      </c>
      <c r="C47">
        <v>12619164.58</v>
      </c>
      <c r="D47">
        <v>1287583.58</v>
      </c>
      <c r="E47">
        <v>128787887.33</v>
      </c>
      <c r="F47">
        <v>30046800</v>
      </c>
      <c r="G47">
        <v>8056.14</v>
      </c>
      <c r="H47">
        <v>245463346.65000001</v>
      </c>
      <c r="I47">
        <v>3482904481</v>
      </c>
      <c r="J47">
        <v>1227728736.1700001</v>
      </c>
      <c r="K47">
        <v>1267252345.6500001</v>
      </c>
      <c r="L47">
        <v>982265389.38</v>
      </c>
      <c r="M47">
        <v>150088</v>
      </c>
      <c r="N47">
        <v>600096</v>
      </c>
      <c r="O47">
        <v>450008</v>
      </c>
      <c r="P47" s="1">
        <v>42691.278946759259</v>
      </c>
      <c r="Q47" s="2">
        <v>4343986829510</v>
      </c>
      <c r="R47">
        <v>299640</v>
      </c>
      <c r="S47">
        <v>0</v>
      </c>
      <c r="T47">
        <v>91550</v>
      </c>
      <c r="U47" t="s">
        <v>24</v>
      </c>
      <c r="V47">
        <v>45</v>
      </c>
      <c r="W47" t="s">
        <v>182</v>
      </c>
      <c r="X47" t="s">
        <v>180</v>
      </c>
      <c r="Y47" t="s">
        <v>175</v>
      </c>
      <c r="Z47" s="7">
        <f>Conventional!$E$44*results_all_scenarios!R47/10^3</f>
        <v>41952.624542862723</v>
      </c>
      <c r="AA47" s="25">
        <f>Conventional!$C$44*results_all_scenarios!S47/10^3</f>
        <v>0</v>
      </c>
      <c r="AB47" s="25">
        <f>Conventional!$B$44*results_all_scenarios!T47/10^3</f>
        <v>7444.5311640782375</v>
      </c>
      <c r="AC47" s="25">
        <f>Renewables!$C$11*results_all_scenarios!M47/10^3</f>
        <v>21840.865305900599</v>
      </c>
      <c r="AD47" s="25">
        <f>Renewables!$B$11*results_all_scenarios!O47/10^3</f>
        <v>80516.518365289056</v>
      </c>
      <c r="AE47" s="25">
        <f t="shared" si="60"/>
        <v>151754.53937813063</v>
      </c>
      <c r="AF47" s="24">
        <f t="shared" si="0"/>
        <v>66830.566607846151</v>
      </c>
      <c r="AG47" s="25">
        <f t="shared" si="61"/>
        <v>218585.10598597678</v>
      </c>
      <c r="AH47" s="17">
        <f t="shared" si="71"/>
        <v>50837.372891754087</v>
      </c>
      <c r="AI47" s="25">
        <f t="shared" si="62"/>
        <v>83.371334933889273</v>
      </c>
      <c r="AJ47" s="17">
        <f t="shared" si="72"/>
        <v>6.2083353682944002</v>
      </c>
      <c r="AK47" s="17">
        <f t="shared" si="73"/>
        <v>35.755340533074872</v>
      </c>
      <c r="AL47" s="17">
        <f t="shared" si="74"/>
        <v>41.963675901369271</v>
      </c>
      <c r="AM47" s="26">
        <f t="shared" si="63"/>
        <v>41.407659032520016</v>
      </c>
      <c r="AN47" s="26">
        <f t="shared" si="75"/>
        <v>41.407659032520002</v>
      </c>
      <c r="AO47" s="27">
        <f t="shared" si="64"/>
        <v>0.352501408771767</v>
      </c>
      <c r="AP47" s="27">
        <f t="shared" si="65"/>
        <v>3.1188428741654874E-2</v>
      </c>
      <c r="AQ47" s="27">
        <f t="shared" si="76"/>
        <v>4.7442409214525673E-2</v>
      </c>
      <c r="AR47" s="23"/>
      <c r="AS47" s="23"/>
      <c r="AT47" s="18">
        <f t="shared" si="66"/>
        <v>80.771113995207031</v>
      </c>
      <c r="AU47" s="18">
        <f t="shared" si="77"/>
        <v>6.0147071430560555</v>
      </c>
      <c r="AV47" s="18">
        <f t="shared" si="78"/>
        <v>34.640187642725465</v>
      </c>
      <c r="AW47" s="18">
        <f t="shared" si="79"/>
        <v>40.654894785781522</v>
      </c>
      <c r="AX47" s="18">
        <f t="shared" si="67"/>
        <v>40.116219209425523</v>
      </c>
      <c r="AY47" s="18">
        <f t="shared" si="80"/>
        <v>40.116219209425509</v>
      </c>
      <c r="AZ47" s="7">
        <f>(D47*Conventional!$B$35+results_all_scenarios!C47*Conventional!$C$35+results_all_scenarios!A47*Conventional!$D$35+B47*Conventional!$F$35)*10^-6</f>
        <v>1912.9688503874181</v>
      </c>
      <c r="BA47" s="5">
        <f>(D47*Conventional!$B$36+results_all_scenarios!C47*Conventional!$C$36+results_all_scenarios!A47*Conventional!$D$36)*10^-9</f>
        <v>0.48768226828827799</v>
      </c>
      <c r="BB47" s="5">
        <f>(D47*Conventional!$B$37+results_all_scenarios!C47*Conventional!$C$37+results_all_scenarios!A47*Conventional!$D$37)*10^-9</f>
        <v>0.44389986140158805</v>
      </c>
      <c r="BC47" s="5">
        <f t="shared" si="1"/>
        <v>0.54924528100700964</v>
      </c>
      <c r="BD47" s="5">
        <f t="shared" si="2"/>
        <v>0.14002171777856404</v>
      </c>
      <c r="BE47" s="5">
        <f t="shared" si="3"/>
        <v>0.12745105811059654</v>
      </c>
      <c r="BF47" s="11">
        <f t="shared" si="68"/>
        <v>0.36892581699845783</v>
      </c>
      <c r="BG47" s="11">
        <f t="shared" si="69"/>
        <v>0.36872644907546165</v>
      </c>
      <c r="BH47" s="11">
        <f t="shared" si="70"/>
        <v>0.36874295222798265</v>
      </c>
      <c r="BI47" s="5">
        <f t="shared" si="81"/>
        <v>45.458653460623708</v>
      </c>
      <c r="BJ47" s="7">
        <f t="shared" si="82"/>
        <v>178467.62197781738</v>
      </c>
      <c r="BK47" s="7">
        <f t="shared" si="83"/>
        <v>196056.2093984673</v>
      </c>
      <c r="BL47" s="14">
        <f>A47/(R47+Conventional!$B$54)/8760</f>
        <v>0.48561233883559085</v>
      </c>
      <c r="BM47" s="14">
        <f>C47/(S47+Conventional!$B$53)/8760</f>
        <v>6.5646368110940767E-2</v>
      </c>
      <c r="BN47" s="14">
        <f>D47/(T47+Conventional!$B$52)/8760</f>
        <v>1.5783054177115291E-3</v>
      </c>
      <c r="BO47" s="14">
        <f t="shared" si="4"/>
        <v>0.5977319339410273</v>
      </c>
      <c r="BP47" s="14">
        <f t="shared" si="5"/>
        <v>3.6231727424166473E-3</v>
      </c>
      <c r="BQ47" s="14">
        <f t="shared" si="6"/>
        <v>3.6968673330665486E-4</v>
      </c>
      <c r="BR47" s="14">
        <f t="shared" si="7"/>
        <v>3.6977151694100679E-2</v>
      </c>
      <c r="BS47" s="14">
        <f t="shared" si="8"/>
        <v>8.6269377078561343E-3</v>
      </c>
      <c r="BT47" s="14">
        <f t="shared" si="9"/>
        <v>1.6739536590237026E-4</v>
      </c>
      <c r="BU47" s="14">
        <f t="shared" si="10"/>
        <v>2.3130522367030139E-6</v>
      </c>
      <c r="BV47" s="14">
        <f t="shared" si="11"/>
        <v>0.352501408771767</v>
      </c>
      <c r="BW47" s="11">
        <f>C47/(Conventional!$B$53*8760)</f>
        <v>6.5646368110940753E-2</v>
      </c>
      <c r="BX47" s="11">
        <f>D47/(Conventional!$B$52*8760)</f>
        <v>9.3146024677211198E-2</v>
      </c>
    </row>
    <row r="48" spans="1:76" x14ac:dyDescent="0.25">
      <c r="A48">
        <v>2177466039.0900002</v>
      </c>
      <c r="B48">
        <v>835873.77</v>
      </c>
      <c r="C48">
        <v>14010289.33</v>
      </c>
      <c r="D48">
        <v>1849048.52</v>
      </c>
      <c r="E48">
        <v>128787887.33</v>
      </c>
      <c r="F48">
        <v>30046800</v>
      </c>
      <c r="G48">
        <v>2945.78</v>
      </c>
      <c r="H48">
        <v>477980609.11000001</v>
      </c>
      <c r="I48">
        <v>3482904481</v>
      </c>
      <c r="J48">
        <v>1129905597.0799999</v>
      </c>
      <c r="K48">
        <v>1207988451.8</v>
      </c>
      <c r="L48">
        <v>651924987.91999996</v>
      </c>
      <c r="M48">
        <v>300012</v>
      </c>
      <c r="N48">
        <v>600019</v>
      </c>
      <c r="O48">
        <v>300007</v>
      </c>
      <c r="P48" s="1">
        <v>42691.165069444447</v>
      </c>
      <c r="Q48" s="2">
        <v>4591087245580</v>
      </c>
      <c r="R48">
        <v>306900</v>
      </c>
      <c r="S48">
        <v>0</v>
      </c>
      <c r="T48">
        <v>85650</v>
      </c>
      <c r="U48" t="s">
        <v>23</v>
      </c>
      <c r="V48">
        <v>46</v>
      </c>
      <c r="W48" t="s">
        <v>182</v>
      </c>
      <c r="X48" t="s">
        <v>180</v>
      </c>
      <c r="Y48" t="s">
        <v>176</v>
      </c>
      <c r="Z48" s="7">
        <f>Conventional!$E$44*results_all_scenarios!R48/10^3</f>
        <v>42969.097824738252</v>
      </c>
      <c r="AA48" s="25">
        <f>Conventional!$C$44*results_all_scenarios!S48/10^3</f>
        <v>0</v>
      </c>
      <c r="AB48" s="25">
        <f>Conventional!$B$44*results_all_scenarios!T48/10^3</f>
        <v>6964.7634538864131</v>
      </c>
      <c r="AC48" s="25">
        <f>Renewables!$C$11*results_all_scenarios!M48/10^3</f>
        <v>43657.865266735855</v>
      </c>
      <c r="AD48" s="25">
        <f>Renewables!$B$11*results_all_scenarios!O48/10^3</f>
        <v>53677.977114218585</v>
      </c>
      <c r="AE48" s="25">
        <f t="shared" si="60"/>
        <v>147269.7036595791</v>
      </c>
      <c r="AF48" s="24">
        <f t="shared" si="0"/>
        <v>70632.111470461532</v>
      </c>
      <c r="AG48" s="25">
        <f t="shared" si="61"/>
        <v>217901.81513004063</v>
      </c>
      <c r="AH48" s="17">
        <f t="shared" si="71"/>
        <v>50154.082035817934</v>
      </c>
      <c r="AI48" s="25">
        <f t="shared" si="62"/>
        <v>86.145110381343528</v>
      </c>
      <c r="AJ48" s="17">
        <f t="shared" si="72"/>
        <v>6.2708302198543979</v>
      </c>
      <c r="AK48" s="17">
        <f t="shared" si="73"/>
        <v>35.486428498986982</v>
      </c>
      <c r="AL48" s="17">
        <f t="shared" si="74"/>
        <v>41.757258718841378</v>
      </c>
      <c r="AM48" s="26">
        <f t="shared" si="63"/>
        <v>44.387851662502122</v>
      </c>
      <c r="AN48" s="26">
        <f t="shared" si="75"/>
        <v>44.387851662502143</v>
      </c>
      <c r="AO48" s="27">
        <f t="shared" si="64"/>
        <v>0.32441475304415618</v>
      </c>
      <c r="AP48" s="27">
        <f t="shared" si="65"/>
        <v>6.4638742699609661E-2</v>
      </c>
      <c r="AQ48" s="27">
        <f t="shared" si="76"/>
        <v>4.5181902573085186E-2</v>
      </c>
      <c r="AR48" s="23"/>
      <c r="AS48" s="23"/>
      <c r="AT48" s="18">
        <f t="shared" si="66"/>
        <v>80.576798756574391</v>
      </c>
      <c r="AU48" s="18">
        <f t="shared" si="77"/>
        <v>5.8654916387602931</v>
      </c>
      <c r="AV48" s="18">
        <f t="shared" si="78"/>
        <v>33.19263037791287</v>
      </c>
      <c r="AW48" s="18">
        <f t="shared" si="79"/>
        <v>39.058122016673167</v>
      </c>
      <c r="AX48" s="18">
        <f t="shared" si="67"/>
        <v>41.51867673990121</v>
      </c>
      <c r="AY48" s="18">
        <f t="shared" si="80"/>
        <v>41.518676739901231</v>
      </c>
      <c r="AZ48" s="7">
        <f>(D48*Conventional!$B$35+results_all_scenarios!C48*Conventional!$C$35+results_all_scenarios!A48*Conventional!$D$35+B48*Conventional!$F$35)*10^-6</f>
        <v>2001.680450821827</v>
      </c>
      <c r="BA48" s="5">
        <f>(D48*Conventional!$B$36+results_all_scenarios!C48*Conventional!$C$36+results_all_scenarios!A48*Conventional!$D$36)*10^-9</f>
        <v>0.51008352134018786</v>
      </c>
      <c r="BB48" s="5">
        <f>(D48*Conventional!$B$37+results_all_scenarios!C48*Conventional!$C$37+results_all_scenarios!A48*Conventional!$D$37)*10^-9</f>
        <v>0.46439998041342101</v>
      </c>
      <c r="BC48" s="5">
        <f t="shared" si="1"/>
        <v>0.57471586193116353</v>
      </c>
      <c r="BD48" s="5">
        <f t="shared" si="2"/>
        <v>0.14645349136699104</v>
      </c>
      <c r="BE48" s="5">
        <f t="shared" si="3"/>
        <v>0.13333698438955868</v>
      </c>
      <c r="BF48" s="11">
        <f t="shared" si="68"/>
        <v>0.33966052041217731</v>
      </c>
      <c r="BG48" s="11">
        <f t="shared" si="69"/>
        <v>0.33972945763496271</v>
      </c>
      <c r="BH48" s="11">
        <f t="shared" si="70"/>
        <v>0.33959033081124079</v>
      </c>
      <c r="BI48" s="5">
        <f t="shared" si="81"/>
        <v>48.711749840078596</v>
      </c>
      <c r="BJ48" s="7">
        <f t="shared" si="82"/>
        <v>191096.92931398898</v>
      </c>
      <c r="BK48" s="7">
        <f t="shared" si="83"/>
        <v>210025.58372590304</v>
      </c>
      <c r="BL48" s="14">
        <f>A48/(R48+Conventional!$B$54)/8760</f>
        <v>0.50049266694289241</v>
      </c>
      <c r="BM48" s="14">
        <f>C48/(S48+Conventional!$B$53)/8760</f>
        <v>7.2883161549032238E-2</v>
      </c>
      <c r="BN48" s="14">
        <f>D48/(T48+Conventional!$B$52)/8760</f>
        <v>2.4198491100737834E-3</v>
      </c>
      <c r="BO48" s="14">
        <f t="shared" si="4"/>
        <v>0.62518683787297358</v>
      </c>
      <c r="BP48" s="14">
        <f t="shared" si="5"/>
        <v>4.022587873548979E-3</v>
      </c>
      <c r="BQ48" s="14">
        <f t="shared" si="6"/>
        <v>5.308926874357195E-4</v>
      </c>
      <c r="BR48" s="14">
        <f t="shared" si="7"/>
        <v>3.6977151694100679E-2</v>
      </c>
      <c r="BS48" s="14">
        <f t="shared" si="8"/>
        <v>8.6269377078561343E-3</v>
      </c>
      <c r="BT48" s="14">
        <f t="shared" si="9"/>
        <v>2.3999330861924949E-4</v>
      </c>
      <c r="BU48" s="14">
        <f t="shared" si="10"/>
        <v>8.4578259784897042E-7</v>
      </c>
      <c r="BV48" s="14">
        <f t="shared" si="11"/>
        <v>0.32441475304415618</v>
      </c>
      <c r="BW48" s="11">
        <f>C48/(Conventional!$B$53*8760)</f>
        <v>7.2883161549032238E-2</v>
      </c>
      <c r="BX48" s="11">
        <f>D48/(Conventional!$B$52*8760)</f>
        <v>0.13376337019867934</v>
      </c>
    </row>
    <row r="49" spans="1:76" x14ac:dyDescent="0.25">
      <c r="A49">
        <v>2395646130.9400001</v>
      </c>
      <c r="B49">
        <v>937917.14</v>
      </c>
      <c r="C49">
        <v>17804207.760000002</v>
      </c>
      <c r="D49">
        <v>2025977.75</v>
      </c>
      <c r="E49">
        <v>128787887.33</v>
      </c>
      <c r="F49">
        <v>30046800</v>
      </c>
      <c r="G49">
        <v>0</v>
      </c>
      <c r="H49">
        <v>580873832.38999999</v>
      </c>
      <c r="I49">
        <v>3482904481</v>
      </c>
      <c r="J49">
        <v>907655559.90999997</v>
      </c>
      <c r="K49">
        <v>1142202955.26</v>
      </c>
      <c r="L49">
        <v>326781727.58999997</v>
      </c>
      <c r="M49">
        <v>450047</v>
      </c>
      <c r="N49">
        <v>600057</v>
      </c>
      <c r="O49">
        <v>150010</v>
      </c>
      <c r="P49" s="1">
        <v>42691.036469907405</v>
      </c>
      <c r="Q49" s="2">
        <v>5129288777070</v>
      </c>
      <c r="R49">
        <v>331980</v>
      </c>
      <c r="S49">
        <v>0</v>
      </c>
      <c r="T49">
        <v>68550</v>
      </c>
      <c r="U49" t="s">
        <v>22</v>
      </c>
      <c r="V49">
        <v>47</v>
      </c>
      <c r="W49" t="s">
        <v>182</v>
      </c>
      <c r="X49" t="s">
        <v>180</v>
      </c>
      <c r="Y49" t="s">
        <v>177</v>
      </c>
      <c r="Z49" s="7">
        <f>Conventional!$E$44*results_all_scenarios!R49/10^3</f>
        <v>46480.55098030826</v>
      </c>
      <c r="AA49" s="25">
        <f>Conventional!$C$44*results_all_scenarios!S49/10^3</f>
        <v>0</v>
      </c>
      <c r="AB49" s="25">
        <f>Conventional!$B$44*results_all_scenarios!T49/10^3</f>
        <v>5574.2502599406143</v>
      </c>
      <c r="AC49" s="25">
        <f>Renewables!$C$11*results_all_scenarios!M49/10^3</f>
        <v>65491.017991609238</v>
      </c>
      <c r="AD49" s="25">
        <f>Renewables!$B$11*results_all_scenarios!O49/10^3</f>
        <v>26840.151552810203</v>
      </c>
      <c r="AE49" s="25">
        <f t="shared" si="60"/>
        <v>144385.97078466832</v>
      </c>
      <c r="AF49" s="24">
        <f t="shared" si="0"/>
        <v>78912.135031846148</v>
      </c>
      <c r="AG49" s="25">
        <f t="shared" si="61"/>
        <v>223298.10581651446</v>
      </c>
      <c r="AH49" s="17">
        <f t="shared" si="71"/>
        <v>55550.372722291766</v>
      </c>
      <c r="AI49" s="25">
        <f t="shared" si="62"/>
        <v>101.72489832329644</v>
      </c>
      <c r="AJ49" s="17">
        <f t="shared" si="72"/>
        <v>5.4695926752434003</v>
      </c>
      <c r="AK49" s="17">
        <f t="shared" si="73"/>
        <v>35.053264724291218</v>
      </c>
      <c r="AL49" s="17">
        <f t="shared" si="74"/>
        <v>40.522857399534615</v>
      </c>
      <c r="AM49" s="26">
        <f t="shared" si="63"/>
        <v>61.202040923761814</v>
      </c>
      <c r="AN49" s="26">
        <f t="shared" si="75"/>
        <v>61.202040923761821</v>
      </c>
      <c r="AO49" s="27">
        <f t="shared" si="64"/>
        <v>0.26060305841330361</v>
      </c>
      <c r="AP49" s="27">
        <f t="shared" si="65"/>
        <v>0.20534651418110711</v>
      </c>
      <c r="AQ49" s="27">
        <f t="shared" si="76"/>
        <v>3.1880304704386415E-2</v>
      </c>
      <c r="AR49" s="23"/>
      <c r="AS49" s="23"/>
      <c r="AT49" s="18">
        <f t="shared" si="66"/>
        <v>80.836045047179965</v>
      </c>
      <c r="AU49" s="18">
        <f t="shared" si="77"/>
        <v>4.3464308853916513</v>
      </c>
      <c r="AV49" s="18">
        <f t="shared" si="78"/>
        <v>27.855199002490455</v>
      </c>
      <c r="AW49" s="18">
        <f t="shared" si="79"/>
        <v>32.201629887882106</v>
      </c>
      <c r="AX49" s="18">
        <f t="shared" si="67"/>
        <v>48.634415159297866</v>
      </c>
      <c r="AY49" s="18">
        <f t="shared" si="80"/>
        <v>48.634415159297859</v>
      </c>
      <c r="AZ49" s="7">
        <f>(D49*Conventional!$B$35+results_all_scenarios!C49*Conventional!$C$35+results_all_scenarios!A49*Conventional!$D$35+B49*Conventional!$F$35)*10^-6</f>
        <v>2203.2648586476198</v>
      </c>
      <c r="BA49" s="5">
        <f>(D49*Conventional!$B$36+results_all_scenarios!C49*Conventional!$C$36+results_all_scenarios!A49*Conventional!$D$36)*10^-9</f>
        <v>0.56119513474567029</v>
      </c>
      <c r="BB49" s="5">
        <f>(D49*Conventional!$B$37+results_all_scenarios!C49*Conventional!$C$37+results_all_scenarios!A49*Conventional!$D$37)*10^-9</f>
        <v>0.5109938435674406</v>
      </c>
      <c r="BC49" s="5">
        <f t="shared" si="1"/>
        <v>0.63259410950455519</v>
      </c>
      <c r="BD49" s="5">
        <f t="shared" si="2"/>
        <v>0.16112848853797501</v>
      </c>
      <c r="BE49" s="5">
        <f t="shared" si="3"/>
        <v>0.1467148600701004</v>
      </c>
      <c r="BF49" s="11">
        <f t="shared" si="68"/>
        <v>0.27315932492812744</v>
      </c>
      <c r="BG49" s="11">
        <f t="shared" si="69"/>
        <v>0.27356873827723438</v>
      </c>
      <c r="BH49" s="11">
        <f t="shared" si="70"/>
        <v>0.27333055680268198</v>
      </c>
      <c r="BI49" s="5">
        <f t="shared" si="81"/>
        <v>67.087786336691025</v>
      </c>
      <c r="BJ49" s="7">
        <f t="shared" si="82"/>
        <v>262845.85829844093</v>
      </c>
      <c r="BK49" s="7">
        <f t="shared" si="83"/>
        <v>289014.75926266389</v>
      </c>
      <c r="BL49" s="14">
        <f>A49/(R49+Conventional!$B$54)/8760</f>
        <v>0.52417171697134768</v>
      </c>
      <c r="BM49" s="14">
        <f>C49/(S49+Conventional!$B$53)/8760</f>
        <v>9.2619568365802873E-2</v>
      </c>
      <c r="BN49" s="14">
        <f>D49/(T49+Conventional!$B$52)/8760</f>
        <v>3.2979123724966846E-3</v>
      </c>
      <c r="BO49" s="14">
        <f t="shared" si="4"/>
        <v>0.68782998328227773</v>
      </c>
      <c r="BP49" s="14">
        <f t="shared" si="5"/>
        <v>5.111885168578645E-3</v>
      </c>
      <c r="BQ49" s="14">
        <f t="shared" si="6"/>
        <v>5.8169202200409123E-4</v>
      </c>
      <c r="BR49" s="14">
        <f t="shared" si="7"/>
        <v>3.6977151694100679E-2</v>
      </c>
      <c r="BS49" s="14">
        <f t="shared" si="8"/>
        <v>8.6269377078561343E-3</v>
      </c>
      <c r="BT49" s="14">
        <f t="shared" si="9"/>
        <v>2.6929166306929793E-4</v>
      </c>
      <c r="BU49" s="14">
        <f t="shared" si="10"/>
        <v>0</v>
      </c>
      <c r="BV49" s="14">
        <f t="shared" si="11"/>
        <v>0.26060305841330361</v>
      </c>
      <c r="BW49" s="11">
        <f>C49/(Conventional!$B$53*8760)</f>
        <v>9.2619568365802873E-2</v>
      </c>
      <c r="BX49" s="11">
        <f>D49/(Conventional!$B$52*8760)</f>
        <v>0.14656273691916824</v>
      </c>
    </row>
    <row r="50" spans="1:76" x14ac:dyDescent="0.25">
      <c r="A50">
        <v>2683453299.0300002</v>
      </c>
      <c r="B50">
        <v>1214485.97</v>
      </c>
      <c r="C50">
        <v>22658452.52</v>
      </c>
      <c r="D50">
        <v>2103048.5499999998</v>
      </c>
      <c r="E50">
        <v>128787887.33</v>
      </c>
      <c r="F50">
        <v>30046800</v>
      </c>
      <c r="G50">
        <v>0</v>
      </c>
      <c r="H50">
        <v>614640507.41999996</v>
      </c>
      <c r="I50">
        <v>3482904481</v>
      </c>
      <c r="J50">
        <v>614640507.41999996</v>
      </c>
      <c r="K50">
        <v>1026500345.34</v>
      </c>
      <c r="L50">
        <v>0</v>
      </c>
      <c r="M50">
        <v>600051</v>
      </c>
      <c r="N50">
        <v>600051</v>
      </c>
      <c r="O50">
        <v>0</v>
      </c>
      <c r="P50" s="1">
        <v>42690.749224537038</v>
      </c>
      <c r="Q50" s="2">
        <v>5860558492610</v>
      </c>
      <c r="R50">
        <v>376200</v>
      </c>
      <c r="S50">
        <v>0</v>
      </c>
      <c r="T50">
        <v>37100</v>
      </c>
      <c r="U50" t="s">
        <v>21</v>
      </c>
      <c r="V50">
        <v>48</v>
      </c>
      <c r="W50" t="s">
        <v>182</v>
      </c>
      <c r="X50" t="s">
        <v>180</v>
      </c>
      <c r="Y50" t="s">
        <v>178</v>
      </c>
      <c r="Z50" s="7">
        <f>Conventional!$E$44*results_all_scenarios!R50/10^3</f>
        <v>52671.797333550108</v>
      </c>
      <c r="AA50" s="25">
        <f>Conventional!$C$44*results_all_scenarios!S50/10^3</f>
        <v>0</v>
      </c>
      <c r="AB50" s="25">
        <f>Conventional!$B$44*results_all_scenarios!T50/10^3</f>
        <v>3016.8444149350371</v>
      </c>
      <c r="AC50" s="25">
        <f>Renewables!$C$11*results_all_scenarios!M50/10^3</f>
        <v>87319.659584183682</v>
      </c>
      <c r="AD50" s="25">
        <f>Renewables!$B$11*results_all_scenarios!O50/10^3</f>
        <v>0</v>
      </c>
      <c r="AE50" s="25">
        <f t="shared" si="60"/>
        <v>143008.30133266884</v>
      </c>
      <c r="AF50" s="24">
        <f t="shared" si="0"/>
        <v>90162.438347846153</v>
      </c>
      <c r="AG50" s="25">
        <f t="shared" si="61"/>
        <v>233170.73968051499</v>
      </c>
      <c r="AH50" s="17">
        <f t="shared" si="71"/>
        <v>65423.006586292293</v>
      </c>
      <c r="AI50" s="25">
        <f t="shared" si="62"/>
        <v>142.06622982060614</v>
      </c>
      <c r="AJ50" s="17">
        <f t="shared" si="72"/>
        <v>2.1649495564114045</v>
      </c>
      <c r="AK50" s="17">
        <f t="shared" si="73"/>
        <v>33.460188607365438</v>
      </c>
      <c r="AL50" s="17">
        <f t="shared" si="74"/>
        <v>35.625138163776846</v>
      </c>
      <c r="AM50" s="26">
        <f t="shared" si="63"/>
        <v>106.44109165682931</v>
      </c>
      <c r="AN50" s="26">
        <f t="shared" si="75"/>
        <v>106.44109165682929</v>
      </c>
      <c r="AO50" s="27">
        <f t="shared" si="64"/>
        <v>0.17647354694135237</v>
      </c>
      <c r="AP50" s="27">
        <f t="shared" si="65"/>
        <v>0.40122717911369316</v>
      </c>
      <c r="AQ50" s="27">
        <f t="shared" si="76"/>
        <v>1.0599099076578491E-2</v>
      </c>
      <c r="AR50" s="26">
        <f>AC50/K50*10^6</f>
        <v>85.065397182366695</v>
      </c>
      <c r="AS50" s="23"/>
      <c r="AT50" s="18">
        <f t="shared" si="66"/>
        <v>85.065397182366695</v>
      </c>
      <c r="AU50" s="18">
        <f t="shared" si="77"/>
        <v>1.2963129529690152</v>
      </c>
      <c r="AV50" s="18">
        <f t="shared" si="78"/>
        <v>20.035051519820072</v>
      </c>
      <c r="AW50" s="18">
        <f t="shared" si="79"/>
        <v>21.331364472789087</v>
      </c>
      <c r="AX50" s="18">
        <f t="shared" si="67"/>
        <v>63.734032709577626</v>
      </c>
      <c r="AY50" s="18">
        <f t="shared" si="80"/>
        <v>63.734032709577605</v>
      </c>
      <c r="AZ50" s="7">
        <f>(D50*Conventional!$B$35+results_all_scenarios!C50*Conventional!$C$35+results_all_scenarios!A50*Conventional!$D$35+B50*Conventional!$F$35)*10^-6</f>
        <v>2469.1342755737378</v>
      </c>
      <c r="BA50" s="5">
        <f>(D50*Conventional!$B$36+results_all_scenarios!C50*Conventional!$C$36+results_all_scenarios!A50*Conventional!$D$36)*10^-9</f>
        <v>0.62861754728690844</v>
      </c>
      <c r="BB50" s="5">
        <f>(D50*Conventional!$B$37+results_all_scenarios!C50*Conventional!$C$37+results_all_scenarios!A50*Conventional!$D$37)*10^-9</f>
        <v>0.57242519411647852</v>
      </c>
      <c r="BC50" s="5">
        <f t="shared" si="1"/>
        <v>0.70892965599355395</v>
      </c>
      <c r="BD50" s="5">
        <f t="shared" si="2"/>
        <v>0.18048658833917314</v>
      </c>
      <c r="BE50" s="5">
        <f t="shared" si="3"/>
        <v>0.16435282599312792</v>
      </c>
      <c r="BF50" s="11">
        <f t="shared" si="68"/>
        <v>0.18545098349968936</v>
      </c>
      <c r="BG50" s="11">
        <f t="shared" si="69"/>
        <v>0.18629473111229197</v>
      </c>
      <c r="BH50" s="11">
        <f t="shared" si="70"/>
        <v>0.18597082466446682</v>
      </c>
      <c r="BI50" s="5">
        <f t="shared" si="81"/>
        <v>116.37879959495586</v>
      </c>
      <c r="BJ50" s="7">
        <f t="shared" si="82"/>
        <v>454580.24143163569</v>
      </c>
      <c r="BK50" s="7">
        <f t="shared" si="83"/>
        <v>500272.82478800381</v>
      </c>
      <c r="BL50" s="14">
        <f>A50/(R50+Conventional!$B$54)/8760</f>
        <v>0.54126835682614027</v>
      </c>
      <c r="BM50" s="14">
        <f>C50/(S50+Conventional!$B$53)/8760</f>
        <v>0.11787191660132806</v>
      </c>
      <c r="BN50" s="14">
        <f>D50/(T50+Conventional!$B$52)/8760</f>
        <v>6.2069919692881699E-3</v>
      </c>
      <c r="BO50" s="14">
        <f t="shared" si="4"/>
        <v>0.77046422423262551</v>
      </c>
      <c r="BP50" s="14">
        <f t="shared" si="5"/>
        <v>6.505619847919108E-3</v>
      </c>
      <c r="BQ50" s="14">
        <f t="shared" si="6"/>
        <v>6.0382033485919184E-4</v>
      </c>
      <c r="BR50" s="14">
        <f t="shared" si="7"/>
        <v>3.6977151694100679E-2</v>
      </c>
      <c r="BS50" s="14">
        <f t="shared" si="8"/>
        <v>8.6269377078561343E-3</v>
      </c>
      <c r="BT50" s="14">
        <f t="shared" si="9"/>
        <v>3.4869918960605569E-4</v>
      </c>
      <c r="BU50" s="14">
        <f t="shared" si="10"/>
        <v>0</v>
      </c>
      <c r="BV50" s="14">
        <f t="shared" si="11"/>
        <v>0.17647354694135237</v>
      </c>
      <c r="BW50" s="11">
        <f>C50/(Conventional!$B$53*8760)</f>
        <v>0.11787191660132808</v>
      </c>
      <c r="BX50" s="11">
        <f>D50/(Conventional!$B$52*8760)</f>
        <v>0.15213817198233703</v>
      </c>
    </row>
  </sheetData>
  <sortState ref="A3:AD18">
    <sortCondition ref="V3:V18"/>
  </sortState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3" sqref="D13"/>
    </sheetView>
  </sheetViews>
  <sheetFormatPr defaultRowHeight="15" x14ac:dyDescent="0.25"/>
  <cols>
    <col min="1" max="1" width="29.42578125" bestFit="1" customWidth="1"/>
  </cols>
  <sheetData>
    <row r="1" spans="1:10" x14ac:dyDescent="0.25">
      <c r="A1" t="s">
        <v>37</v>
      </c>
    </row>
    <row r="4" spans="1:10" x14ac:dyDescent="0.25">
      <c r="A4" t="s">
        <v>38</v>
      </c>
      <c r="G4" t="s">
        <v>168</v>
      </c>
      <c r="I4" t="s">
        <v>169</v>
      </c>
    </row>
    <row r="5" spans="1:10" x14ac:dyDescent="0.25">
      <c r="B5" t="s">
        <v>40</v>
      </c>
      <c r="C5" t="s">
        <v>41</v>
      </c>
      <c r="E5" t="s">
        <v>40</v>
      </c>
      <c r="F5" t="s">
        <v>41</v>
      </c>
      <c r="G5" t="s">
        <v>40</v>
      </c>
      <c r="H5" t="s">
        <v>41</v>
      </c>
      <c r="I5" t="s">
        <v>40</v>
      </c>
      <c r="J5" t="s">
        <v>41</v>
      </c>
    </row>
    <row r="6" spans="1:10" x14ac:dyDescent="0.25">
      <c r="A6" t="s">
        <v>39</v>
      </c>
      <c r="B6">
        <v>1230</v>
      </c>
      <c r="C6">
        <v>1030</v>
      </c>
      <c r="E6">
        <v>1230</v>
      </c>
      <c r="F6">
        <v>1030</v>
      </c>
      <c r="G6">
        <f>0.9*E6</f>
        <v>1107</v>
      </c>
      <c r="H6">
        <f>0.9*F6</f>
        <v>927</v>
      </c>
      <c r="I6">
        <f>0.8*E6</f>
        <v>984</v>
      </c>
      <c r="J6">
        <f>0.8*F6</f>
        <v>824</v>
      </c>
    </row>
    <row r="7" spans="1:10" x14ac:dyDescent="0.25">
      <c r="A7" t="s">
        <v>42</v>
      </c>
      <c r="B7" s="3">
        <v>0.108</v>
      </c>
      <c r="C7" s="3">
        <v>0.108</v>
      </c>
    </row>
    <row r="8" spans="1:10" x14ac:dyDescent="0.25">
      <c r="A8" t="s">
        <v>43</v>
      </c>
      <c r="B8">
        <v>25</v>
      </c>
      <c r="C8">
        <v>25</v>
      </c>
    </row>
    <row r="9" spans="1:10" x14ac:dyDescent="0.25">
      <c r="A9" t="s">
        <v>44</v>
      </c>
      <c r="B9">
        <v>35</v>
      </c>
      <c r="C9">
        <v>25</v>
      </c>
    </row>
    <row r="10" spans="1:10" x14ac:dyDescent="0.25">
      <c r="A10" t="s">
        <v>45</v>
      </c>
      <c r="B10">
        <f>B7*(1+B7)^B8/((1+B7)^B8-1)</f>
        <v>0.11701009392224909</v>
      </c>
      <c r="C10">
        <f>C7*(1+C7)^C8/((1+C7)^C8-1)</f>
        <v>0.11701009392224909</v>
      </c>
    </row>
    <row r="11" spans="1:10" x14ac:dyDescent="0.25">
      <c r="A11" t="s">
        <v>46</v>
      </c>
      <c r="B11" s="7">
        <f>B6*B10+B9</f>
        <v>178.92241552436639</v>
      </c>
      <c r="C11" s="7">
        <f>C6*C10+C9</f>
        <v>145.52039673991658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opLeftCell="A34" workbookViewId="0">
      <selection activeCell="D50" sqref="D50"/>
    </sheetView>
  </sheetViews>
  <sheetFormatPr defaultRowHeight="15" x14ac:dyDescent="0.25"/>
  <cols>
    <col min="1" max="1" width="32.42578125" bestFit="1" customWidth="1"/>
    <col min="4" max="4" width="10.42578125" bestFit="1" customWidth="1"/>
    <col min="5" max="5" width="10.42578125" customWidth="1"/>
    <col min="8" max="8" width="24.42578125" bestFit="1" customWidth="1"/>
  </cols>
  <sheetData>
    <row r="1" spans="1:6" x14ac:dyDescent="0.25">
      <c r="A1" s="8" t="s">
        <v>47</v>
      </c>
      <c r="D1" t="s">
        <v>48</v>
      </c>
      <c r="F1">
        <v>65</v>
      </c>
    </row>
    <row r="2" spans="1:6" x14ac:dyDescent="0.25">
      <c r="D2" t="s">
        <v>49</v>
      </c>
      <c r="F2">
        <v>2.2000000000000002</v>
      </c>
    </row>
    <row r="3" spans="1:6" x14ac:dyDescent="0.25">
      <c r="D3" t="s">
        <v>50</v>
      </c>
      <c r="F3">
        <v>1.0549999999999999</v>
      </c>
    </row>
    <row r="4" spans="1:6" x14ac:dyDescent="0.25">
      <c r="D4" t="s">
        <v>51</v>
      </c>
      <c r="F4">
        <v>3.9656699999999998</v>
      </c>
    </row>
    <row r="5" spans="1:6" x14ac:dyDescent="0.25">
      <c r="A5" t="s">
        <v>52</v>
      </c>
    </row>
    <row r="6" spans="1:6" x14ac:dyDescent="0.25">
      <c r="A6" t="s">
        <v>53</v>
      </c>
      <c r="B6">
        <v>170</v>
      </c>
    </row>
    <row r="7" spans="1:6" x14ac:dyDescent="0.25">
      <c r="A7" t="s">
        <v>54</v>
      </c>
      <c r="B7" s="6">
        <f>B6/F1</f>
        <v>2.6153846153846154</v>
      </c>
    </row>
    <row r="8" spans="1:6" x14ac:dyDescent="0.25">
      <c r="A8" t="s">
        <v>55</v>
      </c>
      <c r="B8">
        <v>3900</v>
      </c>
    </row>
    <row r="9" spans="1:6" x14ac:dyDescent="0.25">
      <c r="A9" t="s">
        <v>56</v>
      </c>
      <c r="B9">
        <f>B8*4.184*10^-3</f>
        <v>16.317600000000002</v>
      </c>
    </row>
    <row r="10" spans="1:6" x14ac:dyDescent="0.25">
      <c r="A10" t="s">
        <v>57</v>
      </c>
      <c r="B10">
        <f>B6*B9</f>
        <v>2773.9920000000002</v>
      </c>
    </row>
    <row r="11" spans="1:6" x14ac:dyDescent="0.25">
      <c r="A11" t="s">
        <v>58</v>
      </c>
      <c r="B11" s="6">
        <f>B10/F1</f>
        <v>42.6768</v>
      </c>
    </row>
    <row r="12" spans="1:6" x14ac:dyDescent="0.25">
      <c r="A12" t="s">
        <v>59</v>
      </c>
      <c r="B12" s="5">
        <f>D29*F3/B9/10^3</f>
        <v>0.60580906505858689</v>
      </c>
      <c r="C12" t="s">
        <v>60</v>
      </c>
    </row>
    <row r="13" spans="1:6" x14ac:dyDescent="0.25">
      <c r="A13" t="s">
        <v>61</v>
      </c>
      <c r="B13" s="6">
        <v>2375</v>
      </c>
      <c r="C13" t="s">
        <v>62</v>
      </c>
    </row>
    <row r="15" spans="1:6" x14ac:dyDescent="0.25">
      <c r="A15" t="s">
        <v>63</v>
      </c>
      <c r="B15">
        <v>240</v>
      </c>
    </row>
    <row r="16" spans="1:6" x14ac:dyDescent="0.25">
      <c r="A16" t="s">
        <v>64</v>
      </c>
      <c r="B16" s="6">
        <f>B15/F1</f>
        <v>3.6923076923076925</v>
      </c>
    </row>
    <row r="17" spans="1:11" x14ac:dyDescent="0.25">
      <c r="A17" t="s">
        <v>65</v>
      </c>
      <c r="B17">
        <v>10.7</v>
      </c>
      <c r="C17" t="s">
        <v>66</v>
      </c>
      <c r="D17" t="s">
        <v>67</v>
      </c>
    </row>
    <row r="18" spans="1:11" x14ac:dyDescent="0.25">
      <c r="A18" t="s">
        <v>68</v>
      </c>
      <c r="B18">
        <v>3000</v>
      </c>
      <c r="C18" t="s">
        <v>69</v>
      </c>
    </row>
    <row r="19" spans="1:11" x14ac:dyDescent="0.25">
      <c r="A19" t="s">
        <v>70</v>
      </c>
      <c r="B19">
        <v>2000</v>
      </c>
      <c r="C19" t="s">
        <v>69</v>
      </c>
    </row>
    <row r="20" spans="1:11" x14ac:dyDescent="0.25">
      <c r="A20" t="s">
        <v>71</v>
      </c>
      <c r="B20">
        <v>10390</v>
      </c>
      <c r="C20" t="s">
        <v>72</v>
      </c>
    </row>
    <row r="21" spans="1:11" x14ac:dyDescent="0.25">
      <c r="A21" t="s">
        <v>73</v>
      </c>
      <c r="B21">
        <v>6705</v>
      </c>
      <c r="C21" t="s">
        <v>72</v>
      </c>
    </row>
    <row r="23" spans="1:11" x14ac:dyDescent="0.25">
      <c r="A23" t="s">
        <v>74</v>
      </c>
    </row>
    <row r="24" spans="1:11" x14ac:dyDescent="0.25">
      <c r="A24" s="8" t="s">
        <v>75</v>
      </c>
    </row>
    <row r="25" spans="1:11" x14ac:dyDescent="0.25">
      <c r="B25" t="s">
        <v>76</v>
      </c>
      <c r="C25" t="s">
        <v>77</v>
      </c>
      <c r="D25" t="s">
        <v>158</v>
      </c>
      <c r="E25" t="s">
        <v>159</v>
      </c>
      <c r="F25" t="s">
        <v>79</v>
      </c>
      <c r="I25" t="s">
        <v>76</v>
      </c>
      <c r="J25" t="s">
        <v>77</v>
      </c>
      <c r="K25" t="s">
        <v>78</v>
      </c>
    </row>
    <row r="26" spans="1:11" x14ac:dyDescent="0.25">
      <c r="A26" t="s">
        <v>39</v>
      </c>
      <c r="B26">
        <v>650</v>
      </c>
      <c r="C26">
        <v>1230</v>
      </c>
      <c r="D26">
        <v>2890</v>
      </c>
      <c r="E26">
        <v>1000</v>
      </c>
      <c r="F26" t="s">
        <v>80</v>
      </c>
      <c r="H26" t="s">
        <v>81</v>
      </c>
      <c r="I26">
        <f>B26*$F$1</f>
        <v>42250</v>
      </c>
      <c r="J26">
        <f>C26*$F$1</f>
        <v>79950</v>
      </c>
      <c r="K26">
        <f>D26*$F$1</f>
        <v>187850</v>
      </c>
    </row>
    <row r="27" spans="1:11" x14ac:dyDescent="0.25">
      <c r="A27" t="s">
        <v>82</v>
      </c>
      <c r="B27">
        <v>5.26</v>
      </c>
      <c r="C27">
        <v>6.31</v>
      </c>
      <c r="D27">
        <v>23</v>
      </c>
      <c r="E27">
        <v>23</v>
      </c>
      <c r="H27" t="s">
        <v>83</v>
      </c>
      <c r="I27" s="7">
        <f t="shared" ref="I27:K28" si="0">B27*$F$1</f>
        <v>341.9</v>
      </c>
      <c r="J27" s="7">
        <f t="shared" si="0"/>
        <v>410.15</v>
      </c>
      <c r="K27" s="7">
        <f t="shared" si="0"/>
        <v>1495</v>
      </c>
    </row>
    <row r="28" spans="1:11" x14ac:dyDescent="0.25">
      <c r="A28" t="s">
        <v>84</v>
      </c>
      <c r="B28">
        <v>29.9</v>
      </c>
      <c r="C28">
        <v>3.67</v>
      </c>
      <c r="D28">
        <v>3.71</v>
      </c>
      <c r="E28">
        <v>3.71</v>
      </c>
      <c r="H28" t="s">
        <v>85</v>
      </c>
      <c r="I28" s="7">
        <f>B28*$F$1</f>
        <v>1943.5</v>
      </c>
      <c r="J28" s="7">
        <f t="shared" si="0"/>
        <v>238.54999999999998</v>
      </c>
      <c r="K28" s="7">
        <f t="shared" si="0"/>
        <v>241.15</v>
      </c>
    </row>
    <row r="29" spans="1:11" x14ac:dyDescent="0.25">
      <c r="A29" t="s">
        <v>86</v>
      </c>
      <c r="B29">
        <f>B18*$F$4</f>
        <v>11897.01</v>
      </c>
      <c r="C29">
        <f>B19*F4</f>
        <v>7931.3399999999992</v>
      </c>
      <c r="D29">
        <v>9370</v>
      </c>
      <c r="E29">
        <v>9370</v>
      </c>
      <c r="F29" t="s">
        <v>87</v>
      </c>
    </row>
    <row r="30" spans="1:11" x14ac:dyDescent="0.25">
      <c r="A30" t="s">
        <v>88</v>
      </c>
      <c r="B30" s="9">
        <v>0.5</v>
      </c>
      <c r="C30" s="9">
        <v>0.5</v>
      </c>
      <c r="D30" s="9">
        <v>0.55000000000000004</v>
      </c>
      <c r="E30" s="9">
        <v>0.55000000000000004</v>
      </c>
      <c r="F30" t="s">
        <v>89</v>
      </c>
    </row>
    <row r="31" spans="1:11" x14ac:dyDescent="0.25">
      <c r="A31" t="s">
        <v>90</v>
      </c>
      <c r="B31">
        <v>117</v>
      </c>
      <c r="C31">
        <v>117</v>
      </c>
      <c r="D31">
        <v>215</v>
      </c>
      <c r="E31">
        <v>215</v>
      </c>
      <c r="F31" t="s">
        <v>87</v>
      </c>
    </row>
    <row r="32" spans="1:11" x14ac:dyDescent="0.25">
      <c r="A32" t="s">
        <v>91</v>
      </c>
      <c r="B32">
        <v>2.0000000000000001E-4</v>
      </c>
      <c r="C32">
        <v>2.0000000000000001E-4</v>
      </c>
      <c r="D32">
        <v>5.5E-2</v>
      </c>
      <c r="E32">
        <v>5.5E-2</v>
      </c>
      <c r="F32" t="s">
        <v>87</v>
      </c>
    </row>
    <row r="33" spans="1:9" x14ac:dyDescent="0.25">
      <c r="A33" t="s">
        <v>92</v>
      </c>
      <c r="B33">
        <v>3.3000000000000002E-2</v>
      </c>
      <c r="C33">
        <v>7.3000000000000001E-3</v>
      </c>
      <c r="D33">
        <v>0.05</v>
      </c>
      <c r="E33">
        <v>0.05</v>
      </c>
      <c r="F33" t="s">
        <v>87</v>
      </c>
      <c r="H33">
        <f>52500/65</f>
        <v>807.69230769230774</v>
      </c>
    </row>
    <row r="34" spans="1:9" x14ac:dyDescent="0.25">
      <c r="A34" t="s">
        <v>93</v>
      </c>
      <c r="B34">
        <v>6.0000000000000001E-3</v>
      </c>
      <c r="C34">
        <v>5.7999999999999996E-3</v>
      </c>
      <c r="D34">
        <v>1.0999999999999999E-2</v>
      </c>
      <c r="E34">
        <v>1.0999999999999999E-2</v>
      </c>
      <c r="F34" t="s">
        <v>87</v>
      </c>
      <c r="H34">
        <f>35860/65</f>
        <v>551.69230769230774</v>
      </c>
    </row>
    <row r="35" spans="1:9" x14ac:dyDescent="0.25">
      <c r="A35" t="s">
        <v>94</v>
      </c>
      <c r="B35" s="5">
        <f>B31*B$29*10^-6/$F$2</f>
        <v>0.63270462272727257</v>
      </c>
      <c r="C35" s="5">
        <f>C31*C$29*10^-6/$F$2</f>
        <v>0.42180308181818171</v>
      </c>
      <c r="D35" s="5">
        <f>D31*D$29*10^-6/$F$2</f>
        <v>0.91570454545454527</v>
      </c>
      <c r="E35" s="5">
        <f>E31*E$29*10^-6/$F$2</f>
        <v>0.91570454545454527</v>
      </c>
      <c r="F35" s="5">
        <v>0.82</v>
      </c>
      <c r="G35" t="s">
        <v>167</v>
      </c>
    </row>
    <row r="36" spans="1:9" x14ac:dyDescent="0.25">
      <c r="A36" t="s">
        <v>95</v>
      </c>
      <c r="B36" s="10">
        <f t="shared" ref="B36:E38" si="1">B32*B$29*10^-3/$F$2</f>
        <v>1.0815463636363635E-3</v>
      </c>
      <c r="C36" s="10">
        <f t="shared" si="1"/>
        <v>7.2103090909090911E-4</v>
      </c>
      <c r="D36" s="10">
        <f t="shared" si="1"/>
        <v>0.23425000000000001</v>
      </c>
      <c r="E36" s="10">
        <f t="shared" si="1"/>
        <v>0.23425000000000001</v>
      </c>
    </row>
    <row r="37" spans="1:9" x14ac:dyDescent="0.25">
      <c r="A37" t="s">
        <v>96</v>
      </c>
      <c r="B37" s="5">
        <f t="shared" si="1"/>
        <v>0.17845515000000001</v>
      </c>
      <c r="C37" s="5">
        <f t="shared" si="1"/>
        <v>2.6317628181818178E-2</v>
      </c>
      <c r="D37" s="5">
        <f t="shared" si="1"/>
        <v>0.21295454545454545</v>
      </c>
      <c r="E37" s="5">
        <f t="shared" si="1"/>
        <v>0.21295454545454545</v>
      </c>
    </row>
    <row r="38" spans="1:9" x14ac:dyDescent="0.25">
      <c r="A38" t="s">
        <v>97</v>
      </c>
      <c r="B38" s="4">
        <f t="shared" si="1"/>
        <v>3.2446390909090912E-2</v>
      </c>
      <c r="C38" s="4">
        <f t="shared" si="1"/>
        <v>2.0909896363636361E-2</v>
      </c>
      <c r="D38" s="4">
        <f t="shared" si="1"/>
        <v>4.6849999999999996E-2</v>
      </c>
      <c r="E38" s="4">
        <f t="shared" si="1"/>
        <v>4.6849999999999996E-2</v>
      </c>
    </row>
    <row r="39" spans="1:9" x14ac:dyDescent="0.25">
      <c r="A39" t="s">
        <v>98</v>
      </c>
      <c r="B39" s="11">
        <v>0.01</v>
      </c>
      <c r="C39" s="11">
        <v>2.5000000000000001E-2</v>
      </c>
      <c r="D39" s="11">
        <v>0.1</v>
      </c>
      <c r="E39" s="11">
        <v>0.1</v>
      </c>
    </row>
    <row r="41" spans="1:9" x14ac:dyDescent="0.25">
      <c r="A41" t="s">
        <v>99</v>
      </c>
      <c r="B41" s="12">
        <v>0.108</v>
      </c>
      <c r="C41" s="3">
        <f>B41</f>
        <v>0.108</v>
      </c>
      <c r="D41" s="3">
        <f>B41</f>
        <v>0.108</v>
      </c>
      <c r="E41" s="3">
        <f>C41</f>
        <v>0.108</v>
      </c>
      <c r="F41" t="s">
        <v>89</v>
      </c>
    </row>
    <row r="42" spans="1:9" x14ac:dyDescent="0.25">
      <c r="A42" t="s">
        <v>100</v>
      </c>
      <c r="B42">
        <v>25</v>
      </c>
      <c r="C42">
        <v>25</v>
      </c>
      <c r="D42">
        <v>25</v>
      </c>
      <c r="E42">
        <v>25</v>
      </c>
      <c r="F42" t="s">
        <v>62</v>
      </c>
    </row>
    <row r="43" spans="1:9" ht="15.75" x14ac:dyDescent="0.25">
      <c r="A43" t="s">
        <v>45</v>
      </c>
      <c r="B43" s="13">
        <f>(B41*(1+B41)^B42)/(((1+B41)^B42)-1)</f>
        <v>0.11701009392224909</v>
      </c>
      <c r="C43" s="13">
        <f t="shared" ref="C43:D43" si="2">(C41*(1+C41)^C42)/(((1+C41)^C42)-1)</f>
        <v>0.11701009392224909</v>
      </c>
      <c r="D43" s="13">
        <f t="shared" si="2"/>
        <v>0.11701009392224909</v>
      </c>
      <c r="E43" s="13">
        <f t="shared" ref="E43" si="3">(E41*(1+E41)^E42)/(((1+E41)^E42)-1)</f>
        <v>0.11701009392224909</v>
      </c>
    </row>
    <row r="44" spans="1:9" x14ac:dyDescent="0.25">
      <c r="A44" t="s">
        <v>101</v>
      </c>
      <c r="B44" s="6">
        <f>B26*B43+B27</f>
        <v>81.31656104946191</v>
      </c>
      <c r="C44" s="6">
        <f t="shared" ref="C44:D44" si="4">C26*C43+C27</f>
        <v>150.23241552436639</v>
      </c>
      <c r="D44" s="6">
        <f t="shared" si="4"/>
        <v>361.15917143529987</v>
      </c>
      <c r="E44" s="6">
        <f>E26*E43+E27</f>
        <v>140.0100939222491</v>
      </c>
    </row>
    <row r="45" spans="1:9" x14ac:dyDescent="0.25">
      <c r="A45" t="s">
        <v>102</v>
      </c>
      <c r="B45" s="7">
        <f>B44*$F$1</f>
        <v>5285.5764682150239</v>
      </c>
      <c r="C45" s="7">
        <f t="shared" ref="C45:D45" si="5">C44*$F$1</f>
        <v>9765.1070090838148</v>
      </c>
      <c r="D45" s="7">
        <f t="shared" si="5"/>
        <v>23475.34614329449</v>
      </c>
      <c r="E45" s="7">
        <f t="shared" ref="E45" si="6">E44*$F$1</f>
        <v>9100.6561049461907</v>
      </c>
      <c r="G45">
        <f t="shared" ref="G45:H45" si="7">B45/8000</f>
        <v>0.66069705852687799</v>
      </c>
      <c r="H45">
        <f t="shared" si="7"/>
        <v>1.2206383761354769</v>
      </c>
      <c r="I45">
        <f>D45/8000</f>
        <v>2.9344182679118114</v>
      </c>
    </row>
    <row r="46" spans="1:9" x14ac:dyDescent="0.25">
      <c r="A46" t="s">
        <v>103</v>
      </c>
      <c r="B46" s="6">
        <f>(B29*$B$17*10^-3 + B28)/(1-B39)</f>
        <v>158.78586565656565</v>
      </c>
      <c r="C46" s="6">
        <f>(C29*$B$17*10^-3 + C28)/(1-C39)</f>
        <v>90.805474871794871</v>
      </c>
      <c r="D46" s="6">
        <f>(D29*B7*$F$3*10^-3 + D28)/(1-D41)</f>
        <v>33.1434891341842</v>
      </c>
      <c r="E46" s="6">
        <f>(E29*B7*$F$3*10^-3 + E28)/(1-E41)</f>
        <v>33.1434891341842</v>
      </c>
    </row>
    <row r="47" spans="1:9" x14ac:dyDescent="0.25">
      <c r="A47" t="s">
        <v>104</v>
      </c>
      <c r="B47" s="7">
        <f t="shared" ref="B47:C47" si="8">B46*$F$1</f>
        <v>10321.081267676767</v>
      </c>
      <c r="C47" s="7">
        <f t="shared" si="8"/>
        <v>5902.3558666666668</v>
      </c>
      <c r="D47" s="7">
        <f>D46*$F$1</f>
        <v>2154.326793721973</v>
      </c>
      <c r="E47" s="7">
        <f>E46*$F$1</f>
        <v>2154.326793721973</v>
      </c>
    </row>
    <row r="48" spans="1:9" x14ac:dyDescent="0.25">
      <c r="A48" t="s">
        <v>105</v>
      </c>
      <c r="B48" s="14">
        <f>(C44-B44)*1000/(B46-C46)/8760</f>
        <v>0.11572611725821126</v>
      </c>
      <c r="C48" s="14">
        <f>(D44-C44)*1000/(C46-D46)/8760</f>
        <v>0.41757834881118489</v>
      </c>
    </row>
    <row r="49" spans="1:2" x14ac:dyDescent="0.25">
      <c r="A49" t="s">
        <v>191</v>
      </c>
      <c r="B49" s="28">
        <f>(E44-B44)*1000/(B46-E46)/8760</f>
        <v>5.3327349982785835E-2</v>
      </c>
    </row>
    <row r="51" spans="1:2" x14ac:dyDescent="0.25">
      <c r="A51" t="s">
        <v>137</v>
      </c>
      <c r="B51" t="s">
        <v>139</v>
      </c>
    </row>
    <row r="52" spans="1:2" x14ac:dyDescent="0.25">
      <c r="A52" t="s">
        <v>76</v>
      </c>
      <c r="B52">
        <v>1578</v>
      </c>
    </row>
    <row r="53" spans="1:2" x14ac:dyDescent="0.25">
      <c r="A53" t="s">
        <v>77</v>
      </c>
      <c r="B53">
        <v>21944</v>
      </c>
    </row>
    <row r="54" spans="1:2" x14ac:dyDescent="0.25">
      <c r="A54" t="s">
        <v>78</v>
      </c>
      <c r="B54">
        <v>189749</v>
      </c>
    </row>
    <row r="55" spans="1:2" x14ac:dyDescent="0.25">
      <c r="A55" t="s">
        <v>128</v>
      </c>
      <c r="B55">
        <v>2211</v>
      </c>
    </row>
    <row r="56" spans="1:2" x14ac:dyDescent="0.25">
      <c r="A56" t="s">
        <v>138</v>
      </c>
      <c r="B56">
        <v>1880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6" sqref="E16"/>
    </sheetView>
  </sheetViews>
  <sheetFormatPr defaultRowHeight="15" x14ac:dyDescent="0.25"/>
  <cols>
    <col min="3" max="3" width="18.28515625" bestFit="1" customWidth="1"/>
    <col min="4" max="4" width="17.7109375" bestFit="1" customWidth="1"/>
    <col min="5" max="6" width="22.5703125" bestFit="1" customWidth="1"/>
    <col min="7" max="7" width="16.7109375" bestFit="1" customWidth="1"/>
  </cols>
  <sheetData>
    <row r="1" spans="1:7" x14ac:dyDescent="0.25">
      <c r="A1" t="s">
        <v>157</v>
      </c>
      <c r="B1" t="s">
        <v>183</v>
      </c>
      <c r="C1" t="s">
        <v>185</v>
      </c>
      <c r="D1" t="s">
        <v>186</v>
      </c>
      <c r="E1" t="s">
        <v>187</v>
      </c>
      <c r="F1" t="s">
        <v>188</v>
      </c>
      <c r="G1" t="s">
        <v>188</v>
      </c>
    </row>
    <row r="2" spans="1:7" x14ac:dyDescent="0.25">
      <c r="A2" t="s">
        <v>136</v>
      </c>
      <c r="B2" t="s">
        <v>184</v>
      </c>
      <c r="C2">
        <f>Conventional!B26</f>
        <v>650</v>
      </c>
      <c r="D2">
        <f>Conventional!B26</f>
        <v>650</v>
      </c>
      <c r="E2">
        <f>D2</f>
        <v>650</v>
      </c>
      <c r="F2" s="7">
        <f>D2</f>
        <v>650</v>
      </c>
      <c r="G2">
        <f>D2</f>
        <v>650</v>
      </c>
    </row>
    <row r="3" spans="1:7" x14ac:dyDescent="0.25">
      <c r="A3" t="s">
        <v>135</v>
      </c>
      <c r="B3" t="s">
        <v>184</v>
      </c>
      <c r="C3">
        <f>Conventional!C26</f>
        <v>1230</v>
      </c>
      <c r="D3">
        <f>Conventional!C26</f>
        <v>1230</v>
      </c>
      <c r="E3">
        <f t="shared" ref="E3:E5" si="0">D3</f>
        <v>1230</v>
      </c>
      <c r="F3" s="7">
        <f t="shared" ref="F3:F6" si="1">D3</f>
        <v>1230</v>
      </c>
      <c r="G3">
        <f t="shared" ref="G3:G6" si="2">D3</f>
        <v>1230</v>
      </c>
    </row>
    <row r="4" spans="1:7" x14ac:dyDescent="0.25">
      <c r="A4" t="s">
        <v>134</v>
      </c>
      <c r="B4" t="s">
        <v>184</v>
      </c>
      <c r="C4">
        <f>Conventional!D26</f>
        <v>2890</v>
      </c>
      <c r="D4">
        <f>Conventional!E26</f>
        <v>1000</v>
      </c>
      <c r="E4">
        <f t="shared" si="0"/>
        <v>1000</v>
      </c>
      <c r="F4" s="7">
        <f t="shared" si="1"/>
        <v>1000</v>
      </c>
      <c r="G4">
        <f t="shared" si="2"/>
        <v>1000</v>
      </c>
    </row>
    <row r="5" spans="1:7" x14ac:dyDescent="0.25">
      <c r="A5" t="s">
        <v>110</v>
      </c>
      <c r="B5" t="s">
        <v>184</v>
      </c>
      <c r="C5">
        <f>Renewables!E6</f>
        <v>1230</v>
      </c>
      <c r="D5">
        <f>Renewables!E6</f>
        <v>1230</v>
      </c>
      <c r="E5">
        <f t="shared" si="0"/>
        <v>1230</v>
      </c>
      <c r="F5" s="7">
        <f>Renewables!I6</f>
        <v>984</v>
      </c>
      <c r="G5">
        <f>Renewables!I6</f>
        <v>984</v>
      </c>
    </row>
    <row r="6" spans="1:7" x14ac:dyDescent="0.25">
      <c r="A6" t="s">
        <v>109</v>
      </c>
      <c r="B6" t="s">
        <v>184</v>
      </c>
      <c r="C6">
        <f>Renewables!F6</f>
        <v>1030</v>
      </c>
      <c r="D6">
        <f>Renewables!F6</f>
        <v>1030</v>
      </c>
      <c r="E6">
        <f>Renewables!J6</f>
        <v>824</v>
      </c>
      <c r="F6" s="7">
        <f t="shared" si="1"/>
        <v>1030</v>
      </c>
      <c r="G6">
        <f>Renewables!J6</f>
        <v>824</v>
      </c>
    </row>
    <row r="7" spans="1:7" x14ac:dyDescent="0.25">
      <c r="A7" t="s">
        <v>136</v>
      </c>
      <c r="B7" t="s">
        <v>189</v>
      </c>
      <c r="C7">
        <f>Conventional!$B$27</f>
        <v>5.26</v>
      </c>
      <c r="D7">
        <f>Conventional!$B$27</f>
        <v>5.26</v>
      </c>
      <c r="E7">
        <f>Conventional!$B$27</f>
        <v>5.26</v>
      </c>
      <c r="F7">
        <f>Conventional!$B$27</f>
        <v>5.26</v>
      </c>
      <c r="G7">
        <f>Conventional!$B$27</f>
        <v>5.26</v>
      </c>
    </row>
    <row r="8" spans="1:7" x14ac:dyDescent="0.25">
      <c r="A8" t="s">
        <v>135</v>
      </c>
      <c r="B8" t="s">
        <v>189</v>
      </c>
      <c r="C8">
        <f>Conventional!$C$27</f>
        <v>6.31</v>
      </c>
      <c r="D8">
        <f>Conventional!$C$27</f>
        <v>6.31</v>
      </c>
      <c r="E8">
        <f>Conventional!$C$27</f>
        <v>6.31</v>
      </c>
      <c r="F8">
        <f>Conventional!$C$27</f>
        <v>6.31</v>
      </c>
      <c r="G8">
        <f>Conventional!$C$27</f>
        <v>6.31</v>
      </c>
    </row>
    <row r="9" spans="1:7" x14ac:dyDescent="0.25">
      <c r="A9" t="s">
        <v>134</v>
      </c>
      <c r="B9" t="s">
        <v>189</v>
      </c>
      <c r="C9">
        <f>Conventional!$D$27</f>
        <v>23</v>
      </c>
      <c r="D9">
        <f>Conventional!$E$27</f>
        <v>23</v>
      </c>
      <c r="E9">
        <f>D9</f>
        <v>23</v>
      </c>
      <c r="F9">
        <f>D9</f>
        <v>23</v>
      </c>
      <c r="G9">
        <f>D9</f>
        <v>23</v>
      </c>
    </row>
    <row r="10" spans="1:7" x14ac:dyDescent="0.25">
      <c r="A10" t="s">
        <v>110</v>
      </c>
      <c r="B10" t="s">
        <v>189</v>
      </c>
      <c r="C10">
        <f>Renewables!$B$9</f>
        <v>35</v>
      </c>
      <c r="D10">
        <f>Renewables!$B$9</f>
        <v>35</v>
      </c>
      <c r="E10">
        <f>Renewables!$B$9</f>
        <v>35</v>
      </c>
      <c r="F10">
        <f>Renewables!$B$9</f>
        <v>35</v>
      </c>
      <c r="G10">
        <f>Renewables!$B$9</f>
        <v>35</v>
      </c>
    </row>
    <row r="11" spans="1:7" x14ac:dyDescent="0.25">
      <c r="A11" t="s">
        <v>109</v>
      </c>
      <c r="B11" t="s">
        <v>189</v>
      </c>
      <c r="C11">
        <f>Renewables!$C$9</f>
        <v>25</v>
      </c>
      <c r="D11">
        <f>Renewables!$C$9</f>
        <v>25</v>
      </c>
      <c r="E11">
        <f>Renewables!$C$9</f>
        <v>25</v>
      </c>
      <c r="F11">
        <f>Renewables!$C$9</f>
        <v>25</v>
      </c>
      <c r="G11">
        <f>Renewables!$C$9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F8" sqref="F8"/>
    </sheetView>
  </sheetViews>
  <sheetFormatPr defaultRowHeight="15" x14ac:dyDescent="0.25"/>
  <sheetData>
    <row r="3" spans="1:4" x14ac:dyDescent="0.25">
      <c r="A3" t="s">
        <v>190</v>
      </c>
      <c r="B3" t="s">
        <v>134</v>
      </c>
      <c r="C3" t="s">
        <v>135</v>
      </c>
      <c r="D3" t="s">
        <v>136</v>
      </c>
    </row>
    <row r="4" spans="1:4" x14ac:dyDescent="0.25">
      <c r="A4">
        <v>0</v>
      </c>
      <c r="B4" s="7">
        <f>Conventional!E44*1000</f>
        <v>140010.0939222491</v>
      </c>
      <c r="C4" s="7">
        <f>Conventional!$C$44*1000</f>
        <v>150232.4155243664</v>
      </c>
      <c r="D4" s="7">
        <f>Conventional!$B$44*1000</f>
        <v>81316.561049461903</v>
      </c>
    </row>
    <row r="5" spans="1:4" x14ac:dyDescent="0.25">
      <c r="A5">
        <v>1000</v>
      </c>
      <c r="B5" s="7">
        <f>B$4+$A5*Conventional!$E$46</f>
        <v>173153.5830564333</v>
      </c>
      <c r="C5" s="7">
        <f>C$4+$A5*Conventional!$C$46</f>
        <v>241037.89039616127</v>
      </c>
      <c r="D5" s="7">
        <f>D$4+$A5*Conventional!$B$46</f>
        <v>240102.42670602753</v>
      </c>
    </row>
    <row r="6" spans="1:4" x14ac:dyDescent="0.25">
      <c r="A6">
        <v>4000</v>
      </c>
      <c r="B6" s="7">
        <f>B$4+$A6*Conventional!$E$46</f>
        <v>272584.0504589859</v>
      </c>
      <c r="C6" s="7">
        <f>C$4+$A6*Conventional!$C$46</f>
        <v>513454.3150115459</v>
      </c>
      <c r="D6" s="7">
        <f>D$4+$A6*Conventional!$B$46</f>
        <v>716460.02367572451</v>
      </c>
    </row>
    <row r="7" spans="1:4" x14ac:dyDescent="0.25">
      <c r="A7">
        <v>8760</v>
      </c>
      <c r="B7" s="7">
        <f>B$4+$A7*Conventional!$E$46</f>
        <v>430347.05873770267</v>
      </c>
      <c r="C7" s="7">
        <f>C$4+$A7*Conventional!$C$46</f>
        <v>945688.37540128955</v>
      </c>
      <c r="D7" s="7">
        <f>D$4+$A7*Conventional!$B$46</f>
        <v>1472280.7442009768</v>
      </c>
    </row>
    <row r="10" spans="1:4" x14ac:dyDescent="0.25">
      <c r="A10" t="s">
        <v>192</v>
      </c>
    </row>
    <row r="11" spans="1:4" x14ac:dyDescent="0.25">
      <c r="A11" t="s">
        <v>193</v>
      </c>
      <c r="B11" t="s">
        <v>194</v>
      </c>
      <c r="C11" t="s">
        <v>157</v>
      </c>
    </row>
    <row r="12" spans="1:4" x14ac:dyDescent="0.25">
      <c r="A12">
        <v>0</v>
      </c>
      <c r="B12" s="7">
        <f>B4</f>
        <v>140010.0939222491</v>
      </c>
      <c r="C12" t="s">
        <v>78</v>
      </c>
    </row>
    <row r="13" spans="1:4" x14ac:dyDescent="0.25">
      <c r="A13">
        <v>8760</v>
      </c>
      <c r="B13" s="7">
        <f>B7</f>
        <v>430347.05873770267</v>
      </c>
      <c r="C13" t="s">
        <v>78</v>
      </c>
    </row>
    <row r="14" spans="1:4" x14ac:dyDescent="0.25">
      <c r="A14">
        <v>0</v>
      </c>
      <c r="B14" s="7">
        <f>C4</f>
        <v>150232.4155243664</v>
      </c>
      <c r="C14" t="s">
        <v>195</v>
      </c>
    </row>
    <row r="15" spans="1:4" x14ac:dyDescent="0.25">
      <c r="A15">
        <v>8760</v>
      </c>
      <c r="B15" s="7">
        <f>C7</f>
        <v>945688.37540128955</v>
      </c>
      <c r="C15" t="s">
        <v>195</v>
      </c>
    </row>
    <row r="16" spans="1:4" x14ac:dyDescent="0.25">
      <c r="A16">
        <v>0</v>
      </c>
      <c r="B16" s="7">
        <f>D4</f>
        <v>81316.561049461903</v>
      </c>
      <c r="C16" t="s">
        <v>196</v>
      </c>
    </row>
    <row r="17" spans="1:3" x14ac:dyDescent="0.25">
      <c r="A17">
        <v>8760</v>
      </c>
      <c r="B17" s="7">
        <f>D7</f>
        <v>1472280.7442009768</v>
      </c>
      <c r="C17" t="s">
        <v>196</v>
      </c>
    </row>
    <row r="19" spans="1:3" x14ac:dyDescent="0.25">
      <c r="A19" t="s">
        <v>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0.85546875" bestFit="1" customWidth="1"/>
    <col min="2" max="2" width="16.7109375" bestFit="1" customWidth="1"/>
  </cols>
  <sheetData>
    <row r="1" spans="1:2" x14ac:dyDescent="0.25">
      <c r="A1" t="s">
        <v>157</v>
      </c>
      <c r="B1" t="s">
        <v>166</v>
      </c>
    </row>
    <row r="2" spans="1:2" x14ac:dyDescent="0.25">
      <c r="A2" t="s">
        <v>136</v>
      </c>
      <c r="B2" s="5">
        <f>Conventional!B35</f>
        <v>0.63270462272727257</v>
      </c>
    </row>
    <row r="3" spans="1:2" x14ac:dyDescent="0.25">
      <c r="A3" t="s">
        <v>135</v>
      </c>
      <c r="B3" s="5">
        <f>Conventional!C35</f>
        <v>0.42180308181818171</v>
      </c>
    </row>
    <row r="4" spans="1:2" x14ac:dyDescent="0.25">
      <c r="A4" t="s">
        <v>134</v>
      </c>
      <c r="B4" s="5">
        <f>Conventional!D35</f>
        <v>0.91570454545454527</v>
      </c>
    </row>
    <row r="5" spans="1:2" x14ac:dyDescent="0.25">
      <c r="A5" t="s">
        <v>143</v>
      </c>
      <c r="B5" s="5">
        <f>Conventional!F35</f>
        <v>0.82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157</v>
      </c>
      <c r="B1" t="s">
        <v>165</v>
      </c>
    </row>
    <row r="2" spans="1:2" x14ac:dyDescent="0.25">
      <c r="A2" t="s">
        <v>134</v>
      </c>
      <c r="B2">
        <v>189749</v>
      </c>
    </row>
    <row r="3" spans="1:2" x14ac:dyDescent="0.25">
      <c r="A3" t="s">
        <v>164</v>
      </c>
      <c r="B3">
        <v>21944</v>
      </c>
    </row>
    <row r="4" spans="1:2" x14ac:dyDescent="0.25">
      <c r="A4" t="s">
        <v>163</v>
      </c>
      <c r="B4">
        <v>1579</v>
      </c>
    </row>
    <row r="5" spans="1:2" x14ac:dyDescent="0.25">
      <c r="A5" t="s">
        <v>143</v>
      </c>
      <c r="B5">
        <v>2211</v>
      </c>
    </row>
    <row r="6" spans="1:2" x14ac:dyDescent="0.25">
      <c r="A6" t="s">
        <v>160</v>
      </c>
      <c r="B6">
        <v>23673</v>
      </c>
    </row>
    <row r="7" spans="1:2" x14ac:dyDescent="0.25">
      <c r="A7" t="s">
        <v>161</v>
      </c>
      <c r="B7">
        <v>4707</v>
      </c>
    </row>
    <row r="8" spans="1:2" x14ac:dyDescent="0.25">
      <c r="A8" t="s">
        <v>162</v>
      </c>
      <c r="B8">
        <v>14436</v>
      </c>
    </row>
    <row r="9" spans="1:2" x14ac:dyDescent="0.25">
      <c r="A9" t="s">
        <v>142</v>
      </c>
      <c r="B9">
        <v>6860</v>
      </c>
    </row>
    <row r="10" spans="1:2" x14ac:dyDescent="0.25">
      <c r="A10" t="s">
        <v>144</v>
      </c>
      <c r="B10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results_all_scenarios</vt:lpstr>
      <vt:lpstr>Renewables</vt:lpstr>
      <vt:lpstr>Conventional</vt:lpstr>
      <vt:lpstr>gen_costs</vt:lpstr>
      <vt:lpstr>screening curve</vt:lpstr>
      <vt:lpstr>emissions</vt:lpstr>
      <vt:lpstr>existing_gen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2016-11-13T20:50:01Z</dcterms:created>
  <dcterms:modified xsi:type="dcterms:W3CDTF">2016-11-19T19:56:30Z</dcterms:modified>
</cp:coreProperties>
</file>