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Electricity_Models\renewable_energy_value\india_REV_input\"/>
    </mc:Choice>
  </mc:AlternateContent>
  <bookViews>
    <workbookView xWindow="0" yWindow="0" windowWidth="19200" windowHeight="7635"/>
  </bookViews>
  <sheets>
    <sheet name="REvalue_input_csv" sheetId="11" r:id="rId1"/>
    <sheet name="Status Runs" sheetId="14" r:id="rId2"/>
    <sheet name="Screening curves" sheetId="1" r:id="rId3"/>
    <sheet name="CF_crossover_points" sheetId="6" r:id="rId4"/>
    <sheet name="screening_curve_plot" sheetId="7" r:id="rId5"/>
    <sheet name="generator_cost_all" sheetId="8" r:id="rId6"/>
    <sheet name="Data and sources" sheetId="4" r:id="rId7"/>
    <sheet name="inflation rate" sheetId="5" r:id="rId8"/>
    <sheet name="scenarios" sheetId="13" r:id="rId9"/>
    <sheet name="run_times" sheetId="12" r:id="rId10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1" l="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C4" i="11"/>
  <c r="D1" i="14"/>
  <c r="E10" i="11"/>
  <c r="E13" i="11"/>
  <c r="E15" i="11"/>
  <c r="E17" i="11"/>
  <c r="E19" i="11"/>
  <c r="E23" i="11"/>
  <c r="E27" i="11"/>
  <c r="E30" i="11"/>
  <c r="E33" i="11"/>
  <c r="E36" i="11"/>
  <c r="E38" i="11"/>
  <c r="E41" i="11"/>
  <c r="E3" i="11"/>
  <c r="E2" i="11"/>
  <c r="D2" i="14"/>
  <c r="C1" i="14"/>
  <c r="D10" i="11"/>
  <c r="D13" i="11"/>
  <c r="D15" i="11"/>
  <c r="D17" i="11"/>
  <c r="D19" i="11"/>
  <c r="D23" i="11"/>
  <c r="D27" i="11"/>
  <c r="D30" i="11"/>
  <c r="D33" i="11"/>
  <c r="D36" i="11"/>
  <c r="D38" i="11"/>
  <c r="D41" i="11"/>
  <c r="D3" i="11"/>
  <c r="D2" i="11"/>
  <c r="C2" i="14"/>
  <c r="C10" i="11"/>
  <c r="C13" i="11"/>
  <c r="C15" i="11"/>
  <c r="C17" i="11"/>
  <c r="C19" i="11"/>
  <c r="C23" i="11"/>
  <c r="C27" i="11"/>
  <c r="C30" i="11"/>
  <c r="C33" i="11"/>
  <c r="C36" i="11"/>
  <c r="C38" i="11"/>
  <c r="C41" i="11"/>
  <c r="C3" i="11"/>
  <c r="C2" i="11"/>
  <c r="B2" i="14"/>
  <c r="B1" i="14"/>
  <c r="A1" i="6"/>
  <c r="D16" i="4"/>
  <c r="D17" i="4"/>
  <c r="U4" i="1"/>
  <c r="W28" i="1"/>
  <c r="V28" i="1"/>
  <c r="U28" i="1"/>
  <c r="S28" i="1"/>
  <c r="C13" i="4"/>
  <c r="C14" i="4"/>
  <c r="AA4" i="1"/>
  <c r="W23" i="1"/>
  <c r="V23" i="1"/>
  <c r="U23" i="1"/>
  <c r="T23" i="1"/>
  <c r="S23" i="1"/>
  <c r="B13" i="4"/>
  <c r="B14" i="4"/>
  <c r="Y4" i="1"/>
  <c r="W17" i="1"/>
  <c r="V17" i="1"/>
  <c r="U17" i="1"/>
  <c r="T17" i="1"/>
  <c r="S17" i="1"/>
  <c r="W30" i="1"/>
  <c r="W24" i="1"/>
  <c r="W35" i="1"/>
  <c r="V30" i="1"/>
  <c r="V24" i="1"/>
  <c r="V35" i="1"/>
  <c r="U30" i="1"/>
  <c r="U24" i="1"/>
  <c r="U35" i="1"/>
  <c r="T24" i="1"/>
  <c r="T35" i="1"/>
  <c r="S30" i="1"/>
  <c r="S24" i="1"/>
  <c r="S35" i="1"/>
  <c r="W19" i="1"/>
  <c r="W34" i="1"/>
  <c r="V19" i="1"/>
  <c r="V34" i="1"/>
  <c r="U19" i="1"/>
  <c r="U34" i="1"/>
  <c r="T19" i="1"/>
  <c r="T34" i="1"/>
  <c r="S19" i="1"/>
  <c r="S34" i="1"/>
  <c r="W9" i="1"/>
  <c r="V9" i="1"/>
  <c r="U9" i="1"/>
  <c r="C1" i="6"/>
  <c r="D1" i="6"/>
  <c r="E1" i="6"/>
  <c r="F1" i="6"/>
  <c r="B1" i="6"/>
  <c r="D2" i="6"/>
  <c r="E2" i="6"/>
  <c r="F2" i="6"/>
  <c r="D3" i="6"/>
  <c r="E3" i="6"/>
  <c r="F3" i="6"/>
  <c r="D4" i="6"/>
  <c r="E4" i="6"/>
  <c r="F4" i="6"/>
  <c r="D5" i="6"/>
  <c r="E5" i="6"/>
  <c r="F5" i="6"/>
  <c r="D6" i="6"/>
  <c r="E6" i="6"/>
  <c r="F6" i="6"/>
  <c r="D7" i="6"/>
  <c r="E7" i="6"/>
  <c r="F7" i="6"/>
  <c r="D8" i="6"/>
  <c r="E8" i="6"/>
  <c r="F8" i="6"/>
  <c r="A7" i="7"/>
  <c r="B7" i="7"/>
  <c r="S44" i="1"/>
  <c r="S45" i="1"/>
  <c r="C7" i="7"/>
  <c r="D7" i="7"/>
  <c r="E3" i="12"/>
  <c r="F3" i="12"/>
  <c r="E4" i="12"/>
  <c r="F4" i="12"/>
  <c r="E5" i="12"/>
  <c r="F5" i="12"/>
  <c r="E6" i="12"/>
  <c r="F6" i="12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T9" i="1"/>
  <c r="D1" i="8"/>
  <c r="E1" i="8"/>
  <c r="F1" i="8"/>
  <c r="G1" i="8"/>
  <c r="S9" i="1"/>
  <c r="C1" i="8"/>
  <c r="B1" i="8"/>
  <c r="B2" i="8"/>
  <c r="S49" i="1"/>
  <c r="C2" i="8"/>
  <c r="T49" i="1"/>
  <c r="D2" i="8"/>
  <c r="U49" i="1"/>
  <c r="E2" i="8"/>
  <c r="V49" i="1"/>
  <c r="F2" i="8"/>
  <c r="W49" i="1"/>
  <c r="G2" i="8"/>
  <c r="B3" i="8"/>
  <c r="B32" i="1"/>
  <c r="S50" i="1"/>
  <c r="C3" i="8"/>
  <c r="T50" i="1"/>
  <c r="D3" i="8"/>
  <c r="U50" i="1"/>
  <c r="E3" i="8"/>
  <c r="V50" i="1"/>
  <c r="F3" i="8"/>
  <c r="W50" i="1"/>
  <c r="G3" i="8"/>
  <c r="B4" i="8"/>
  <c r="S51" i="1"/>
  <c r="C4" i="8"/>
  <c r="T51" i="1"/>
  <c r="D4" i="8"/>
  <c r="U51" i="1"/>
  <c r="E4" i="8"/>
  <c r="V51" i="1"/>
  <c r="F4" i="8"/>
  <c r="W51" i="1"/>
  <c r="G4" i="8"/>
  <c r="B5" i="8"/>
  <c r="C32" i="1"/>
  <c r="S52" i="1"/>
  <c r="C5" i="8"/>
  <c r="T52" i="1"/>
  <c r="D5" i="8"/>
  <c r="U52" i="1"/>
  <c r="E5" i="8"/>
  <c r="V52" i="1"/>
  <c r="F5" i="8"/>
  <c r="W52" i="1"/>
  <c r="G5" i="8"/>
  <c r="B6" i="8"/>
  <c r="S53" i="1"/>
  <c r="C6" i="8"/>
  <c r="U5" i="1"/>
  <c r="T28" i="1"/>
  <c r="T53" i="1"/>
  <c r="D6" i="8"/>
  <c r="U53" i="1"/>
  <c r="E6" i="8"/>
  <c r="V53" i="1"/>
  <c r="F6" i="8"/>
  <c r="W53" i="1"/>
  <c r="G6" i="8"/>
  <c r="B7" i="8"/>
  <c r="D32" i="1"/>
  <c r="S54" i="1"/>
  <c r="C7" i="8"/>
  <c r="T54" i="1"/>
  <c r="D7" i="8"/>
  <c r="U54" i="1"/>
  <c r="E7" i="8"/>
  <c r="V54" i="1"/>
  <c r="F7" i="8"/>
  <c r="W54" i="1"/>
  <c r="G7" i="8"/>
  <c r="B8" i="8"/>
  <c r="S55" i="1"/>
  <c r="C8" i="8"/>
  <c r="T55" i="1"/>
  <c r="D8" i="8"/>
  <c r="AE6" i="1"/>
  <c r="U55" i="1"/>
  <c r="E8" i="8"/>
  <c r="V55" i="1"/>
  <c r="F8" i="8"/>
  <c r="W55" i="1"/>
  <c r="G8" i="8"/>
  <c r="B9" i="8"/>
  <c r="S56" i="1"/>
  <c r="C9" i="8"/>
  <c r="T56" i="1"/>
  <c r="D9" i="8"/>
  <c r="U56" i="1"/>
  <c r="E9" i="8"/>
  <c r="V56" i="1"/>
  <c r="F9" i="8"/>
  <c r="W56" i="1"/>
  <c r="G9" i="8"/>
  <c r="B10" i="8"/>
  <c r="S57" i="1"/>
  <c r="C10" i="8"/>
  <c r="T57" i="1"/>
  <c r="D10" i="8"/>
  <c r="U57" i="1"/>
  <c r="E10" i="8"/>
  <c r="AH6" i="1"/>
  <c r="V57" i="1"/>
  <c r="F10" i="8"/>
  <c r="W57" i="1"/>
  <c r="G10" i="8"/>
  <c r="B11" i="8"/>
  <c r="S58" i="1"/>
  <c r="C11" i="8"/>
  <c r="T58" i="1"/>
  <c r="D11" i="8"/>
  <c r="U58" i="1"/>
  <c r="E11" i="8"/>
  <c r="V58" i="1"/>
  <c r="F11" i="8"/>
  <c r="W58" i="1"/>
  <c r="G11" i="8"/>
  <c r="B12" i="8"/>
  <c r="S59" i="1"/>
  <c r="C12" i="8"/>
  <c r="T59" i="1"/>
  <c r="D12" i="8"/>
  <c r="U59" i="1"/>
  <c r="E12" i="8"/>
  <c r="V59" i="1"/>
  <c r="F12" i="8"/>
  <c r="W59" i="1"/>
  <c r="G12" i="8"/>
  <c r="B13" i="8"/>
  <c r="S60" i="1"/>
  <c r="C13" i="8"/>
  <c r="T60" i="1"/>
  <c r="D13" i="8"/>
  <c r="U60" i="1"/>
  <c r="E13" i="8"/>
  <c r="V60" i="1"/>
  <c r="F13" i="8"/>
  <c r="W60" i="1"/>
  <c r="G13" i="8"/>
  <c r="A2" i="8"/>
  <c r="A3" i="8"/>
  <c r="A4" i="8"/>
  <c r="A5" i="8"/>
  <c r="A6" i="8"/>
  <c r="A7" i="8"/>
  <c r="A8" i="8"/>
  <c r="A9" i="8"/>
  <c r="A10" i="8"/>
  <c r="A11" i="8"/>
  <c r="A12" i="8"/>
  <c r="A13" i="8"/>
  <c r="A1" i="8"/>
  <c r="S5" i="1"/>
  <c r="W15" i="1"/>
  <c r="B23" i="1"/>
  <c r="C34" i="1"/>
  <c r="AC5" i="1"/>
  <c r="W18" i="1"/>
  <c r="C33" i="1"/>
  <c r="W25" i="1"/>
  <c r="B24" i="1"/>
  <c r="D34" i="1"/>
  <c r="B7" i="1"/>
  <c r="W4" i="1"/>
  <c r="W29" i="1"/>
  <c r="D33" i="1"/>
  <c r="W31" i="1"/>
  <c r="V15" i="1"/>
  <c r="V18" i="1"/>
  <c r="V25" i="1"/>
  <c r="V29" i="1"/>
  <c r="V31" i="1"/>
  <c r="U15" i="1"/>
  <c r="U18" i="1"/>
  <c r="U25" i="1"/>
  <c r="U29" i="1"/>
  <c r="U31" i="1"/>
  <c r="T15" i="1"/>
  <c r="T30" i="1"/>
  <c r="T18" i="1"/>
  <c r="T25" i="1"/>
  <c r="T29" i="1"/>
  <c r="T31" i="1"/>
  <c r="S15" i="1"/>
  <c r="S18" i="1"/>
  <c r="S25" i="1"/>
  <c r="S29" i="1"/>
  <c r="S31" i="1"/>
  <c r="W44" i="1"/>
  <c r="W45" i="1"/>
  <c r="W42" i="1"/>
  <c r="W43" i="1"/>
  <c r="W40" i="1"/>
  <c r="B22" i="1"/>
  <c r="B34" i="1"/>
  <c r="B33" i="1"/>
  <c r="W20" i="1"/>
  <c r="W41" i="1"/>
  <c r="W14" i="1"/>
  <c r="V44" i="1"/>
  <c r="V45" i="1"/>
  <c r="V42" i="1"/>
  <c r="V43" i="1"/>
  <c r="V40" i="1"/>
  <c r="V20" i="1"/>
  <c r="V41" i="1"/>
  <c r="V14" i="1"/>
  <c r="U44" i="1"/>
  <c r="U45" i="1"/>
  <c r="U42" i="1"/>
  <c r="U43" i="1"/>
  <c r="U40" i="1"/>
  <c r="U20" i="1"/>
  <c r="U41" i="1"/>
  <c r="U14" i="1"/>
  <c r="AH7" i="1"/>
  <c r="AH5" i="1"/>
  <c r="AE7" i="1"/>
  <c r="AE5" i="1"/>
  <c r="T40" i="1"/>
  <c r="B17" i="1"/>
  <c r="AC4" i="1"/>
  <c r="T20" i="1"/>
  <c r="T41" i="1"/>
  <c r="T42" i="1"/>
  <c r="T43" i="1"/>
  <c r="T44" i="1"/>
  <c r="T45" i="1"/>
  <c r="D1" i="7"/>
  <c r="D2" i="7"/>
  <c r="D3" i="7"/>
  <c r="D4" i="7"/>
  <c r="D5" i="7"/>
  <c r="D6" i="7"/>
  <c r="C1" i="7"/>
  <c r="A2" i="7"/>
  <c r="B2" i="7"/>
  <c r="S40" i="1"/>
  <c r="C2" i="7"/>
  <c r="A3" i="7"/>
  <c r="B3" i="7"/>
  <c r="S20" i="1"/>
  <c r="S41" i="1"/>
  <c r="C3" i="7"/>
  <c r="A4" i="7"/>
  <c r="B4" i="7"/>
  <c r="S42" i="1"/>
  <c r="C4" i="7"/>
  <c r="A5" i="7"/>
  <c r="B5" i="7"/>
  <c r="S43" i="1"/>
  <c r="C5" i="7"/>
  <c r="A6" i="7"/>
  <c r="B6" i="7"/>
  <c r="C6" i="7"/>
  <c r="B1" i="7"/>
  <c r="A1" i="7"/>
  <c r="B5" i="6"/>
  <c r="C5" i="6"/>
  <c r="B6" i="6"/>
  <c r="C6" i="6"/>
  <c r="B7" i="6"/>
  <c r="C7" i="6"/>
  <c r="B8" i="6"/>
  <c r="C8" i="6"/>
  <c r="A8" i="6"/>
  <c r="A7" i="6"/>
  <c r="A6" i="6"/>
  <c r="A5" i="6"/>
  <c r="C2" i="6"/>
  <c r="D31" i="1"/>
  <c r="D48" i="1"/>
  <c r="D50" i="1"/>
  <c r="D51" i="1"/>
  <c r="D53" i="1"/>
  <c r="C3" i="6"/>
  <c r="C4" i="6"/>
  <c r="B2" i="6"/>
  <c r="C31" i="1"/>
  <c r="C48" i="1"/>
  <c r="C50" i="1"/>
  <c r="C51" i="1"/>
  <c r="B18" i="1"/>
  <c r="C53" i="1"/>
  <c r="B3" i="6"/>
  <c r="B4" i="6"/>
  <c r="A3" i="6"/>
  <c r="A4" i="6"/>
  <c r="A2" i="6"/>
  <c r="S6" i="1"/>
  <c r="S4" i="1"/>
  <c r="T14" i="1"/>
  <c r="S14" i="1"/>
  <c r="B31" i="1"/>
  <c r="C36" i="1"/>
  <c r="D36" i="1"/>
  <c r="B36" i="1"/>
  <c r="B19" i="1"/>
  <c r="C63" i="4"/>
  <c r="C67" i="4"/>
  <c r="B58" i="4"/>
  <c r="C58" i="4"/>
  <c r="C60" i="4"/>
  <c r="B63" i="4"/>
  <c r="B67" i="4"/>
  <c r="B60" i="4"/>
  <c r="B68" i="4"/>
  <c r="C68" i="4"/>
  <c r="D63" i="1"/>
  <c r="D35" i="1"/>
  <c r="B12" i="1"/>
  <c r="B21" i="1"/>
  <c r="B20" i="1"/>
  <c r="C8" i="4"/>
  <c r="D8" i="4"/>
  <c r="F8" i="4"/>
  <c r="G8" i="4"/>
  <c r="B8" i="4"/>
  <c r="C6" i="4"/>
  <c r="D6" i="4"/>
  <c r="F6" i="4"/>
  <c r="B6" i="4"/>
  <c r="C29" i="4"/>
  <c r="D29" i="4"/>
  <c r="F29" i="4"/>
  <c r="G29" i="4"/>
  <c r="B29" i="4"/>
  <c r="C28" i="4"/>
  <c r="D28" i="4"/>
  <c r="F28" i="4"/>
  <c r="G28" i="4"/>
  <c r="B28" i="4"/>
  <c r="K32" i="5"/>
  <c r="J31" i="5"/>
  <c r="J32" i="5"/>
  <c r="I30" i="5"/>
  <c r="I31" i="5"/>
  <c r="I32" i="5"/>
  <c r="H29" i="5"/>
  <c r="H30" i="5"/>
  <c r="H31" i="5"/>
  <c r="H32" i="5"/>
  <c r="G28" i="5"/>
  <c r="G29" i="5"/>
  <c r="G30" i="5"/>
  <c r="G31" i="5"/>
  <c r="G32" i="5"/>
  <c r="F27" i="5"/>
  <c r="F28" i="5"/>
  <c r="F29" i="5"/>
  <c r="F30" i="5"/>
  <c r="F31" i="5"/>
  <c r="F32" i="5"/>
  <c r="E27" i="5"/>
  <c r="E28" i="5"/>
  <c r="E29" i="5"/>
  <c r="E30" i="5"/>
  <c r="E31" i="5"/>
  <c r="E32" i="5"/>
  <c r="E26" i="5"/>
  <c r="D25" i="5"/>
  <c r="D26" i="5"/>
  <c r="D27" i="5"/>
  <c r="D28" i="5"/>
  <c r="D29" i="5"/>
  <c r="D30" i="5"/>
  <c r="D31" i="5"/>
  <c r="D32" i="5"/>
  <c r="C24" i="5"/>
  <c r="C25" i="5"/>
  <c r="C26" i="5"/>
  <c r="C27" i="5"/>
  <c r="C28" i="5"/>
  <c r="C29" i="5"/>
  <c r="C30" i="5"/>
  <c r="C31" i="5"/>
  <c r="C32" i="5"/>
  <c r="D13" i="4"/>
  <c r="D14" i="4"/>
  <c r="E13" i="4"/>
  <c r="E14" i="4"/>
  <c r="E16" i="4"/>
  <c r="E17" i="4"/>
  <c r="C10" i="4"/>
  <c r="C11" i="4"/>
  <c r="D10" i="4"/>
  <c r="D11" i="4"/>
  <c r="E10" i="4"/>
  <c r="E11" i="4"/>
  <c r="B10" i="4"/>
  <c r="B11" i="4"/>
  <c r="E12" i="5"/>
  <c r="E13" i="5"/>
  <c r="E14" i="5"/>
  <c r="E15" i="5"/>
  <c r="E16" i="5"/>
  <c r="E17" i="5"/>
  <c r="D11" i="5"/>
  <c r="D12" i="5"/>
  <c r="D13" i="5"/>
  <c r="D14" i="5"/>
  <c r="D15" i="5"/>
  <c r="D16" i="5"/>
  <c r="D17" i="5"/>
  <c r="K17" i="5"/>
  <c r="J16" i="5"/>
  <c r="J17" i="5"/>
  <c r="I15" i="5"/>
  <c r="I16" i="5"/>
  <c r="I17" i="5"/>
  <c r="H14" i="5"/>
  <c r="H15" i="5"/>
  <c r="H16" i="5"/>
  <c r="H17" i="5"/>
  <c r="G13" i="5"/>
  <c r="G14" i="5"/>
  <c r="G15" i="5"/>
  <c r="G16" i="5"/>
  <c r="G17" i="5"/>
  <c r="F12" i="5"/>
  <c r="F13" i="5"/>
  <c r="F14" i="5"/>
  <c r="F15" i="5"/>
  <c r="F16" i="5"/>
  <c r="F17" i="5"/>
  <c r="E11" i="5"/>
  <c r="D10" i="5"/>
  <c r="C9" i="5"/>
  <c r="C10" i="5"/>
  <c r="C11" i="5"/>
  <c r="C12" i="5"/>
  <c r="C13" i="5"/>
  <c r="C14" i="5"/>
  <c r="C15" i="5"/>
  <c r="C16" i="5"/>
  <c r="C17" i="5"/>
  <c r="B38" i="4"/>
  <c r="C38" i="4"/>
  <c r="D38" i="4"/>
  <c r="C36" i="4"/>
  <c r="B36" i="4"/>
  <c r="D36" i="4"/>
  <c r="B21" i="4"/>
  <c r="E21" i="4"/>
  <c r="C21" i="4"/>
  <c r="D21" i="4"/>
  <c r="D54" i="1"/>
  <c r="C42" i="1"/>
  <c r="G41" i="1"/>
  <c r="G40" i="1"/>
  <c r="B9" i="1"/>
  <c r="B10" i="1"/>
  <c r="B11" i="1"/>
  <c r="D42" i="1"/>
  <c r="D61" i="1"/>
  <c r="B50" i="1"/>
  <c r="B51" i="1"/>
  <c r="D62" i="1"/>
  <c r="B52" i="1"/>
  <c r="B61" i="1"/>
  <c r="C52" i="1"/>
  <c r="C61" i="1"/>
  <c r="C54" i="1"/>
  <c r="C35" i="1"/>
  <c r="B42" i="1"/>
  <c r="B35" i="1"/>
  <c r="D52" i="1"/>
  <c r="B53" i="1"/>
  <c r="B54" i="1"/>
  <c r="B13" i="1"/>
  <c r="C62" i="1"/>
  <c r="B62" i="1"/>
  <c r="C55" i="1"/>
  <c r="C63" i="1"/>
  <c r="B56" i="1"/>
  <c r="B55" i="1"/>
  <c r="H52" i="1"/>
  <c r="H54" i="1"/>
  <c r="H55" i="1"/>
  <c r="B63" i="1"/>
  <c r="I52" i="1"/>
  <c r="I54" i="1"/>
  <c r="I55" i="1"/>
  <c r="J52" i="1"/>
  <c r="J54" i="1"/>
  <c r="J55" i="1"/>
  <c r="H33" i="1"/>
  <c r="H32" i="1"/>
  <c r="I32" i="1"/>
  <c r="J32" i="1"/>
  <c r="I33" i="1"/>
  <c r="J33" i="1"/>
  <c r="H31" i="1"/>
  <c r="J31" i="1"/>
  <c r="D43" i="1"/>
  <c r="D44" i="1"/>
  <c r="D45" i="1"/>
  <c r="C43" i="1"/>
  <c r="C44" i="1"/>
  <c r="C45" i="1"/>
  <c r="B43" i="1"/>
  <c r="B44" i="1"/>
  <c r="B45" i="1"/>
  <c r="I31" i="1"/>
</calcChain>
</file>

<file path=xl/comments1.xml><?xml version="1.0" encoding="utf-8"?>
<comments xmlns="http://schemas.openxmlformats.org/spreadsheetml/2006/main">
  <authors>
    <author>Ranjit</author>
  </authors>
  <commentList>
    <comment ref="A4" authorId="0" shapeId="0">
      <text>
        <r>
          <rPr>
            <b/>
            <sz val="9"/>
            <color indexed="81"/>
            <rFont val="Tahoma"/>
            <charset val="1"/>
          </rPr>
          <t>Ranjit:</t>
        </r>
        <r>
          <rPr>
            <sz val="9"/>
            <color indexed="81"/>
            <rFont val="Tahoma"/>
            <charset val="1"/>
          </rPr>
          <t xml:space="preserve">
For scenarios with different upfront costs like wind, solar, battery, there will be a common econ dispatch suffix.</t>
        </r>
      </text>
    </comment>
  </commentList>
</comments>
</file>

<file path=xl/comments2.xml><?xml version="1.0" encoding="utf-8"?>
<comments xmlns="http://schemas.openxmlformats.org/spreadsheetml/2006/main">
  <authors>
    <author>Ranjit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Sub-bituminous http://www.industry.gov.au/Office-of-the-Chief-Economist/Publications/Documents/Coal-in-India.pdf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multiple sources. See Data and Sources Worksheet.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This B&amp;V number 
matched CERC 2014 numbers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Key difference between CT vs CCGT/coal is that it can start stop during the day.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India's regulation. B&amp;V 's was 40%.</t>
        </r>
      </text>
    </comment>
  </commentList>
</comments>
</file>

<file path=xl/comments3.xml><?xml version="1.0" encoding="utf-8"?>
<comments xmlns="http://schemas.openxmlformats.org/spreadsheetml/2006/main">
  <authors>
    <author>Ranjit</author>
  </authors>
  <commentList>
    <comment ref="B20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page 74, Small gas turbine power gen 2016-17 costs
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page 74, CCGT 2016-17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for 2016-17 for supercritical 600 MW coal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page 72 500 MW subcritical coal. 2016-17 costs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page 103; 500 MW plant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US wind installed cost in 2015 - $1690/kW - Wind report 2015 market data</t>
        </r>
      </text>
    </comment>
  </commentList>
</comments>
</file>

<file path=xl/sharedStrings.xml><?xml version="1.0" encoding="utf-8"?>
<sst xmlns="http://schemas.openxmlformats.org/spreadsheetml/2006/main" count="687" uniqueCount="423">
  <si>
    <t>Screening curves</t>
  </si>
  <si>
    <t>CT</t>
  </si>
  <si>
    <t>CCGT</t>
  </si>
  <si>
    <t>Coal</t>
  </si>
  <si>
    <t>Capital cost (USD/kW)</t>
  </si>
  <si>
    <t>Capital cost (INR/kW)</t>
  </si>
  <si>
    <t>Fixed O&amp;M (USD/kW-y)</t>
  </si>
  <si>
    <t>Variable O&amp;M (USD/MWh)</t>
  </si>
  <si>
    <t>Heat Rate (Btu/kWh)</t>
  </si>
  <si>
    <t>Minimum load</t>
  </si>
  <si>
    <t>Emissions CO2 (lbs/mmbtu)</t>
  </si>
  <si>
    <t>Emissions SO2 (lbs/mmbtu)</t>
  </si>
  <si>
    <t>Emissions Nox (lbs/mmbtu)</t>
  </si>
  <si>
    <t>PM10 (lbs/mmbtu)</t>
  </si>
  <si>
    <t>Fixed O&amp;M (INR/kW-y)</t>
  </si>
  <si>
    <t>Variable O&amp;M (INR/MWh)</t>
  </si>
  <si>
    <t>source: B&amp;V 2012</t>
  </si>
  <si>
    <t>Discount rate</t>
  </si>
  <si>
    <t>Plant life</t>
  </si>
  <si>
    <t>CRF</t>
  </si>
  <si>
    <t>Annualized fixed costs (USD/kW-y)</t>
  </si>
  <si>
    <t>Emissions CO2 (tonnes/MWh)</t>
  </si>
  <si>
    <t>Emissions SO2 (kg/MWh)</t>
  </si>
  <si>
    <t>Emissions Nox (kg/MWh)</t>
  </si>
  <si>
    <t>PM10 (kg/MWh)</t>
  </si>
  <si>
    <t>Fuel cost (Rangan's article)</t>
  </si>
  <si>
    <t>Coal (INR/GJ)</t>
  </si>
  <si>
    <t>NG (INR/GJ)</t>
  </si>
  <si>
    <t>Coal Calorific value (kcal/kg)</t>
  </si>
  <si>
    <t>Coal (INR/tonne)</t>
  </si>
  <si>
    <t>Coal Calorific value (GJ/tonne)</t>
  </si>
  <si>
    <t>Coal (USD/tonne)</t>
  </si>
  <si>
    <t>Variable cost (USD/MWh)</t>
  </si>
  <si>
    <t>Coal (USD/GJ)</t>
  </si>
  <si>
    <t>GJ per MMBTU</t>
  </si>
  <si>
    <t>lbs per kg</t>
  </si>
  <si>
    <t>INR per USD</t>
  </si>
  <si>
    <t>Variable cost (INR/MWh)</t>
  </si>
  <si>
    <t>NG (USD/GJ)</t>
  </si>
  <si>
    <t>Annualized fixed costs (INR/kW-y)</t>
  </si>
  <si>
    <t>Coal (kg/kWh)</t>
  </si>
  <si>
    <t>source</t>
  </si>
  <si>
    <t>CERC 2014</t>
  </si>
  <si>
    <t>source: http://cercind.gov.in/2014/regulation/reg21.pdf</t>
  </si>
  <si>
    <t>CERC</t>
  </si>
  <si>
    <t>B&amp;V</t>
  </si>
  <si>
    <t>Coal (kcal/kWh)</t>
  </si>
  <si>
    <t>NG heat rate - CT (kcal/kWh)</t>
  </si>
  <si>
    <t>CERC 2014 average</t>
  </si>
  <si>
    <t>NG heat rate - CCGT (kcal/kWh)</t>
  </si>
  <si>
    <t>Auxillary consumption</t>
  </si>
  <si>
    <t>B&amp;V average</t>
  </si>
  <si>
    <t>NG heat rate - CT (Btu/kWh)</t>
  </si>
  <si>
    <t>NG heat rate - CCGT (Btu/kWh)</t>
  </si>
  <si>
    <t>Btu per kcal</t>
  </si>
  <si>
    <t>gas_ct</t>
  </si>
  <si>
    <t>gas_ccgt</t>
  </si>
  <si>
    <t>coal</t>
  </si>
  <si>
    <t>gas_price</t>
  </si>
  <si>
    <t>0.61 - IESS coal and gas power stations GoI</t>
  </si>
  <si>
    <t>cap_cost_ct</t>
  </si>
  <si>
    <t>cap_cost_ccgt</t>
  </si>
  <si>
    <t>cap_cost_coal</t>
  </si>
  <si>
    <t>Expected PLF in hours</t>
  </si>
  <si>
    <t>See NEP Vol I page 241; page 309 shows gas as 0.49, coal as 1.01</t>
  </si>
  <si>
    <t>O&amp;M</t>
  </si>
  <si>
    <t>Coal SC</t>
  </si>
  <si>
    <t>Coal SubC</t>
  </si>
  <si>
    <t>Sources</t>
  </si>
  <si>
    <t>CERC (Terms and Conditions of Tariff) Regulations 2014</t>
  </si>
  <si>
    <t>Heat rates</t>
  </si>
  <si>
    <t>kcal/kWh</t>
  </si>
  <si>
    <t>CERC 2014 "Recommendations on Operation Norms for Thermal Power Stations Tariff Period 2014-19"</t>
  </si>
  <si>
    <t>CERC 2014 Operating norms for gas</t>
  </si>
  <si>
    <t>Heat Rate (kcal/kWh) (converted from Btu/kWh)</t>
  </si>
  <si>
    <t>See NEP Vol I page 151 for more estimates</t>
  </si>
  <si>
    <t>B&amp;V &amp; CERC 2014 operating norms</t>
  </si>
  <si>
    <t>CERC 2014 heat rate for super critical is 2375; NEP Vol I for coal is 2350; gas is 1850 (doesn't say which gas).</t>
  </si>
  <si>
    <t>Capital costs</t>
  </si>
  <si>
    <t>EIA Capital cost estimates for utility scale elec gen plants 2016; coal cost is only for ultra-supercritical; CT is advanced (regular one is 1101)</t>
  </si>
  <si>
    <t>Nuclear</t>
  </si>
  <si>
    <t>Hydro</t>
  </si>
  <si>
    <t xml:space="preserve">O&amp;M (USD/kW-y) </t>
  </si>
  <si>
    <t>Btu/kWh</t>
  </si>
  <si>
    <t>B&amp;V-NREL 2012</t>
  </si>
  <si>
    <t>USD/kW (2009$)</t>
  </si>
  <si>
    <t>B&amp;V (combine with variable)</t>
  </si>
  <si>
    <t>B&amp;V (combine with fixed)</t>
  </si>
  <si>
    <t>O&amp;M (USD/MWh)</t>
  </si>
  <si>
    <t>B&amp;V-NREL 2012; coal is pulverized coal plant</t>
  </si>
  <si>
    <t>EIA 2016</t>
  </si>
  <si>
    <t>EIA 2016 (combine with variable)</t>
  </si>
  <si>
    <t>EIA 2016 (combine with fixed)</t>
  </si>
  <si>
    <t>National Electricity Plan Draft - CEA 2016; page 152 coal 660 MW unit</t>
  </si>
  <si>
    <t>CERC Operating norms for thermal power generating plants 2014; Average of plants mentioned in order</t>
  </si>
  <si>
    <t>kcal/kWh (converted)</t>
  </si>
  <si>
    <t>Coal (kg/kWh) computed</t>
  </si>
  <si>
    <t>INR Rs lakhs/MW (2012)</t>
  </si>
  <si>
    <t>IESS 2047; first apply inflation rate and then convert to USD</t>
  </si>
  <si>
    <t>Data and sources</t>
  </si>
  <si>
    <t>IESS 2047; gas costs are not split into CCGT and CT. don't use</t>
  </si>
  <si>
    <t>Phadke et al 2016</t>
  </si>
  <si>
    <t>INR Rs lakhs/MW (2015)</t>
  </si>
  <si>
    <t>CERC 2012 Benchmark capital costs for thermal power stations with coal as fuel; average of costs of six units of 660 MW for SC and another six units of 500 MW for SubC</t>
  </si>
  <si>
    <t>India Inflation rates</t>
  </si>
  <si>
    <t>http://www.inflation.eu/inflation-rates/india/historic-inflation/cpi-inflation-india.aspx</t>
  </si>
  <si>
    <t>source: Consumer Price Index India</t>
  </si>
  <si>
    <t>Average annual inflation rate</t>
  </si>
  <si>
    <t>INR Rs lakhs/MW (2016)</t>
  </si>
  <si>
    <t>Cumulative inflation factors</t>
  </si>
  <si>
    <t>IESS 2047 adjusted for inflation</t>
  </si>
  <si>
    <t>USD/kW (2016 USD)</t>
  </si>
  <si>
    <t>CERC 2012 adjusted for inflation</t>
  </si>
  <si>
    <t>Phadke et al 2016 adjusted for inflation</t>
  </si>
  <si>
    <t>USD/kW (2016)</t>
  </si>
  <si>
    <t>USD/kW (2015 $)</t>
  </si>
  <si>
    <t>O&amp;M (USD/kW-y)(2016)</t>
  </si>
  <si>
    <t>CERC (Terms and Conditions of Tariff) Regulations 2014; values are for 2016-17, so no inflation rate applied</t>
  </si>
  <si>
    <t>O&amp;M (USD/kW-y) (2009$)</t>
  </si>
  <si>
    <t>O&amp;M (USD/MWh) (2009$)</t>
  </si>
  <si>
    <t>INDIA</t>
  </si>
  <si>
    <t>US</t>
  </si>
  <si>
    <t>O&amp;M (USD/kW-y) (2016$)</t>
  </si>
  <si>
    <t>O&amp;M (USD/MWh) (2016$)</t>
  </si>
  <si>
    <t xml:space="preserve">CERC (Terms and Conditions of Tariff) Regulations 2014 - not sure if these include variable O&amp;M as well. I am assuming not. Then gas O&amp;M make sense, but coal for India is much lower than US, which also makes sense. </t>
  </si>
  <si>
    <t>USD/kW (2016 $)</t>
  </si>
  <si>
    <t>B&amp;V-NREL 2012; adjusted for inflation</t>
  </si>
  <si>
    <t>EIA 2016 adjusted for inflation</t>
  </si>
  <si>
    <t>CERC 2014 assumed zero</t>
  </si>
  <si>
    <t>O&amp;M (INR/kW-y)(2016)</t>
  </si>
  <si>
    <t>O&amp;M (INR/MWh) (2016)</t>
  </si>
  <si>
    <t>O&amp;M (USD/MWh) (2016)</t>
  </si>
  <si>
    <t>NEP 2016</t>
  </si>
  <si>
    <t>NG heat rate - coal super critical (kcal/kWh)</t>
  </si>
  <si>
    <t>Aux consumption</t>
  </si>
  <si>
    <t>Discount rates</t>
  </si>
  <si>
    <t>%</t>
  </si>
  <si>
    <t>Central bank December 2016</t>
  </si>
  <si>
    <t>CERC regulations (I think this is nominal discount rate because it determines tariff over the lifetime of the plant)</t>
  </si>
  <si>
    <t>CERC - 10.8% is probably nominal, so using 7%</t>
  </si>
  <si>
    <t>LNG</t>
  </si>
  <si>
    <t>USD/MMBTU</t>
  </si>
  <si>
    <t>World Bank forecast (2017) for 2030 for Natural Gas LNG in Japan</t>
  </si>
  <si>
    <t>12.7 - Indonesian LNG in Japan - source IMF (2016) - Quarterly average from 2014 Q1 to 2016 Q2 ; 10.7 - Indonesian LNG in Japan - IMF - average of medium term commodity baseline that includes past baseline data from 2009 to 2016, and future projections till 2021</t>
  </si>
  <si>
    <t>IMF (2017) LNG forecast for 2017-2022 Indonesian gas in Japan</t>
  </si>
  <si>
    <t>World LNG Estimated Landed Prices June 2017 - Federal Energy Regulatory Commission (2017)</t>
  </si>
  <si>
    <t>Outage rates</t>
  </si>
  <si>
    <t>Hour</t>
  </si>
  <si>
    <t>Cutoff Hour</t>
  </si>
  <si>
    <t>For screening curve plots</t>
  </si>
  <si>
    <t>Solar and wind costs</t>
  </si>
  <si>
    <t>1USD to Rs</t>
  </si>
  <si>
    <t>Capital cost adjusted (USD/kW)</t>
  </si>
  <si>
    <t>LCOE (USD/MWh)</t>
  </si>
  <si>
    <t>Average capacity factor</t>
  </si>
  <si>
    <t>LCOE (INR/kWh)</t>
  </si>
  <si>
    <t>Plant Life (years)</t>
  </si>
  <si>
    <t>Fixed O&amp;M Costs (USD/kW)</t>
  </si>
  <si>
    <t>Variable O&amp;M Costs (USD/kWh)</t>
  </si>
  <si>
    <t>Wind</t>
  </si>
  <si>
    <t>Solar PV</t>
  </si>
  <si>
    <t>These are average capacity factors from S0W400 and S400W0 generation profiles</t>
  </si>
  <si>
    <t>Capital cost adjusted (INR/kW)</t>
  </si>
  <si>
    <t>LNG (USD/MMBTU)</t>
  </si>
  <si>
    <t>(FERC - 5.57 landed in India - https://www.ferc.gov/market-oversight/mkt-gas/overview/ngas-ovr-lng-wld-pr-est.pdf)</t>
  </si>
  <si>
    <t>LNG (USD/GJ)</t>
  </si>
  <si>
    <t>Heat Rate (MJ/kWh) converted from Btu/kWh)</t>
  </si>
  <si>
    <t>coallc</t>
  </si>
  <si>
    <t>Coal Capital Cost (USD/kW)</t>
  </si>
  <si>
    <t>coalhc</t>
  </si>
  <si>
    <t>Coal Fuel Cost (USD/GJ)</t>
  </si>
  <si>
    <t>coalhvc</t>
  </si>
  <si>
    <t>coallvc</t>
  </si>
  <si>
    <t>CT Capital Cost (USD/kW)</t>
  </si>
  <si>
    <t>Gas Fuel Cost USD/GJ)</t>
  </si>
  <si>
    <t>ctlc</t>
  </si>
  <si>
    <t>cthc</t>
  </si>
  <si>
    <t>ccgtlc</t>
  </si>
  <si>
    <t>ccgthc</t>
  </si>
  <si>
    <t>gaslvc</t>
  </si>
  <si>
    <t>CCGT Capital Cost (USD/kW)</t>
  </si>
  <si>
    <t>gashvc</t>
  </si>
  <si>
    <t>scenario</t>
  </si>
  <si>
    <t>fuel_cost_coal</t>
  </si>
  <si>
    <t>disc_rate</t>
  </si>
  <si>
    <t>Discount Rate</t>
  </si>
  <si>
    <t>discr7</t>
  </si>
  <si>
    <t>discr10</t>
  </si>
  <si>
    <t>discr4</t>
  </si>
  <si>
    <t>crf</t>
  </si>
  <si>
    <t>Crossover points</t>
  </si>
  <si>
    <t>Crossover points - only CT and coal</t>
  </si>
  <si>
    <t>Screening Curves</t>
  </si>
  <si>
    <t>technology</t>
  </si>
  <si>
    <t>hour</t>
  </si>
  <si>
    <t>CT-LNG</t>
  </si>
  <si>
    <t>CCGT-LNG</t>
  </si>
  <si>
    <t>generator_cost_all</t>
  </si>
  <si>
    <t>cost_type</t>
  </si>
  <si>
    <t>ct</t>
  </si>
  <si>
    <t>ccgt</t>
  </si>
  <si>
    <t>wind</t>
  </si>
  <si>
    <t>solarPV</t>
  </si>
  <si>
    <t>capital</t>
  </si>
  <si>
    <t>om</t>
  </si>
  <si>
    <t>Total cost INR per kWh</t>
  </si>
  <si>
    <t>Fixed cost INR per kWh</t>
  </si>
  <si>
    <t>Only fixed costs USD/kW-y</t>
  </si>
  <si>
    <t>USD/kW</t>
  </si>
  <si>
    <t>USD/GJ</t>
  </si>
  <si>
    <t>Wind Capital Cost (USD/kW)</t>
  </si>
  <si>
    <t>W10lc</t>
  </si>
  <si>
    <t>W20lc</t>
  </si>
  <si>
    <t>W30lc</t>
  </si>
  <si>
    <t>Solar PV Capital Cost (USD/kW)</t>
  </si>
  <si>
    <t>S10lc</t>
  </si>
  <si>
    <t>S20lc</t>
  </si>
  <si>
    <t>S30lc</t>
  </si>
  <si>
    <t>Solar O&amp;M Cost (USD/kW-y)</t>
  </si>
  <si>
    <t>Wind O&amp;M Cost(USD/kW-y)</t>
  </si>
  <si>
    <t>scenario_coal_gas</t>
  </si>
  <si>
    <t>scenario_wind (blank for base)</t>
  </si>
  <si>
    <t>scenario_solar (blank for base)</t>
  </si>
  <si>
    <t>base</t>
  </si>
  <si>
    <t>scenario_battery (blank for base)</t>
  </si>
  <si>
    <t>Battery Capital Cost (USD/kW)</t>
  </si>
  <si>
    <t>B20lc</t>
  </si>
  <si>
    <t>battery</t>
  </si>
  <si>
    <t>Battery O&amp;M Cost (USD/kW-y)</t>
  </si>
  <si>
    <t>MAIN COST DATA</t>
  </si>
  <si>
    <t>parameter</t>
  </si>
  <si>
    <t>comment</t>
  </si>
  <si>
    <t>high_cost_coal</t>
  </si>
  <si>
    <t>hydro_low25p</t>
  </si>
  <si>
    <t>hydro_high25p</t>
  </si>
  <si>
    <t>nuclear64</t>
  </si>
  <si>
    <t>battery15</t>
  </si>
  <si>
    <t>battery30</t>
  </si>
  <si>
    <t>wind10LC</t>
  </si>
  <si>
    <t>wind20LC</t>
  </si>
  <si>
    <t>wind30LC</t>
  </si>
  <si>
    <t>solar10LC</t>
  </si>
  <si>
    <t>solar20LC</t>
  </si>
  <si>
    <t>solar30LC</t>
  </si>
  <si>
    <t>wind30LC_solar30LC</t>
  </si>
  <si>
    <t>wind120HH</t>
  </si>
  <si>
    <t>solar1A</t>
  </si>
  <si>
    <t>solar90deg</t>
  </si>
  <si>
    <t>load_modified</t>
  </si>
  <si>
    <t>scenario_suffix</t>
  </si>
  <si>
    <t>input</t>
  </si>
  <si>
    <t>suggested_scenario_suffix</t>
  </si>
  <si>
    <t>new_conventional_capacity_folder_suffix</t>
  </si>
  <si>
    <t>net_load_folder_suffix</t>
  </si>
  <si>
    <t>REvalue_folder_suffix</t>
  </si>
  <si>
    <t>generator_cost_suffix</t>
  </si>
  <si>
    <t>coal_cost</t>
  </si>
  <si>
    <t>low, mid, or high. Low is base.</t>
  </si>
  <si>
    <t>low</t>
  </si>
  <si>
    <t>high</t>
  </si>
  <si>
    <t>coal_cost_suffix</t>
  </si>
  <si>
    <t>coal_cost_fkey</t>
  </si>
  <si>
    <t>coal_min_gen</t>
  </si>
  <si>
    <t>percentage, 70p is base</t>
  </si>
  <si>
    <t>coal_min_gen_suffix</t>
  </si>
  <si>
    <t>hydro_energy_mod</t>
  </si>
  <si>
    <t>percentage, 0 is base, pos or neg direction</t>
  </si>
  <si>
    <t>hydro_energy_mod_suffix</t>
  </si>
  <si>
    <t>nuclear_new_cap</t>
  </si>
  <si>
    <t>GW. 0 is base. 64 GW is India plan</t>
  </si>
  <si>
    <t>nuclear_new_cap_suffix</t>
  </si>
  <si>
    <t>battery_cap_gw</t>
  </si>
  <si>
    <t>gw capacity. 0 is base</t>
  </si>
  <si>
    <t>battery_cap_gw_suffix</t>
  </si>
  <si>
    <t>battery_cap_gw_fkey</t>
  </si>
  <si>
    <t>wind_cost</t>
  </si>
  <si>
    <t>percentage change</t>
  </si>
  <si>
    <t>wind_cost_direction</t>
  </si>
  <si>
    <t>low or high</t>
  </si>
  <si>
    <t>wind_cost_suffix</t>
  </si>
  <si>
    <t>wind_cost_fkey</t>
  </si>
  <si>
    <t>solar_cost</t>
  </si>
  <si>
    <t>solar_cost_direction</t>
  </si>
  <si>
    <t>solar_cost_suffix</t>
  </si>
  <si>
    <t>solar_cost_fkey</t>
  </si>
  <si>
    <t>wind_HH</t>
  </si>
  <si>
    <t>Hub height in meters. 80m is base</t>
  </si>
  <si>
    <t>wind_HH_suffix</t>
  </si>
  <si>
    <t>wind_HH_fkey</t>
  </si>
  <si>
    <t>solar_orient</t>
  </si>
  <si>
    <t>degrees to west 0d, 45d, 90d or 1A for 1 axis tracking</t>
  </si>
  <si>
    <t>0d</t>
  </si>
  <si>
    <t>1A</t>
  </si>
  <si>
    <t>90d</t>
  </si>
  <si>
    <t>solar_orient_suffix</t>
  </si>
  <si>
    <t>solar_orient_fkey</t>
  </si>
  <si>
    <t>load_year</t>
  </si>
  <si>
    <t>load_year_suffix</t>
  </si>
  <si>
    <t>load_modifier</t>
  </si>
  <si>
    <t>"none", "mod", "mod1".</t>
  </si>
  <si>
    <t>none</t>
  </si>
  <si>
    <t>mod</t>
  </si>
  <si>
    <t>load_modified_suffix</t>
  </si>
  <si>
    <t>dispatch_horizon</t>
  </si>
  <si>
    <t>RT or LA. If LA, include days</t>
  </si>
  <si>
    <t>RT</t>
  </si>
  <si>
    <t>LA_days</t>
  </si>
  <si>
    <t>dispatch_time_suffix</t>
  </si>
  <si>
    <t>nolookahead</t>
  </si>
  <si>
    <t>no battery</t>
  </si>
  <si>
    <t>S200W00</t>
  </si>
  <si>
    <t>lookahead</t>
  </si>
  <si>
    <t>mins</t>
  </si>
  <si>
    <t>estimated time for 16 mixes and targets</t>
  </si>
  <si>
    <t>hours</t>
  </si>
  <si>
    <t>minutes</t>
  </si>
  <si>
    <t>run</t>
  </si>
  <si>
    <t>econ dispatch net load script</t>
  </si>
  <si>
    <t>econ dispatch script</t>
  </si>
  <si>
    <t>Simulations</t>
  </si>
  <si>
    <t>70min/55min</t>
  </si>
  <si>
    <t>gasLC/HC</t>
  </si>
  <si>
    <t>coalLC/HC</t>
  </si>
  <si>
    <t>stoBat30/60</t>
  </si>
  <si>
    <t>loadMod</t>
  </si>
  <si>
    <t>nuc0/64</t>
  </si>
  <si>
    <t>hydro0/HE25/LE25</t>
  </si>
  <si>
    <t>solar0/45/90/1A</t>
  </si>
  <si>
    <t>windLC10p/20p/30p</t>
  </si>
  <si>
    <t>wind80/100/120</t>
  </si>
  <si>
    <t>solarLC10p/20p/30p</t>
  </si>
  <si>
    <t>Energy value</t>
  </si>
  <si>
    <t>Capacity value</t>
  </si>
  <si>
    <t>Cost</t>
  </si>
  <si>
    <t>cost summary R script</t>
  </si>
  <si>
    <t>screening curve script</t>
  </si>
  <si>
    <t>net load script</t>
  </si>
  <si>
    <t>Solar 90deg West</t>
  </si>
  <si>
    <t>solar45deg</t>
  </si>
  <si>
    <t>Solar 45deg Southwest</t>
  </si>
  <si>
    <t>Solar 1axis tracking</t>
  </si>
  <si>
    <t>wind120</t>
  </si>
  <si>
    <t>Wind 120m HH</t>
  </si>
  <si>
    <t>wind100</t>
  </si>
  <si>
    <t>Wind 100m HH</t>
  </si>
  <si>
    <t>maybe</t>
  </si>
  <si>
    <t>2013 load</t>
  </si>
  <si>
    <t>2012 load</t>
  </si>
  <si>
    <t>loadMod2014</t>
  </si>
  <si>
    <t>Load shape change</t>
  </si>
  <si>
    <t>CANCEL?</t>
  </si>
  <si>
    <t>Discount rate 10% VRE costs</t>
  </si>
  <si>
    <t>Discount rate 10%</t>
  </si>
  <si>
    <t>Discount rate 4% VRE costs</t>
  </si>
  <si>
    <t>Discount rate 4%</t>
  </si>
  <si>
    <t>CANCEL; just compare DR to storage in text. Storage efficiency, which leads to additional energy for charging is akin to DR rebound whre consumption may increase in non-peak hours.</t>
  </si>
  <si>
    <t>Demand response 10% daily energy</t>
  </si>
  <si>
    <t>Demand response 5% daily energy</t>
  </si>
  <si>
    <t>that's 30% of solar 200 GW target</t>
  </si>
  <si>
    <t>input file with extension</t>
  </si>
  <si>
    <t>stoBat60</t>
  </si>
  <si>
    <t>Battery Storage 20% peak ~ 60 GW</t>
  </si>
  <si>
    <t>stoBat45</t>
  </si>
  <si>
    <t>Battery Storage 15% peak ~ 45 GW</t>
  </si>
  <si>
    <t>that's 15% of solar 200 GW target</t>
  </si>
  <si>
    <t>stoBat30</t>
  </si>
  <si>
    <t>Battery Storage 10% peak ~ 30 GW</t>
  </si>
  <si>
    <t>stoBat15</t>
  </si>
  <si>
    <t>Battery Storage 5% peak ~ 15 GW</t>
  </si>
  <si>
    <t>I don't have capacity costs for nuclear. Can only determine energy value</t>
  </si>
  <si>
    <t>nuc64</t>
  </si>
  <si>
    <t>Nuclear 64 GW</t>
  </si>
  <si>
    <t>low energy</t>
  </si>
  <si>
    <t>hydroLE25p</t>
  </si>
  <si>
    <t>Hydro 25% higher</t>
  </si>
  <si>
    <t>high energy</t>
  </si>
  <si>
    <t>hydroHE25p</t>
  </si>
  <si>
    <t>Hydro 25% lower</t>
  </si>
  <si>
    <t>R script</t>
  </si>
  <si>
    <t>windLC20p</t>
  </si>
  <si>
    <t>Wind lower costs 20%</t>
  </si>
  <si>
    <t>windLC10p</t>
  </si>
  <si>
    <t>Wind lower costs 10%</t>
  </si>
  <si>
    <t>solarLC20p</t>
  </si>
  <si>
    <t>Solar lower costs 20%</t>
  </si>
  <si>
    <t>solarLC10p</t>
  </si>
  <si>
    <t>Solar lower costs 10%</t>
  </si>
  <si>
    <t>55min</t>
  </si>
  <si>
    <t>Minimum gen level 55%</t>
  </si>
  <si>
    <t>add FGD and other adders from CEA report</t>
  </si>
  <si>
    <t>screening curve</t>
  </si>
  <si>
    <t>coalHC</t>
  </si>
  <si>
    <t>High Cost Coal</t>
  </si>
  <si>
    <t>coalLC</t>
  </si>
  <si>
    <t>Low Cost Coal</t>
  </si>
  <si>
    <t>Discount rate 7%, Min gen level 70%</t>
  </si>
  <si>
    <t>Base case</t>
  </si>
  <si>
    <t>Sensitivities</t>
  </si>
  <si>
    <t>S100 - W0</t>
  </si>
  <si>
    <t>S75 - W25</t>
  </si>
  <si>
    <t>S50 - W50</t>
  </si>
  <si>
    <t>S25 - W75</t>
  </si>
  <si>
    <t>S0 - W100</t>
  </si>
  <si>
    <t>S0 - W0</t>
  </si>
  <si>
    <t>Base</t>
  </si>
  <si>
    <t>method</t>
  </si>
  <si>
    <t>scenario abbreviation</t>
  </si>
  <si>
    <t>Exogenous to models</t>
  </si>
  <si>
    <t>System operations</t>
  </si>
  <si>
    <t>Capacity expansion</t>
  </si>
  <si>
    <t>VRE Buildout share</t>
  </si>
  <si>
    <t>VRE Buildout Capacity</t>
  </si>
  <si>
    <t>Scenarios</t>
  </si>
  <si>
    <t>Scenarios and sensitivities</t>
  </si>
  <si>
    <t>scenario (generator_cost_suffix)</t>
  </si>
  <si>
    <t>net load</t>
  </si>
  <si>
    <t>screening curves</t>
  </si>
  <si>
    <t>economic dispatch</t>
  </si>
  <si>
    <t>wind profiles</t>
  </si>
  <si>
    <t>solar profiles</t>
  </si>
  <si>
    <t>done</t>
  </si>
  <si>
    <t>coal_55mingen</t>
  </si>
  <si>
    <t>economic_dispatch_folder_suffix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</si>
</sst>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"/>
    <numFmt numFmtId="165" formatCode="0.0"/>
    <numFmt numFmtId="166" formatCode="0.0000"/>
    <numFmt numFmtId="167" formatCode="0.0%"/>
    <numFmt numFmtId="168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2" fillId="0" borderId="0" xfId="0" applyFont="1"/>
    <xf numFmtId="10" fontId="0" fillId="0" borderId="0" xfId="0" applyNumberFormat="1"/>
    <xf numFmtId="164" fontId="3" fillId="0" borderId="0" xfId="0" applyNumberFormat="1" applyFont="1" applyFill="1" applyBorder="1" applyAlignment="1">
      <alignment horizontal="right"/>
    </xf>
    <xf numFmtId="10" fontId="2" fillId="0" borderId="0" xfId="0" applyNumberFormat="1" applyFont="1"/>
    <xf numFmtId="9" fontId="0" fillId="0" borderId="0" xfId="1" applyFont="1"/>
    <xf numFmtId="167" fontId="0" fillId="0" borderId="0" xfId="1" applyNumberFormat="1" applyFont="1"/>
    <xf numFmtId="0" fontId="0" fillId="0" borderId="0" xfId="0" applyAlignment="1">
      <alignment wrapText="1"/>
    </xf>
    <xf numFmtId="1" fontId="2" fillId="0" borderId="0" xfId="0" applyNumberFormat="1" applyFont="1"/>
    <xf numFmtId="1" fontId="0" fillId="0" borderId="0" xfId="0" applyNumberFormat="1" applyFont="1"/>
    <xf numFmtId="168" fontId="3" fillId="0" borderId="0" xfId="2" applyNumberFormat="1" applyFont="1" applyFill="1" applyBorder="1" applyAlignment="1">
      <alignment horizontal="right"/>
    </xf>
    <xf numFmtId="168" fontId="0" fillId="0" borderId="0" xfId="2" applyNumberFormat="1" applyFont="1" applyBorder="1" applyAlignment="1">
      <alignment horizontal="right"/>
    </xf>
    <xf numFmtId="10" fontId="3" fillId="0" borderId="0" xfId="0" applyNumberFormat="1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1"/>
  <sheetViews>
    <sheetView tabSelected="1" workbookViewId="0">
      <pane xSplit="1" ySplit="8" topLeftCell="B9" activePane="bottomRight" state="frozen"/>
      <selection pane="topRight" activeCell="B1" sqref="B1"/>
      <selection pane="bottomLeft" activeCell="A8" sqref="A8"/>
      <selection pane="bottomRight" activeCell="D9" sqref="D9"/>
    </sheetView>
  </sheetViews>
  <sheetFormatPr defaultRowHeight="15" x14ac:dyDescent="0.25"/>
  <cols>
    <col min="1" max="1" width="39" bestFit="1" customWidth="1"/>
    <col min="2" max="2" width="39" customWidth="1"/>
    <col min="3" max="3" width="13.140625" bestFit="1" customWidth="1"/>
    <col min="4" max="4" width="14.140625" bestFit="1" customWidth="1"/>
    <col min="5" max="5" width="13.140625" bestFit="1" customWidth="1"/>
    <col min="6" max="6" width="13.7109375" bestFit="1" customWidth="1"/>
    <col min="7" max="7" width="14.28515625" bestFit="1" customWidth="1"/>
    <col min="8" max="14" width="13.140625" bestFit="1" customWidth="1"/>
    <col min="15" max="16" width="12.85546875" bestFit="1" customWidth="1"/>
    <col min="17" max="17" width="19" bestFit="1" customWidth="1"/>
    <col min="18" max="18" width="13.42578125" bestFit="1" customWidth="1"/>
    <col min="19" max="19" width="11.7109375" bestFit="1" customWidth="1"/>
    <col min="20" max="21" width="13.140625" bestFit="1" customWidth="1"/>
  </cols>
  <sheetData>
    <row r="1" spans="1:21" x14ac:dyDescent="0.25">
      <c r="A1" t="s">
        <v>230</v>
      </c>
      <c r="B1" t="s">
        <v>231</v>
      </c>
      <c r="C1" t="s">
        <v>223</v>
      </c>
      <c r="D1" t="s">
        <v>232</v>
      </c>
      <c r="E1" t="s">
        <v>421</v>
      </c>
      <c r="F1" t="s">
        <v>233</v>
      </c>
      <c r="G1" t="s">
        <v>234</v>
      </c>
      <c r="H1" t="s">
        <v>235</v>
      </c>
      <c r="I1" t="s">
        <v>236</v>
      </c>
      <c r="J1" t="s">
        <v>237</v>
      </c>
      <c r="K1" t="s">
        <v>238</v>
      </c>
      <c r="L1" t="s">
        <v>239</v>
      </c>
      <c r="M1" t="s">
        <v>240</v>
      </c>
      <c r="N1" t="s">
        <v>241</v>
      </c>
      <c r="O1" t="s">
        <v>242</v>
      </c>
      <c r="P1" t="s">
        <v>243</v>
      </c>
      <c r="Q1" t="s">
        <v>244</v>
      </c>
      <c r="R1" t="s">
        <v>245</v>
      </c>
      <c r="S1" t="s">
        <v>246</v>
      </c>
      <c r="T1" t="s">
        <v>247</v>
      </c>
      <c r="U1" t="s">
        <v>248</v>
      </c>
    </row>
    <row r="2" spans="1:21" x14ac:dyDescent="0.25">
      <c r="A2" s="21" t="s">
        <v>249</v>
      </c>
      <c r="B2" s="21" t="s">
        <v>250</v>
      </c>
      <c r="C2" s="21" t="str">
        <f>C3</f>
        <v>ClcC70m</v>
      </c>
      <c r="D2" s="21" t="str">
        <f>D3</f>
        <v>ChcC70m</v>
      </c>
      <c r="E2" s="21" t="str">
        <f t="shared" ref="E2:U2" si="0">E3</f>
        <v>ClcC55m</v>
      </c>
      <c r="F2" s="21" t="str">
        <f t="shared" si="0"/>
        <v>ClcC70mH-25</v>
      </c>
      <c r="G2" s="21" t="str">
        <f t="shared" si="0"/>
        <v>ClcC70mH25</v>
      </c>
      <c r="H2" s="21" t="str">
        <f t="shared" si="0"/>
        <v>ClcC70mN64</v>
      </c>
      <c r="I2" s="21" t="str">
        <f t="shared" si="0"/>
        <v>ClcC70mB15</v>
      </c>
      <c r="J2" s="21" t="str">
        <f t="shared" si="0"/>
        <v>ClcC70mB30</v>
      </c>
      <c r="K2" s="21" t="str">
        <f t="shared" si="0"/>
        <v>ClcC70mW10lc</v>
      </c>
      <c r="L2" s="21" t="str">
        <f t="shared" si="0"/>
        <v>ClcC70mW20lc</v>
      </c>
      <c r="M2" s="21" t="str">
        <f t="shared" si="0"/>
        <v>ClcC70mW30lc</v>
      </c>
      <c r="N2" s="21" t="str">
        <f t="shared" si="0"/>
        <v>ClcC70mS10lc</v>
      </c>
      <c r="O2" s="21" t="str">
        <f t="shared" si="0"/>
        <v>ClcC70mS20lc</v>
      </c>
      <c r="P2" s="21" t="str">
        <f t="shared" si="0"/>
        <v>ClcC70mS30lc</v>
      </c>
      <c r="Q2" s="21" t="str">
        <f t="shared" si="0"/>
        <v>ClcC70mW30lcS30lc</v>
      </c>
      <c r="R2" s="21" t="str">
        <f t="shared" si="0"/>
        <v>ClcC70mW120</v>
      </c>
      <c r="S2" s="21" t="str">
        <f t="shared" si="0"/>
        <v>ClcC70mS1A</v>
      </c>
      <c r="T2" s="21" t="str">
        <f t="shared" si="0"/>
        <v>ClcC70mS90d</v>
      </c>
      <c r="U2" s="21" t="str">
        <f t="shared" si="0"/>
        <v>ClcC70mLmod</v>
      </c>
    </row>
    <row r="3" spans="1:21" x14ac:dyDescent="0.25">
      <c r="A3" t="s">
        <v>251</v>
      </c>
      <c r="C3" t="str">
        <f t="shared" ref="C3:U3" si="1">CONCATENATE(C10,C13,C15,C17,C19,C23,C27,C30,C33,C36,C38,C41)</f>
        <v>ClcC70m</v>
      </c>
      <c r="D3" t="str">
        <f t="shared" si="1"/>
        <v>ChcC70m</v>
      </c>
      <c r="E3" t="str">
        <f t="shared" si="1"/>
        <v>ClcC55m</v>
      </c>
      <c r="F3" t="str">
        <f t="shared" si="1"/>
        <v>ClcC70mH-25</v>
      </c>
      <c r="G3" t="str">
        <f t="shared" si="1"/>
        <v>ClcC70mH25</v>
      </c>
      <c r="H3" t="str">
        <f t="shared" si="1"/>
        <v>ClcC70mN64</v>
      </c>
      <c r="I3" t="str">
        <f t="shared" si="1"/>
        <v>ClcC70mB15</v>
      </c>
      <c r="J3" t="str">
        <f t="shared" si="1"/>
        <v>ClcC70mB30</v>
      </c>
      <c r="K3" t="str">
        <f t="shared" si="1"/>
        <v>ClcC70mW10lc</v>
      </c>
      <c r="L3" t="str">
        <f t="shared" si="1"/>
        <v>ClcC70mW20lc</v>
      </c>
      <c r="M3" t="str">
        <f t="shared" si="1"/>
        <v>ClcC70mW30lc</v>
      </c>
      <c r="N3" t="str">
        <f t="shared" si="1"/>
        <v>ClcC70mS10lc</v>
      </c>
      <c r="O3" t="str">
        <f t="shared" si="1"/>
        <v>ClcC70mS20lc</v>
      </c>
      <c r="P3" t="str">
        <f t="shared" si="1"/>
        <v>ClcC70mS30lc</v>
      </c>
      <c r="Q3" t="str">
        <f t="shared" si="1"/>
        <v>ClcC70mW30lcS30lc</v>
      </c>
      <c r="R3" t="str">
        <f t="shared" si="1"/>
        <v>ClcC70mW120</v>
      </c>
      <c r="S3" t="str">
        <f t="shared" si="1"/>
        <v>ClcC70mS1A</v>
      </c>
      <c r="T3" t="str">
        <f t="shared" si="1"/>
        <v>ClcC70mS90d</v>
      </c>
      <c r="U3" t="str">
        <f t="shared" si="1"/>
        <v>ClcC70mLmod</v>
      </c>
    </row>
    <row r="4" spans="1:21" x14ac:dyDescent="0.25">
      <c r="A4" t="s">
        <v>422</v>
      </c>
      <c r="C4" t="str">
        <f>CONCATENATE(C10,C13,C15,C17,C19,C30,C33,C36,C38,C41)</f>
        <v>ClcC70m</v>
      </c>
      <c r="D4" t="str">
        <f t="shared" ref="D4:U4" si="2">CONCATENATE(D10,D13,D15,D17,D19,D30,D33,D36,D38,D41)</f>
        <v>ChcC70m</v>
      </c>
      <c r="E4" t="str">
        <f t="shared" si="2"/>
        <v>ClcC55m</v>
      </c>
      <c r="F4" t="str">
        <f t="shared" si="2"/>
        <v>ClcC70mH-25</v>
      </c>
      <c r="G4" t="str">
        <f t="shared" si="2"/>
        <v>ClcC70mH25</v>
      </c>
      <c r="H4" t="str">
        <f t="shared" si="2"/>
        <v>ClcC70mN64</v>
      </c>
      <c r="I4" t="str">
        <f t="shared" si="2"/>
        <v>ClcC70mB15</v>
      </c>
      <c r="J4" t="str">
        <f t="shared" si="2"/>
        <v>ClcC70mB30</v>
      </c>
      <c r="K4" t="str">
        <f t="shared" si="2"/>
        <v>ClcC70m</v>
      </c>
      <c r="L4" t="str">
        <f t="shared" si="2"/>
        <v>ClcC70m</v>
      </c>
      <c r="M4" t="str">
        <f t="shared" si="2"/>
        <v>ClcC70m</v>
      </c>
      <c r="N4" t="str">
        <f t="shared" si="2"/>
        <v>ClcC70m</v>
      </c>
      <c r="O4" t="str">
        <f t="shared" si="2"/>
        <v>ClcC70m</v>
      </c>
      <c r="P4" t="str">
        <f t="shared" si="2"/>
        <v>ClcC70m</v>
      </c>
      <c r="Q4" t="str">
        <f t="shared" si="2"/>
        <v>ClcC70m</v>
      </c>
      <c r="R4" t="str">
        <f t="shared" si="2"/>
        <v>ClcC70mW120</v>
      </c>
      <c r="S4" t="str">
        <f t="shared" si="2"/>
        <v>ClcC70mS1A</v>
      </c>
      <c r="T4" t="str">
        <f t="shared" si="2"/>
        <v>ClcC70mS90d</v>
      </c>
      <c r="U4" t="str">
        <f t="shared" si="2"/>
        <v>ClcC70mLmod</v>
      </c>
    </row>
    <row r="5" spans="1:21" x14ac:dyDescent="0.25">
      <c r="A5" t="s">
        <v>252</v>
      </c>
      <c r="C5" t="str">
        <f t="shared" ref="C5:U5" si="3">CONCATENATE(C11,C15,C17,C19,C30,C33,C36,C38,C41)</f>
        <v>coallc</v>
      </c>
      <c r="D5" t="str">
        <f t="shared" si="3"/>
        <v>coalhc</v>
      </c>
      <c r="E5" t="str">
        <f t="shared" si="3"/>
        <v>coallc</v>
      </c>
      <c r="F5" t="str">
        <f t="shared" si="3"/>
        <v>coallcH-25</v>
      </c>
      <c r="G5" t="str">
        <f t="shared" si="3"/>
        <v>coallcH25</v>
      </c>
      <c r="H5" t="str">
        <f t="shared" si="3"/>
        <v>coallcN64</v>
      </c>
      <c r="I5" t="str">
        <f t="shared" si="3"/>
        <v>coallcB15</v>
      </c>
      <c r="J5" t="str">
        <f t="shared" si="3"/>
        <v>coallcB30</v>
      </c>
      <c r="K5" t="str">
        <f t="shared" si="3"/>
        <v>coallc</v>
      </c>
      <c r="L5" t="str">
        <f t="shared" si="3"/>
        <v>coallc</v>
      </c>
      <c r="M5" t="str">
        <f t="shared" si="3"/>
        <v>coallc</v>
      </c>
      <c r="N5" t="str">
        <f t="shared" si="3"/>
        <v>coallc</v>
      </c>
      <c r="O5" t="str">
        <f t="shared" si="3"/>
        <v>coallc</v>
      </c>
      <c r="P5" t="str">
        <f t="shared" si="3"/>
        <v>coallc</v>
      </c>
      <c r="Q5" t="str">
        <f t="shared" si="3"/>
        <v>coallc</v>
      </c>
      <c r="R5" t="str">
        <f t="shared" si="3"/>
        <v>coallcW120</v>
      </c>
      <c r="S5" t="str">
        <f t="shared" si="3"/>
        <v>coallcS1A</v>
      </c>
      <c r="T5" t="str">
        <f t="shared" si="3"/>
        <v>coallcS90d</v>
      </c>
      <c r="U5" t="str">
        <f t="shared" si="3"/>
        <v>coallcLmod</v>
      </c>
    </row>
    <row r="6" spans="1:21" x14ac:dyDescent="0.25">
      <c r="A6" t="s">
        <v>253</v>
      </c>
      <c r="C6" t="str">
        <f t="shared" ref="C6:U6" si="4">CONCATENATE(C11,C15,C17,C19,C30,C33,C36,C38,C41)</f>
        <v>coallc</v>
      </c>
      <c r="D6" t="str">
        <f t="shared" si="4"/>
        <v>coalhc</v>
      </c>
      <c r="E6" t="str">
        <f t="shared" si="4"/>
        <v>coallc</v>
      </c>
      <c r="F6" t="str">
        <f t="shared" si="4"/>
        <v>coallcH-25</v>
      </c>
      <c r="G6" t="str">
        <f t="shared" si="4"/>
        <v>coallcH25</v>
      </c>
      <c r="H6" t="str">
        <f t="shared" si="4"/>
        <v>coallcN64</v>
      </c>
      <c r="I6" t="str">
        <f t="shared" si="4"/>
        <v>coallcB15</v>
      </c>
      <c r="J6" t="str">
        <f t="shared" si="4"/>
        <v>coallcB30</v>
      </c>
      <c r="K6" t="str">
        <f t="shared" si="4"/>
        <v>coallc</v>
      </c>
      <c r="L6" t="str">
        <f t="shared" si="4"/>
        <v>coallc</v>
      </c>
      <c r="M6" t="str">
        <f t="shared" si="4"/>
        <v>coallc</v>
      </c>
      <c r="N6" t="str">
        <f t="shared" si="4"/>
        <v>coallc</v>
      </c>
      <c r="O6" t="str">
        <f t="shared" si="4"/>
        <v>coallc</v>
      </c>
      <c r="P6" t="str">
        <f t="shared" si="4"/>
        <v>coallc</v>
      </c>
      <c r="Q6" t="str">
        <f t="shared" si="4"/>
        <v>coallc</v>
      </c>
      <c r="R6" t="str">
        <f t="shared" si="4"/>
        <v>coallcW120</v>
      </c>
      <c r="S6" t="str">
        <f t="shared" si="4"/>
        <v>coallcS1A</v>
      </c>
      <c r="T6" t="str">
        <f t="shared" si="4"/>
        <v>coallcS90d</v>
      </c>
      <c r="U6" t="str">
        <f t="shared" si="4"/>
        <v>coallcLmod</v>
      </c>
    </row>
    <row r="7" spans="1:21" x14ac:dyDescent="0.25">
      <c r="A7" t="s">
        <v>254</v>
      </c>
      <c r="C7" t="str">
        <f t="shared" ref="C7:U7" si="5">CONCATENATE(C31,"_",C34)</f>
        <v>W80_S0d</v>
      </c>
      <c r="D7" t="str">
        <f t="shared" si="5"/>
        <v>W80_S0d</v>
      </c>
      <c r="E7" t="str">
        <f t="shared" si="5"/>
        <v>W80_S0d</v>
      </c>
      <c r="F7" t="str">
        <f t="shared" si="5"/>
        <v>W80_S0d</v>
      </c>
      <c r="G7" t="str">
        <f t="shared" si="5"/>
        <v>W80_S0d</v>
      </c>
      <c r="H7" t="str">
        <f t="shared" si="5"/>
        <v>W80_S0d</v>
      </c>
      <c r="I7" t="str">
        <f t="shared" si="5"/>
        <v>W80_S0d</v>
      </c>
      <c r="J7" t="str">
        <f t="shared" si="5"/>
        <v>W80_S0d</v>
      </c>
      <c r="K7" t="str">
        <f t="shared" si="5"/>
        <v>W80_S0d</v>
      </c>
      <c r="L7" t="str">
        <f t="shared" si="5"/>
        <v>W80_S0d</v>
      </c>
      <c r="M7" t="str">
        <f t="shared" si="5"/>
        <v>W80_S0d</v>
      </c>
      <c r="N7" t="str">
        <f t="shared" si="5"/>
        <v>W80_S0d</v>
      </c>
      <c r="O7" t="str">
        <f t="shared" si="5"/>
        <v>W80_S0d</v>
      </c>
      <c r="P7" t="str">
        <f t="shared" si="5"/>
        <v>W80_S0d</v>
      </c>
      <c r="Q7" t="str">
        <f t="shared" si="5"/>
        <v>W80_S0d</v>
      </c>
      <c r="R7" t="str">
        <f t="shared" si="5"/>
        <v>W120_S0d</v>
      </c>
      <c r="S7" t="str">
        <f t="shared" si="5"/>
        <v>W80_S1A</v>
      </c>
      <c r="T7" t="str">
        <f t="shared" si="5"/>
        <v>W80_S90d</v>
      </c>
      <c r="U7" t="str">
        <f t="shared" si="5"/>
        <v>W80_S0d</v>
      </c>
    </row>
    <row r="8" spans="1:21" x14ac:dyDescent="0.25">
      <c r="A8" t="s">
        <v>255</v>
      </c>
      <c r="C8" t="str">
        <f>CONCATENATE(C11,C23,C27)</f>
        <v>coallc</v>
      </c>
      <c r="D8" t="str">
        <f t="shared" ref="D8:U8" si="6">CONCATENATE(D11,D23,D27)</f>
        <v>coalhc</v>
      </c>
      <c r="E8" t="str">
        <f t="shared" si="6"/>
        <v>coallc</v>
      </c>
      <c r="F8" t="str">
        <f t="shared" si="6"/>
        <v>coallc</v>
      </c>
      <c r="G8" t="str">
        <f t="shared" si="6"/>
        <v>coallc</v>
      </c>
      <c r="H8" t="str">
        <f t="shared" si="6"/>
        <v>coallc</v>
      </c>
      <c r="I8" t="str">
        <f t="shared" si="6"/>
        <v>coallc</v>
      </c>
      <c r="J8" t="str">
        <f t="shared" si="6"/>
        <v>coallc</v>
      </c>
      <c r="K8" t="str">
        <f t="shared" si="6"/>
        <v>coallcW10lc</v>
      </c>
      <c r="L8" t="str">
        <f t="shared" si="6"/>
        <v>coallcW20lc</v>
      </c>
      <c r="M8" t="str">
        <f t="shared" si="6"/>
        <v>coallcW30lc</v>
      </c>
      <c r="N8" t="str">
        <f t="shared" si="6"/>
        <v>coallcS10lc</v>
      </c>
      <c r="O8" t="str">
        <f t="shared" si="6"/>
        <v>coallcS20lc</v>
      </c>
      <c r="P8" t="str">
        <f t="shared" si="6"/>
        <v>coallcS30lc</v>
      </c>
      <c r="Q8" t="str">
        <f t="shared" si="6"/>
        <v>coallcW30lcS30lc</v>
      </c>
      <c r="R8" t="str">
        <f t="shared" si="6"/>
        <v>coallc</v>
      </c>
      <c r="S8" t="str">
        <f t="shared" si="6"/>
        <v>coallc</v>
      </c>
      <c r="T8" t="str">
        <f t="shared" si="6"/>
        <v>coallc</v>
      </c>
      <c r="U8" t="str">
        <f t="shared" si="6"/>
        <v>coallc</v>
      </c>
    </row>
    <row r="9" spans="1:21" x14ac:dyDescent="0.25">
      <c r="A9" s="21" t="s">
        <v>256</v>
      </c>
      <c r="B9" s="21" t="s">
        <v>257</v>
      </c>
      <c r="C9" s="21" t="s">
        <v>258</v>
      </c>
      <c r="D9" s="21" t="s">
        <v>259</v>
      </c>
      <c r="E9" s="21" t="s">
        <v>258</v>
      </c>
      <c r="F9" s="21" t="s">
        <v>258</v>
      </c>
      <c r="G9" s="21" t="s">
        <v>258</v>
      </c>
      <c r="H9" s="21" t="s">
        <v>258</v>
      </c>
      <c r="I9" s="21" t="s">
        <v>258</v>
      </c>
      <c r="J9" s="21" t="s">
        <v>258</v>
      </c>
      <c r="K9" s="21" t="s">
        <v>258</v>
      </c>
      <c r="L9" s="21" t="s">
        <v>258</v>
      </c>
      <c r="M9" s="21" t="s">
        <v>258</v>
      </c>
      <c r="N9" s="21" t="s">
        <v>258</v>
      </c>
      <c r="O9" s="21" t="s">
        <v>258</v>
      </c>
      <c r="P9" s="21" t="s">
        <v>258</v>
      </c>
      <c r="Q9" s="21" t="s">
        <v>258</v>
      </c>
      <c r="R9" s="21" t="s">
        <v>258</v>
      </c>
      <c r="S9" s="21" t="s">
        <v>258</v>
      </c>
      <c r="T9" s="21" t="s">
        <v>258</v>
      </c>
      <c r="U9" s="21" t="s">
        <v>258</v>
      </c>
    </row>
    <row r="10" spans="1:21" x14ac:dyDescent="0.25">
      <c r="A10" t="s">
        <v>260</v>
      </c>
      <c r="C10" t="str">
        <f>CONCATENATE("C", LEFT(C9,1), "c")</f>
        <v>Clc</v>
      </c>
      <c r="D10" t="str">
        <f t="shared" ref="D10:U10" si="7">CONCATENATE("C", LEFT(D9,1), "c")</f>
        <v>Chc</v>
      </c>
      <c r="E10" t="str">
        <f t="shared" si="7"/>
        <v>Clc</v>
      </c>
      <c r="F10" t="str">
        <f t="shared" si="7"/>
        <v>Clc</v>
      </c>
      <c r="G10" t="str">
        <f t="shared" si="7"/>
        <v>Clc</v>
      </c>
      <c r="H10" t="str">
        <f t="shared" si="7"/>
        <v>Clc</v>
      </c>
      <c r="I10" t="str">
        <f t="shared" si="7"/>
        <v>Clc</v>
      </c>
      <c r="J10" t="str">
        <f t="shared" si="7"/>
        <v>Clc</v>
      </c>
      <c r="K10" t="str">
        <f t="shared" si="7"/>
        <v>Clc</v>
      </c>
      <c r="L10" t="str">
        <f t="shared" si="7"/>
        <v>Clc</v>
      </c>
      <c r="M10" t="str">
        <f t="shared" si="7"/>
        <v>Clc</v>
      </c>
      <c r="N10" t="str">
        <f t="shared" si="7"/>
        <v>Clc</v>
      </c>
      <c r="O10" t="str">
        <f t="shared" si="7"/>
        <v>Clc</v>
      </c>
      <c r="P10" t="str">
        <f t="shared" si="7"/>
        <v>Clc</v>
      </c>
      <c r="Q10" t="str">
        <f t="shared" si="7"/>
        <v>Clc</v>
      </c>
      <c r="R10" t="str">
        <f t="shared" si="7"/>
        <v>Clc</v>
      </c>
      <c r="S10" t="str">
        <f t="shared" si="7"/>
        <v>Clc</v>
      </c>
      <c r="T10" t="str">
        <f t="shared" si="7"/>
        <v>Clc</v>
      </c>
      <c r="U10" t="str">
        <f t="shared" si="7"/>
        <v>Clc</v>
      </c>
    </row>
    <row r="11" spans="1:21" x14ac:dyDescent="0.25">
      <c r="A11" t="s">
        <v>261</v>
      </c>
      <c r="C11" t="str">
        <f t="shared" ref="C11:U11" si="8">CONCATENATE("coal",LEFT(C9,1), "c")</f>
        <v>coallc</v>
      </c>
      <c r="D11" t="str">
        <f t="shared" si="8"/>
        <v>coalhc</v>
      </c>
      <c r="E11" t="str">
        <f t="shared" si="8"/>
        <v>coallc</v>
      </c>
      <c r="F11" t="str">
        <f t="shared" si="8"/>
        <v>coallc</v>
      </c>
      <c r="G11" t="str">
        <f t="shared" si="8"/>
        <v>coallc</v>
      </c>
      <c r="H11" t="str">
        <f t="shared" si="8"/>
        <v>coallc</v>
      </c>
      <c r="I11" t="str">
        <f t="shared" si="8"/>
        <v>coallc</v>
      </c>
      <c r="J11" t="str">
        <f t="shared" si="8"/>
        <v>coallc</v>
      </c>
      <c r="K11" t="str">
        <f t="shared" si="8"/>
        <v>coallc</v>
      </c>
      <c r="L11" t="str">
        <f t="shared" si="8"/>
        <v>coallc</v>
      </c>
      <c r="M11" t="str">
        <f t="shared" si="8"/>
        <v>coallc</v>
      </c>
      <c r="N11" t="str">
        <f t="shared" si="8"/>
        <v>coallc</v>
      </c>
      <c r="O11" t="str">
        <f t="shared" si="8"/>
        <v>coallc</v>
      </c>
      <c r="P11" t="str">
        <f t="shared" si="8"/>
        <v>coallc</v>
      </c>
      <c r="Q11" t="str">
        <f t="shared" si="8"/>
        <v>coallc</v>
      </c>
      <c r="R11" t="str">
        <f t="shared" si="8"/>
        <v>coallc</v>
      </c>
      <c r="S11" t="str">
        <f t="shared" si="8"/>
        <v>coallc</v>
      </c>
      <c r="T11" t="str">
        <f t="shared" si="8"/>
        <v>coallc</v>
      </c>
      <c r="U11" t="str">
        <f t="shared" si="8"/>
        <v>coallc</v>
      </c>
    </row>
    <row r="12" spans="1:21" x14ac:dyDescent="0.25">
      <c r="A12" s="21" t="s">
        <v>262</v>
      </c>
      <c r="B12" s="21" t="s">
        <v>263</v>
      </c>
      <c r="C12" s="21">
        <v>70</v>
      </c>
      <c r="D12" s="21">
        <v>70</v>
      </c>
      <c r="E12" s="21">
        <v>55</v>
      </c>
      <c r="F12" s="21">
        <v>70</v>
      </c>
      <c r="G12" s="21">
        <v>70</v>
      </c>
      <c r="H12" s="21">
        <v>70</v>
      </c>
      <c r="I12" s="21">
        <v>70</v>
      </c>
      <c r="J12" s="21">
        <v>70</v>
      </c>
      <c r="K12" s="21">
        <v>70</v>
      </c>
      <c r="L12" s="21">
        <v>70</v>
      </c>
      <c r="M12" s="21">
        <v>70</v>
      </c>
      <c r="N12" s="21">
        <v>70</v>
      </c>
      <c r="O12" s="21">
        <v>70</v>
      </c>
      <c r="P12" s="21">
        <v>70</v>
      </c>
      <c r="Q12" s="21">
        <v>70</v>
      </c>
      <c r="R12" s="21">
        <v>70</v>
      </c>
      <c r="S12" s="21">
        <v>70</v>
      </c>
      <c r="T12" s="21">
        <v>70</v>
      </c>
      <c r="U12" s="21">
        <v>70</v>
      </c>
    </row>
    <row r="13" spans="1:21" x14ac:dyDescent="0.25">
      <c r="A13" t="s">
        <v>264</v>
      </c>
      <c r="C13" t="str">
        <f>CONCATENATE("C",C12,"m")</f>
        <v>C70m</v>
      </c>
      <c r="D13" t="str">
        <f t="shared" ref="D13:U13" si="9">CONCATENATE("C",D12,"m")</f>
        <v>C70m</v>
      </c>
      <c r="E13" t="str">
        <f t="shared" si="9"/>
        <v>C55m</v>
      </c>
      <c r="F13" t="str">
        <f t="shared" si="9"/>
        <v>C70m</v>
      </c>
      <c r="G13" t="str">
        <f t="shared" si="9"/>
        <v>C70m</v>
      </c>
      <c r="H13" t="str">
        <f t="shared" si="9"/>
        <v>C70m</v>
      </c>
      <c r="I13" t="str">
        <f t="shared" si="9"/>
        <v>C70m</v>
      </c>
      <c r="J13" t="str">
        <f t="shared" si="9"/>
        <v>C70m</v>
      </c>
      <c r="K13" t="str">
        <f t="shared" si="9"/>
        <v>C70m</v>
      </c>
      <c r="L13" t="str">
        <f t="shared" si="9"/>
        <v>C70m</v>
      </c>
      <c r="M13" t="str">
        <f t="shared" si="9"/>
        <v>C70m</v>
      </c>
      <c r="N13" t="str">
        <f t="shared" si="9"/>
        <v>C70m</v>
      </c>
      <c r="O13" t="str">
        <f t="shared" si="9"/>
        <v>C70m</v>
      </c>
      <c r="P13" t="str">
        <f t="shared" si="9"/>
        <v>C70m</v>
      </c>
      <c r="Q13" t="str">
        <f t="shared" si="9"/>
        <v>C70m</v>
      </c>
      <c r="R13" t="str">
        <f t="shared" si="9"/>
        <v>C70m</v>
      </c>
      <c r="S13" t="str">
        <f t="shared" si="9"/>
        <v>C70m</v>
      </c>
      <c r="T13" t="str">
        <f t="shared" si="9"/>
        <v>C70m</v>
      </c>
      <c r="U13" t="str">
        <f t="shared" si="9"/>
        <v>C70m</v>
      </c>
    </row>
    <row r="14" spans="1:21" x14ac:dyDescent="0.25">
      <c r="A14" s="21" t="s">
        <v>265</v>
      </c>
      <c r="B14" s="21" t="s">
        <v>266</v>
      </c>
      <c r="C14" s="21">
        <v>0</v>
      </c>
      <c r="D14" s="21">
        <v>0</v>
      </c>
      <c r="E14" s="21">
        <v>0</v>
      </c>
      <c r="F14" s="21">
        <v>-25</v>
      </c>
      <c r="G14" s="21">
        <v>25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</row>
    <row r="15" spans="1:21" x14ac:dyDescent="0.25">
      <c r="A15" t="s">
        <v>267</v>
      </c>
      <c r="C15" t="str">
        <f t="shared" ref="C15:U15" si="10">IF(C14=0,"",CONCATENATE("H",C14))</f>
        <v/>
      </c>
      <c r="D15" t="str">
        <f t="shared" si="10"/>
        <v/>
      </c>
      <c r="E15" t="str">
        <f t="shared" si="10"/>
        <v/>
      </c>
      <c r="F15" t="str">
        <f t="shared" si="10"/>
        <v>H-25</v>
      </c>
      <c r="G15" t="str">
        <f t="shared" si="10"/>
        <v>H25</v>
      </c>
      <c r="H15" t="str">
        <f t="shared" si="10"/>
        <v/>
      </c>
      <c r="I15" t="str">
        <f t="shared" si="10"/>
        <v/>
      </c>
      <c r="J15" t="str">
        <f t="shared" si="10"/>
        <v/>
      </c>
      <c r="K15" t="str">
        <f t="shared" si="10"/>
        <v/>
      </c>
      <c r="L15" t="str">
        <f t="shared" si="10"/>
        <v/>
      </c>
      <c r="M15" t="str">
        <f t="shared" si="10"/>
        <v/>
      </c>
      <c r="N15" t="str">
        <f t="shared" si="10"/>
        <v/>
      </c>
      <c r="O15" t="str">
        <f t="shared" si="10"/>
        <v/>
      </c>
      <c r="P15" t="str">
        <f t="shared" si="10"/>
        <v/>
      </c>
      <c r="Q15" t="str">
        <f t="shared" si="10"/>
        <v/>
      </c>
      <c r="R15" t="str">
        <f t="shared" si="10"/>
        <v/>
      </c>
      <c r="S15" t="str">
        <f t="shared" si="10"/>
        <v/>
      </c>
      <c r="T15" t="str">
        <f t="shared" si="10"/>
        <v/>
      </c>
      <c r="U15" t="str">
        <f t="shared" si="10"/>
        <v/>
      </c>
    </row>
    <row r="16" spans="1:21" x14ac:dyDescent="0.25">
      <c r="A16" s="21" t="s">
        <v>268</v>
      </c>
      <c r="B16" s="21" t="s">
        <v>269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64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</row>
    <row r="17" spans="1:21" x14ac:dyDescent="0.25">
      <c r="A17" t="s">
        <v>270</v>
      </c>
      <c r="C17" t="str">
        <f t="shared" ref="C17:U17" si="11">IF(C16=0,"",CONCATENATE("N",C16))</f>
        <v/>
      </c>
      <c r="D17" t="str">
        <f t="shared" si="11"/>
        <v/>
      </c>
      <c r="E17" t="str">
        <f t="shared" si="11"/>
        <v/>
      </c>
      <c r="F17" t="str">
        <f t="shared" si="11"/>
        <v/>
      </c>
      <c r="G17" t="str">
        <f t="shared" si="11"/>
        <v/>
      </c>
      <c r="H17" t="str">
        <f t="shared" si="11"/>
        <v>N64</v>
      </c>
      <c r="I17" t="str">
        <f t="shared" si="11"/>
        <v/>
      </c>
      <c r="J17" t="str">
        <f t="shared" si="11"/>
        <v/>
      </c>
      <c r="K17" t="str">
        <f t="shared" si="11"/>
        <v/>
      </c>
      <c r="L17" t="str">
        <f t="shared" si="11"/>
        <v/>
      </c>
      <c r="M17" t="str">
        <f t="shared" si="11"/>
        <v/>
      </c>
      <c r="N17" t="str">
        <f t="shared" si="11"/>
        <v/>
      </c>
      <c r="O17" t="str">
        <f t="shared" si="11"/>
        <v/>
      </c>
      <c r="P17" t="str">
        <f t="shared" si="11"/>
        <v/>
      </c>
      <c r="Q17" t="str">
        <f t="shared" si="11"/>
        <v/>
      </c>
      <c r="R17" t="str">
        <f t="shared" si="11"/>
        <v/>
      </c>
      <c r="S17" t="str">
        <f t="shared" si="11"/>
        <v/>
      </c>
      <c r="T17" t="str">
        <f t="shared" si="11"/>
        <v/>
      </c>
      <c r="U17" t="str">
        <f t="shared" si="11"/>
        <v/>
      </c>
    </row>
    <row r="18" spans="1:21" x14ac:dyDescent="0.25">
      <c r="A18" s="21" t="s">
        <v>271</v>
      </c>
      <c r="B18" s="21" t="s">
        <v>272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15</v>
      </c>
      <c r="J18" s="21">
        <v>30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</row>
    <row r="19" spans="1:21" x14ac:dyDescent="0.25">
      <c r="A19" t="s">
        <v>273</v>
      </c>
      <c r="C19" t="str">
        <f t="shared" ref="C19:U19" si="12">IF(C18=0,"",CONCATENATE("B",C18))</f>
        <v/>
      </c>
      <c r="D19" t="str">
        <f t="shared" si="12"/>
        <v/>
      </c>
      <c r="E19" t="str">
        <f t="shared" si="12"/>
        <v/>
      </c>
      <c r="F19" t="str">
        <f t="shared" si="12"/>
        <v/>
      </c>
      <c r="G19" t="str">
        <f t="shared" si="12"/>
        <v/>
      </c>
      <c r="H19" t="str">
        <f t="shared" si="12"/>
        <v/>
      </c>
      <c r="I19" t="str">
        <f t="shared" si="12"/>
        <v>B15</v>
      </c>
      <c r="J19" t="str">
        <f t="shared" si="12"/>
        <v>B30</v>
      </c>
      <c r="K19" t="str">
        <f t="shared" si="12"/>
        <v/>
      </c>
      <c r="L19" t="str">
        <f t="shared" si="12"/>
        <v/>
      </c>
      <c r="M19" t="str">
        <f t="shared" si="12"/>
        <v/>
      </c>
      <c r="N19" t="str">
        <f t="shared" si="12"/>
        <v/>
      </c>
      <c r="O19" t="str">
        <f t="shared" si="12"/>
        <v/>
      </c>
      <c r="P19" t="str">
        <f t="shared" si="12"/>
        <v/>
      </c>
      <c r="Q19" t="str">
        <f t="shared" si="12"/>
        <v/>
      </c>
      <c r="R19" t="str">
        <f t="shared" si="12"/>
        <v/>
      </c>
      <c r="S19" t="str">
        <f t="shared" si="12"/>
        <v/>
      </c>
      <c r="T19" t="str">
        <f t="shared" si="12"/>
        <v/>
      </c>
      <c r="U19" t="str">
        <f t="shared" si="12"/>
        <v/>
      </c>
    </row>
    <row r="20" spans="1:21" x14ac:dyDescent="0.25">
      <c r="A20" t="s">
        <v>274</v>
      </c>
      <c r="C20" t="str">
        <f t="shared" ref="C20:U20" si="13">CONCATENATE("bat", C18)</f>
        <v>bat0</v>
      </c>
      <c r="D20" t="str">
        <f t="shared" si="13"/>
        <v>bat0</v>
      </c>
      <c r="E20" t="str">
        <f t="shared" si="13"/>
        <v>bat0</v>
      </c>
      <c r="F20" t="str">
        <f t="shared" si="13"/>
        <v>bat0</v>
      </c>
      <c r="G20" t="str">
        <f t="shared" si="13"/>
        <v>bat0</v>
      </c>
      <c r="H20" t="str">
        <f t="shared" si="13"/>
        <v>bat0</v>
      </c>
      <c r="I20" t="str">
        <f t="shared" si="13"/>
        <v>bat15</v>
      </c>
      <c r="J20" t="str">
        <f t="shared" si="13"/>
        <v>bat30</v>
      </c>
      <c r="K20" t="str">
        <f t="shared" si="13"/>
        <v>bat0</v>
      </c>
      <c r="L20" t="str">
        <f t="shared" si="13"/>
        <v>bat0</v>
      </c>
      <c r="M20" t="str">
        <f t="shared" si="13"/>
        <v>bat0</v>
      </c>
      <c r="N20" t="str">
        <f t="shared" si="13"/>
        <v>bat0</v>
      </c>
      <c r="O20" t="str">
        <f t="shared" si="13"/>
        <v>bat0</v>
      </c>
      <c r="P20" t="str">
        <f t="shared" si="13"/>
        <v>bat0</v>
      </c>
      <c r="Q20" t="str">
        <f t="shared" si="13"/>
        <v>bat0</v>
      </c>
      <c r="R20" t="str">
        <f t="shared" si="13"/>
        <v>bat0</v>
      </c>
      <c r="S20" t="str">
        <f t="shared" si="13"/>
        <v>bat0</v>
      </c>
      <c r="T20" t="str">
        <f t="shared" si="13"/>
        <v>bat0</v>
      </c>
      <c r="U20" t="str">
        <f t="shared" si="13"/>
        <v>bat0</v>
      </c>
    </row>
    <row r="21" spans="1:21" x14ac:dyDescent="0.25">
      <c r="A21" s="21" t="s">
        <v>275</v>
      </c>
      <c r="B21" s="21" t="s">
        <v>276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10</v>
      </c>
      <c r="L21" s="21">
        <v>20</v>
      </c>
      <c r="M21" s="21">
        <v>30</v>
      </c>
      <c r="N21" s="21">
        <v>0</v>
      </c>
      <c r="O21" s="21">
        <v>0</v>
      </c>
      <c r="P21" s="21">
        <v>0</v>
      </c>
      <c r="Q21" s="21">
        <v>30</v>
      </c>
      <c r="R21" s="21">
        <v>0</v>
      </c>
      <c r="S21" s="21">
        <v>0</v>
      </c>
      <c r="T21" s="21">
        <v>0</v>
      </c>
      <c r="U21" s="21">
        <v>0</v>
      </c>
    </row>
    <row r="22" spans="1:21" x14ac:dyDescent="0.25">
      <c r="A22" t="s">
        <v>277</v>
      </c>
      <c r="B22" t="s">
        <v>278</v>
      </c>
      <c r="C22" t="s">
        <v>258</v>
      </c>
      <c r="D22" t="s">
        <v>258</v>
      </c>
      <c r="E22" t="s">
        <v>258</v>
      </c>
      <c r="F22" t="s">
        <v>258</v>
      </c>
      <c r="G22" t="s">
        <v>258</v>
      </c>
      <c r="H22" t="s">
        <v>258</v>
      </c>
      <c r="I22" t="s">
        <v>258</v>
      </c>
      <c r="J22" t="s">
        <v>258</v>
      </c>
      <c r="K22" t="s">
        <v>258</v>
      </c>
      <c r="L22" t="s">
        <v>258</v>
      </c>
      <c r="M22" t="s">
        <v>258</v>
      </c>
      <c r="N22" t="s">
        <v>258</v>
      </c>
      <c r="O22" t="s">
        <v>258</v>
      </c>
      <c r="P22" t="s">
        <v>258</v>
      </c>
      <c r="Q22" t="s">
        <v>258</v>
      </c>
      <c r="R22" t="s">
        <v>258</v>
      </c>
      <c r="S22" t="s">
        <v>258</v>
      </c>
      <c r="T22" t="s">
        <v>258</v>
      </c>
      <c r="U22" t="s">
        <v>258</v>
      </c>
    </row>
    <row r="23" spans="1:21" x14ac:dyDescent="0.25">
      <c r="A23" t="s">
        <v>279</v>
      </c>
      <c r="C23" t="str">
        <f t="shared" ref="C23:U23" si="14">IF(C21=0,"",CONCATENATE("W",C21,LEFT(C22,1),"c"))</f>
        <v/>
      </c>
      <c r="D23" t="str">
        <f t="shared" si="14"/>
        <v/>
      </c>
      <c r="E23" t="str">
        <f t="shared" si="14"/>
        <v/>
      </c>
      <c r="F23" t="str">
        <f t="shared" si="14"/>
        <v/>
      </c>
      <c r="G23" t="str">
        <f t="shared" si="14"/>
        <v/>
      </c>
      <c r="H23" t="str">
        <f t="shared" si="14"/>
        <v/>
      </c>
      <c r="I23" t="str">
        <f t="shared" si="14"/>
        <v/>
      </c>
      <c r="J23" t="str">
        <f t="shared" si="14"/>
        <v/>
      </c>
      <c r="K23" t="str">
        <f t="shared" si="14"/>
        <v>W10lc</v>
      </c>
      <c r="L23" t="str">
        <f t="shared" si="14"/>
        <v>W20lc</v>
      </c>
      <c r="M23" t="str">
        <f t="shared" si="14"/>
        <v>W30lc</v>
      </c>
      <c r="N23" t="str">
        <f t="shared" si="14"/>
        <v/>
      </c>
      <c r="O23" t="str">
        <f t="shared" si="14"/>
        <v/>
      </c>
      <c r="P23" t="str">
        <f t="shared" si="14"/>
        <v/>
      </c>
      <c r="Q23" t="str">
        <f t="shared" si="14"/>
        <v>W30lc</v>
      </c>
      <c r="R23" t="str">
        <f t="shared" si="14"/>
        <v/>
      </c>
      <c r="S23" t="str">
        <f t="shared" si="14"/>
        <v/>
      </c>
      <c r="T23" t="str">
        <f t="shared" si="14"/>
        <v/>
      </c>
      <c r="U23" t="str">
        <f t="shared" si="14"/>
        <v/>
      </c>
    </row>
    <row r="24" spans="1:21" x14ac:dyDescent="0.25">
      <c r="A24" t="s">
        <v>280</v>
      </c>
      <c r="C24" t="str">
        <f t="shared" ref="C24:U24" si="15">CONCATENATE("wind",UPPER(LEFT(C22,1)), "C",C21)</f>
        <v>windLC0</v>
      </c>
      <c r="D24" t="str">
        <f t="shared" si="15"/>
        <v>windLC0</v>
      </c>
      <c r="E24" t="str">
        <f t="shared" si="15"/>
        <v>windLC0</v>
      </c>
      <c r="F24" t="str">
        <f t="shared" si="15"/>
        <v>windLC0</v>
      </c>
      <c r="G24" t="str">
        <f t="shared" si="15"/>
        <v>windLC0</v>
      </c>
      <c r="H24" t="str">
        <f t="shared" si="15"/>
        <v>windLC0</v>
      </c>
      <c r="I24" t="str">
        <f t="shared" si="15"/>
        <v>windLC0</v>
      </c>
      <c r="J24" t="str">
        <f t="shared" si="15"/>
        <v>windLC0</v>
      </c>
      <c r="K24" t="str">
        <f t="shared" si="15"/>
        <v>windLC10</v>
      </c>
      <c r="L24" t="str">
        <f t="shared" si="15"/>
        <v>windLC20</v>
      </c>
      <c r="M24" t="str">
        <f t="shared" si="15"/>
        <v>windLC30</v>
      </c>
      <c r="N24" t="str">
        <f t="shared" si="15"/>
        <v>windLC0</v>
      </c>
      <c r="O24" t="str">
        <f t="shared" si="15"/>
        <v>windLC0</v>
      </c>
      <c r="P24" t="str">
        <f t="shared" si="15"/>
        <v>windLC0</v>
      </c>
      <c r="Q24" t="str">
        <f t="shared" si="15"/>
        <v>windLC30</v>
      </c>
      <c r="R24" t="str">
        <f t="shared" si="15"/>
        <v>windLC0</v>
      </c>
      <c r="S24" t="str">
        <f t="shared" si="15"/>
        <v>windLC0</v>
      </c>
      <c r="T24" t="str">
        <f t="shared" si="15"/>
        <v>windLC0</v>
      </c>
      <c r="U24" t="str">
        <f t="shared" si="15"/>
        <v>windLC0</v>
      </c>
    </row>
    <row r="25" spans="1:21" x14ac:dyDescent="0.25">
      <c r="A25" s="21" t="s">
        <v>281</v>
      </c>
      <c r="B25" s="21" t="s">
        <v>276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10</v>
      </c>
      <c r="O25" s="21">
        <v>20</v>
      </c>
      <c r="P25" s="21">
        <v>30</v>
      </c>
      <c r="Q25" s="21">
        <v>30</v>
      </c>
      <c r="R25" s="21">
        <v>0</v>
      </c>
      <c r="S25" s="21">
        <v>0</v>
      </c>
      <c r="T25" s="21">
        <v>0</v>
      </c>
      <c r="U25" s="21">
        <v>0</v>
      </c>
    </row>
    <row r="26" spans="1:21" x14ac:dyDescent="0.25">
      <c r="A26" t="s">
        <v>282</v>
      </c>
      <c r="B26" t="s">
        <v>278</v>
      </c>
      <c r="C26" t="s">
        <v>258</v>
      </c>
      <c r="D26" t="s">
        <v>258</v>
      </c>
      <c r="E26" t="s">
        <v>258</v>
      </c>
      <c r="F26" t="s">
        <v>258</v>
      </c>
      <c r="G26" t="s">
        <v>258</v>
      </c>
      <c r="H26" t="s">
        <v>258</v>
      </c>
      <c r="I26" t="s">
        <v>258</v>
      </c>
      <c r="J26" t="s">
        <v>258</v>
      </c>
      <c r="K26" t="s">
        <v>258</v>
      </c>
      <c r="L26" t="s">
        <v>258</v>
      </c>
      <c r="M26" t="s">
        <v>258</v>
      </c>
      <c r="N26" t="s">
        <v>258</v>
      </c>
      <c r="O26" t="s">
        <v>258</v>
      </c>
      <c r="P26" t="s">
        <v>258</v>
      </c>
      <c r="Q26" t="s">
        <v>258</v>
      </c>
      <c r="R26" t="s">
        <v>258</v>
      </c>
      <c r="S26" t="s">
        <v>258</v>
      </c>
      <c r="T26" t="s">
        <v>258</v>
      </c>
      <c r="U26" t="s">
        <v>258</v>
      </c>
    </row>
    <row r="27" spans="1:21" x14ac:dyDescent="0.25">
      <c r="A27" t="s">
        <v>283</v>
      </c>
      <c r="C27" t="str">
        <f t="shared" ref="C27:M27" si="16">IF(C25=0,"",CONCATENATE("W",C25,LEFT(C26,1),"c"))</f>
        <v/>
      </c>
      <c r="D27" t="str">
        <f t="shared" si="16"/>
        <v/>
      </c>
      <c r="E27" t="str">
        <f t="shared" si="16"/>
        <v/>
      </c>
      <c r="F27" t="str">
        <f t="shared" si="16"/>
        <v/>
      </c>
      <c r="G27" t="str">
        <f t="shared" si="16"/>
        <v/>
      </c>
      <c r="H27" t="str">
        <f t="shared" si="16"/>
        <v/>
      </c>
      <c r="I27" t="str">
        <f t="shared" si="16"/>
        <v/>
      </c>
      <c r="J27" t="str">
        <f t="shared" si="16"/>
        <v/>
      </c>
      <c r="K27" t="str">
        <f t="shared" si="16"/>
        <v/>
      </c>
      <c r="L27" t="str">
        <f t="shared" si="16"/>
        <v/>
      </c>
      <c r="M27" t="str">
        <f t="shared" si="16"/>
        <v/>
      </c>
      <c r="N27" t="str">
        <f t="shared" ref="N27:U27" si="17">IF(N25=0,"",CONCATENATE("S",N25,LEFT(N26,1),"c"))</f>
        <v>S10lc</v>
      </c>
      <c r="O27" t="str">
        <f t="shared" si="17"/>
        <v>S20lc</v>
      </c>
      <c r="P27" t="str">
        <f t="shared" si="17"/>
        <v>S30lc</v>
      </c>
      <c r="Q27" t="str">
        <f t="shared" si="17"/>
        <v>S30lc</v>
      </c>
      <c r="R27" t="str">
        <f t="shared" si="17"/>
        <v/>
      </c>
      <c r="S27" t="str">
        <f t="shared" si="17"/>
        <v/>
      </c>
      <c r="T27" t="str">
        <f t="shared" si="17"/>
        <v/>
      </c>
      <c r="U27" t="str">
        <f t="shared" si="17"/>
        <v/>
      </c>
    </row>
    <row r="28" spans="1:21" x14ac:dyDescent="0.25">
      <c r="A28" t="s">
        <v>284</v>
      </c>
      <c r="C28" t="str">
        <f t="shared" ref="C28:U28" si="18">CONCATENATE("solar",UPPER(LEFT(C26,1)), "C",C25)</f>
        <v>solarLC0</v>
      </c>
      <c r="D28" t="str">
        <f t="shared" si="18"/>
        <v>solarLC0</v>
      </c>
      <c r="E28" t="str">
        <f t="shared" si="18"/>
        <v>solarLC0</v>
      </c>
      <c r="F28" t="str">
        <f t="shared" si="18"/>
        <v>solarLC0</v>
      </c>
      <c r="G28" t="str">
        <f t="shared" si="18"/>
        <v>solarLC0</v>
      </c>
      <c r="H28" t="str">
        <f t="shared" si="18"/>
        <v>solarLC0</v>
      </c>
      <c r="I28" t="str">
        <f t="shared" si="18"/>
        <v>solarLC0</v>
      </c>
      <c r="J28" t="str">
        <f t="shared" si="18"/>
        <v>solarLC0</v>
      </c>
      <c r="K28" t="str">
        <f t="shared" si="18"/>
        <v>solarLC0</v>
      </c>
      <c r="L28" t="str">
        <f t="shared" si="18"/>
        <v>solarLC0</v>
      </c>
      <c r="M28" t="str">
        <f t="shared" si="18"/>
        <v>solarLC0</v>
      </c>
      <c r="N28" t="str">
        <f t="shared" si="18"/>
        <v>solarLC10</v>
      </c>
      <c r="O28" t="str">
        <f t="shared" si="18"/>
        <v>solarLC20</v>
      </c>
      <c r="P28" t="str">
        <f t="shared" si="18"/>
        <v>solarLC30</v>
      </c>
      <c r="Q28" t="str">
        <f t="shared" si="18"/>
        <v>solarLC30</v>
      </c>
      <c r="R28" t="str">
        <f t="shared" si="18"/>
        <v>solarLC0</v>
      </c>
      <c r="S28" t="str">
        <f t="shared" si="18"/>
        <v>solarLC0</v>
      </c>
      <c r="T28" t="str">
        <f t="shared" si="18"/>
        <v>solarLC0</v>
      </c>
      <c r="U28" t="str">
        <f t="shared" si="18"/>
        <v>solarLC0</v>
      </c>
    </row>
    <row r="29" spans="1:21" x14ac:dyDescent="0.25">
      <c r="A29" s="21" t="s">
        <v>285</v>
      </c>
      <c r="B29" s="21" t="s">
        <v>286</v>
      </c>
      <c r="C29" s="21">
        <v>80</v>
      </c>
      <c r="D29" s="21">
        <v>80</v>
      </c>
      <c r="E29" s="21">
        <v>80</v>
      </c>
      <c r="F29" s="21">
        <v>80</v>
      </c>
      <c r="G29" s="21">
        <v>80</v>
      </c>
      <c r="H29" s="21">
        <v>80</v>
      </c>
      <c r="I29" s="21">
        <v>80</v>
      </c>
      <c r="J29" s="21">
        <v>80</v>
      </c>
      <c r="K29" s="21">
        <v>80</v>
      </c>
      <c r="L29" s="21">
        <v>80</v>
      </c>
      <c r="M29" s="21">
        <v>80</v>
      </c>
      <c r="N29" s="21">
        <v>80</v>
      </c>
      <c r="O29" s="21">
        <v>80</v>
      </c>
      <c r="P29" s="21">
        <v>80</v>
      </c>
      <c r="Q29" s="21">
        <v>80</v>
      </c>
      <c r="R29" s="21">
        <v>120</v>
      </c>
      <c r="S29" s="21">
        <v>80</v>
      </c>
      <c r="T29" s="21">
        <v>80</v>
      </c>
      <c r="U29" s="21">
        <v>80</v>
      </c>
    </row>
    <row r="30" spans="1:21" x14ac:dyDescent="0.25">
      <c r="A30" t="s">
        <v>287</v>
      </c>
      <c r="C30" t="str">
        <f t="shared" ref="C30:U30" si="19">IF(C29=80,"", CONCATENATE("W",C29))</f>
        <v/>
      </c>
      <c r="D30" t="str">
        <f t="shared" si="19"/>
        <v/>
      </c>
      <c r="E30" t="str">
        <f t="shared" si="19"/>
        <v/>
      </c>
      <c r="F30" t="str">
        <f t="shared" si="19"/>
        <v/>
      </c>
      <c r="G30" t="str">
        <f t="shared" si="19"/>
        <v/>
      </c>
      <c r="H30" t="str">
        <f t="shared" si="19"/>
        <v/>
      </c>
      <c r="I30" t="str">
        <f t="shared" si="19"/>
        <v/>
      </c>
      <c r="J30" t="str">
        <f t="shared" si="19"/>
        <v/>
      </c>
      <c r="K30" t="str">
        <f t="shared" si="19"/>
        <v/>
      </c>
      <c r="L30" t="str">
        <f t="shared" si="19"/>
        <v/>
      </c>
      <c r="M30" t="str">
        <f t="shared" si="19"/>
        <v/>
      </c>
      <c r="N30" t="str">
        <f t="shared" si="19"/>
        <v/>
      </c>
      <c r="O30" t="str">
        <f t="shared" si="19"/>
        <v/>
      </c>
      <c r="P30" t="str">
        <f t="shared" si="19"/>
        <v/>
      </c>
      <c r="Q30" t="str">
        <f t="shared" si="19"/>
        <v/>
      </c>
      <c r="R30" t="str">
        <f t="shared" si="19"/>
        <v>W120</v>
      </c>
      <c r="S30" t="str">
        <f t="shared" si="19"/>
        <v/>
      </c>
      <c r="T30" t="str">
        <f t="shared" si="19"/>
        <v/>
      </c>
      <c r="U30" t="str">
        <f t="shared" si="19"/>
        <v/>
      </c>
    </row>
    <row r="31" spans="1:21" x14ac:dyDescent="0.25">
      <c r="A31" t="s">
        <v>288</v>
      </c>
      <c r="C31" t="str">
        <f t="shared" ref="C31:U31" si="20">CONCATENATE("W",C29)</f>
        <v>W80</v>
      </c>
      <c r="D31" t="str">
        <f t="shared" si="20"/>
        <v>W80</v>
      </c>
      <c r="E31" t="str">
        <f t="shared" si="20"/>
        <v>W80</v>
      </c>
      <c r="F31" t="str">
        <f t="shared" si="20"/>
        <v>W80</v>
      </c>
      <c r="G31" t="str">
        <f t="shared" si="20"/>
        <v>W80</v>
      </c>
      <c r="H31" t="str">
        <f t="shared" si="20"/>
        <v>W80</v>
      </c>
      <c r="I31" t="str">
        <f t="shared" si="20"/>
        <v>W80</v>
      </c>
      <c r="J31" t="str">
        <f t="shared" si="20"/>
        <v>W80</v>
      </c>
      <c r="K31" t="str">
        <f t="shared" si="20"/>
        <v>W80</v>
      </c>
      <c r="L31" t="str">
        <f t="shared" si="20"/>
        <v>W80</v>
      </c>
      <c r="M31" t="str">
        <f t="shared" si="20"/>
        <v>W80</v>
      </c>
      <c r="N31" t="str">
        <f t="shared" si="20"/>
        <v>W80</v>
      </c>
      <c r="O31" t="str">
        <f t="shared" si="20"/>
        <v>W80</v>
      </c>
      <c r="P31" t="str">
        <f t="shared" si="20"/>
        <v>W80</v>
      </c>
      <c r="Q31" t="str">
        <f t="shared" si="20"/>
        <v>W80</v>
      </c>
      <c r="R31" t="str">
        <f t="shared" si="20"/>
        <v>W120</v>
      </c>
      <c r="S31" t="str">
        <f t="shared" si="20"/>
        <v>W80</v>
      </c>
      <c r="T31" t="str">
        <f t="shared" si="20"/>
        <v>W80</v>
      </c>
      <c r="U31" t="str">
        <f t="shared" si="20"/>
        <v>W80</v>
      </c>
    </row>
    <row r="32" spans="1:21" x14ac:dyDescent="0.25">
      <c r="A32" s="21" t="s">
        <v>289</v>
      </c>
      <c r="B32" s="21" t="s">
        <v>290</v>
      </c>
      <c r="C32" s="21" t="s">
        <v>291</v>
      </c>
      <c r="D32" s="21" t="s">
        <v>291</v>
      </c>
      <c r="E32" s="21" t="s">
        <v>291</v>
      </c>
      <c r="F32" s="21" t="s">
        <v>291</v>
      </c>
      <c r="G32" s="21" t="s">
        <v>291</v>
      </c>
      <c r="H32" s="21" t="s">
        <v>291</v>
      </c>
      <c r="I32" s="21" t="s">
        <v>291</v>
      </c>
      <c r="J32" s="21" t="s">
        <v>291</v>
      </c>
      <c r="K32" s="21" t="s">
        <v>291</v>
      </c>
      <c r="L32" s="21" t="s">
        <v>291</v>
      </c>
      <c r="M32" s="21" t="s">
        <v>291</v>
      </c>
      <c r="N32" s="21" t="s">
        <v>291</v>
      </c>
      <c r="O32" s="21" t="s">
        <v>291</v>
      </c>
      <c r="P32" s="21" t="s">
        <v>291</v>
      </c>
      <c r="Q32" s="21" t="s">
        <v>291</v>
      </c>
      <c r="R32" s="21" t="s">
        <v>291</v>
      </c>
      <c r="S32" s="21" t="s">
        <v>292</v>
      </c>
      <c r="T32" s="21" t="s">
        <v>293</v>
      </c>
      <c r="U32" s="21" t="s">
        <v>291</v>
      </c>
    </row>
    <row r="33" spans="1:21" x14ac:dyDescent="0.25">
      <c r="A33" t="s">
        <v>294</v>
      </c>
      <c r="C33" t="str">
        <f t="shared" ref="C33:U33" si="21">IF(C32="0d", "", CONCATENATE("S",C32))</f>
        <v/>
      </c>
      <c r="D33" t="str">
        <f t="shared" si="21"/>
        <v/>
      </c>
      <c r="E33" t="str">
        <f t="shared" si="21"/>
        <v/>
      </c>
      <c r="F33" t="str">
        <f t="shared" si="21"/>
        <v/>
      </c>
      <c r="G33" t="str">
        <f t="shared" si="21"/>
        <v/>
      </c>
      <c r="H33" t="str">
        <f t="shared" si="21"/>
        <v/>
      </c>
      <c r="I33" t="str">
        <f t="shared" si="21"/>
        <v/>
      </c>
      <c r="J33" t="str">
        <f t="shared" si="21"/>
        <v/>
      </c>
      <c r="K33" t="str">
        <f t="shared" si="21"/>
        <v/>
      </c>
      <c r="L33" t="str">
        <f t="shared" si="21"/>
        <v/>
      </c>
      <c r="M33" t="str">
        <f t="shared" si="21"/>
        <v/>
      </c>
      <c r="N33" t="str">
        <f t="shared" si="21"/>
        <v/>
      </c>
      <c r="O33" t="str">
        <f t="shared" si="21"/>
        <v/>
      </c>
      <c r="P33" t="str">
        <f t="shared" si="21"/>
        <v/>
      </c>
      <c r="Q33" t="str">
        <f t="shared" si="21"/>
        <v/>
      </c>
      <c r="R33" t="str">
        <f t="shared" si="21"/>
        <v/>
      </c>
      <c r="S33" t="str">
        <f t="shared" si="21"/>
        <v>S1A</v>
      </c>
      <c r="T33" t="str">
        <f t="shared" si="21"/>
        <v>S90d</v>
      </c>
      <c r="U33" t="str">
        <f t="shared" si="21"/>
        <v/>
      </c>
    </row>
    <row r="34" spans="1:21" x14ac:dyDescent="0.25">
      <c r="A34" t="s">
        <v>295</v>
      </c>
      <c r="C34" t="str">
        <f t="shared" ref="C34:U34" si="22">CONCATENATE("S",C32)</f>
        <v>S0d</v>
      </c>
      <c r="D34" t="str">
        <f t="shared" si="22"/>
        <v>S0d</v>
      </c>
      <c r="E34" t="str">
        <f t="shared" si="22"/>
        <v>S0d</v>
      </c>
      <c r="F34" t="str">
        <f t="shared" si="22"/>
        <v>S0d</v>
      </c>
      <c r="G34" t="str">
        <f t="shared" si="22"/>
        <v>S0d</v>
      </c>
      <c r="H34" t="str">
        <f t="shared" si="22"/>
        <v>S0d</v>
      </c>
      <c r="I34" t="str">
        <f t="shared" si="22"/>
        <v>S0d</v>
      </c>
      <c r="J34" t="str">
        <f t="shared" si="22"/>
        <v>S0d</v>
      </c>
      <c r="K34" t="str">
        <f t="shared" si="22"/>
        <v>S0d</v>
      </c>
      <c r="L34" t="str">
        <f t="shared" si="22"/>
        <v>S0d</v>
      </c>
      <c r="M34" t="str">
        <f t="shared" si="22"/>
        <v>S0d</v>
      </c>
      <c r="N34" t="str">
        <f t="shared" si="22"/>
        <v>S0d</v>
      </c>
      <c r="O34" t="str">
        <f t="shared" si="22"/>
        <v>S0d</v>
      </c>
      <c r="P34" t="str">
        <f t="shared" si="22"/>
        <v>S0d</v>
      </c>
      <c r="Q34" t="str">
        <f t="shared" si="22"/>
        <v>S0d</v>
      </c>
      <c r="R34" t="str">
        <f t="shared" si="22"/>
        <v>S0d</v>
      </c>
      <c r="S34" t="str">
        <f t="shared" si="22"/>
        <v>S1A</v>
      </c>
      <c r="T34" t="str">
        <f t="shared" si="22"/>
        <v>S90d</v>
      </c>
      <c r="U34" t="str">
        <f t="shared" si="22"/>
        <v>S0d</v>
      </c>
    </row>
    <row r="35" spans="1:21" x14ac:dyDescent="0.25">
      <c r="A35" s="21" t="s">
        <v>296</v>
      </c>
      <c r="B35" s="21"/>
      <c r="C35" s="21">
        <v>2014</v>
      </c>
      <c r="D35" s="21">
        <v>2014</v>
      </c>
      <c r="E35" s="21">
        <v>2014</v>
      </c>
      <c r="F35" s="21">
        <v>2014</v>
      </c>
      <c r="G35" s="21">
        <v>2014</v>
      </c>
      <c r="H35" s="21">
        <v>2014</v>
      </c>
      <c r="I35" s="21">
        <v>2014</v>
      </c>
      <c r="J35" s="21">
        <v>2014</v>
      </c>
      <c r="K35" s="21">
        <v>2014</v>
      </c>
      <c r="L35" s="21">
        <v>2014</v>
      </c>
      <c r="M35" s="21">
        <v>2014</v>
      </c>
      <c r="N35" s="21">
        <v>2014</v>
      </c>
      <c r="O35" s="21">
        <v>2014</v>
      </c>
      <c r="P35" s="21">
        <v>2014</v>
      </c>
      <c r="Q35" s="21">
        <v>2014</v>
      </c>
      <c r="R35" s="21">
        <v>2014</v>
      </c>
      <c r="S35" s="21">
        <v>2014</v>
      </c>
      <c r="T35" s="21">
        <v>2014</v>
      </c>
      <c r="U35" s="21">
        <v>2014</v>
      </c>
    </row>
    <row r="36" spans="1:21" x14ac:dyDescent="0.25">
      <c r="A36" t="s">
        <v>297</v>
      </c>
      <c r="C36" t="str">
        <f t="shared" ref="C36:U36" si="23">IF(C35=2014,"",CONCATENATE("L",C35))</f>
        <v/>
      </c>
      <c r="D36" t="str">
        <f t="shared" si="23"/>
        <v/>
      </c>
      <c r="E36" t="str">
        <f t="shared" si="23"/>
        <v/>
      </c>
      <c r="F36" t="str">
        <f t="shared" si="23"/>
        <v/>
      </c>
      <c r="G36" t="str">
        <f t="shared" si="23"/>
        <v/>
      </c>
      <c r="H36" t="str">
        <f t="shared" si="23"/>
        <v/>
      </c>
      <c r="I36" t="str">
        <f t="shared" si="23"/>
        <v/>
      </c>
      <c r="J36" t="str">
        <f t="shared" si="23"/>
        <v/>
      </c>
      <c r="K36" t="str">
        <f t="shared" si="23"/>
        <v/>
      </c>
      <c r="L36" t="str">
        <f t="shared" si="23"/>
        <v/>
      </c>
      <c r="M36" t="str">
        <f t="shared" si="23"/>
        <v/>
      </c>
      <c r="N36" t="str">
        <f t="shared" si="23"/>
        <v/>
      </c>
      <c r="O36" t="str">
        <f t="shared" si="23"/>
        <v/>
      </c>
      <c r="P36" t="str">
        <f t="shared" si="23"/>
        <v/>
      </c>
      <c r="Q36" t="str">
        <f t="shared" si="23"/>
        <v/>
      </c>
      <c r="R36" t="str">
        <f t="shared" si="23"/>
        <v/>
      </c>
      <c r="S36" t="str">
        <f t="shared" si="23"/>
        <v/>
      </c>
      <c r="T36" t="str">
        <f t="shared" si="23"/>
        <v/>
      </c>
      <c r="U36" t="str">
        <f t="shared" si="23"/>
        <v/>
      </c>
    </row>
    <row r="37" spans="1:21" x14ac:dyDescent="0.25">
      <c r="A37" s="21" t="s">
        <v>298</v>
      </c>
      <c r="B37" s="21" t="s">
        <v>299</v>
      </c>
      <c r="C37" s="21" t="s">
        <v>300</v>
      </c>
      <c r="D37" s="21" t="s">
        <v>300</v>
      </c>
      <c r="E37" s="21" t="s">
        <v>300</v>
      </c>
      <c r="F37" s="21" t="s">
        <v>300</v>
      </c>
      <c r="G37" s="21" t="s">
        <v>300</v>
      </c>
      <c r="H37" s="21" t="s">
        <v>300</v>
      </c>
      <c r="I37" s="21" t="s">
        <v>300</v>
      </c>
      <c r="J37" s="21" t="s">
        <v>300</v>
      </c>
      <c r="K37" s="21" t="s">
        <v>300</v>
      </c>
      <c r="L37" s="21" t="s">
        <v>300</v>
      </c>
      <c r="M37" s="21" t="s">
        <v>300</v>
      </c>
      <c r="N37" s="21" t="s">
        <v>300</v>
      </c>
      <c r="O37" s="21" t="s">
        <v>300</v>
      </c>
      <c r="P37" s="21" t="s">
        <v>300</v>
      </c>
      <c r="Q37" s="21" t="s">
        <v>300</v>
      </c>
      <c r="R37" s="21" t="s">
        <v>300</v>
      </c>
      <c r="S37" s="21" t="s">
        <v>300</v>
      </c>
      <c r="T37" s="21" t="s">
        <v>300</v>
      </c>
      <c r="U37" s="21" t="s">
        <v>301</v>
      </c>
    </row>
    <row r="38" spans="1:21" x14ac:dyDescent="0.25">
      <c r="A38" t="s">
        <v>302</v>
      </c>
      <c r="C38" t="str">
        <f t="shared" ref="C38:U38" si="24">IF(C37="none","",CONCATENATE("L",C37))</f>
        <v/>
      </c>
      <c r="D38" t="str">
        <f t="shared" si="24"/>
        <v/>
      </c>
      <c r="E38" t="str">
        <f t="shared" si="24"/>
        <v/>
      </c>
      <c r="F38" t="str">
        <f t="shared" si="24"/>
        <v/>
      </c>
      <c r="G38" t="str">
        <f t="shared" si="24"/>
        <v/>
      </c>
      <c r="H38" t="str">
        <f t="shared" si="24"/>
        <v/>
      </c>
      <c r="I38" t="str">
        <f t="shared" si="24"/>
        <v/>
      </c>
      <c r="J38" t="str">
        <f t="shared" si="24"/>
        <v/>
      </c>
      <c r="K38" t="str">
        <f t="shared" si="24"/>
        <v/>
      </c>
      <c r="L38" t="str">
        <f t="shared" si="24"/>
        <v/>
      </c>
      <c r="M38" t="str">
        <f t="shared" si="24"/>
        <v/>
      </c>
      <c r="N38" t="str">
        <f t="shared" si="24"/>
        <v/>
      </c>
      <c r="O38" t="str">
        <f t="shared" si="24"/>
        <v/>
      </c>
      <c r="P38" t="str">
        <f t="shared" si="24"/>
        <v/>
      </c>
      <c r="Q38" t="str">
        <f t="shared" si="24"/>
        <v/>
      </c>
      <c r="R38" t="str">
        <f t="shared" si="24"/>
        <v/>
      </c>
      <c r="S38" t="str">
        <f t="shared" si="24"/>
        <v/>
      </c>
      <c r="T38" t="str">
        <f t="shared" si="24"/>
        <v/>
      </c>
      <c r="U38" t="str">
        <f t="shared" si="24"/>
        <v>Lmod</v>
      </c>
    </row>
    <row r="39" spans="1:21" x14ac:dyDescent="0.25">
      <c r="A39" s="21" t="s">
        <v>303</v>
      </c>
      <c r="B39" s="21" t="s">
        <v>304</v>
      </c>
      <c r="C39" s="21" t="s">
        <v>305</v>
      </c>
      <c r="D39" s="21" t="s">
        <v>305</v>
      </c>
      <c r="E39" s="21" t="s">
        <v>305</v>
      </c>
      <c r="F39" s="21" t="s">
        <v>305</v>
      </c>
      <c r="G39" s="21" t="s">
        <v>305</v>
      </c>
      <c r="H39" s="21" t="s">
        <v>305</v>
      </c>
      <c r="I39" s="21" t="s">
        <v>305</v>
      </c>
      <c r="J39" s="21" t="s">
        <v>305</v>
      </c>
      <c r="K39" s="21" t="s">
        <v>305</v>
      </c>
      <c r="L39" s="21" t="s">
        <v>305</v>
      </c>
      <c r="M39" s="21" t="s">
        <v>305</v>
      </c>
      <c r="N39" s="21" t="s">
        <v>305</v>
      </c>
      <c r="O39" s="21" t="s">
        <v>305</v>
      </c>
      <c r="P39" s="21" t="s">
        <v>305</v>
      </c>
      <c r="Q39" s="21" t="s">
        <v>305</v>
      </c>
      <c r="R39" s="21" t="s">
        <v>305</v>
      </c>
      <c r="S39" s="21" t="s">
        <v>305</v>
      </c>
      <c r="T39" s="21" t="s">
        <v>305</v>
      </c>
      <c r="U39" s="21" t="s">
        <v>305</v>
      </c>
    </row>
    <row r="40" spans="1:21" x14ac:dyDescent="0.25">
      <c r="A40" t="s">
        <v>306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25">
      <c r="A41" t="s">
        <v>307</v>
      </c>
      <c r="C41" t="str">
        <f t="shared" ref="C41:U41" si="25">IF(C39="RT","",CONCATENATE(C39,C40))</f>
        <v/>
      </c>
      <c r="D41" t="str">
        <f t="shared" si="25"/>
        <v/>
      </c>
      <c r="E41" t="str">
        <f t="shared" si="25"/>
        <v/>
      </c>
      <c r="F41" t="str">
        <f t="shared" si="25"/>
        <v/>
      </c>
      <c r="G41" t="str">
        <f t="shared" si="25"/>
        <v/>
      </c>
      <c r="H41" t="str">
        <f t="shared" si="25"/>
        <v/>
      </c>
      <c r="I41" t="str">
        <f t="shared" si="25"/>
        <v/>
      </c>
      <c r="J41" t="str">
        <f t="shared" si="25"/>
        <v/>
      </c>
      <c r="K41" t="str">
        <f t="shared" si="25"/>
        <v/>
      </c>
      <c r="L41" t="str">
        <f t="shared" si="25"/>
        <v/>
      </c>
      <c r="M41" t="str">
        <f t="shared" si="25"/>
        <v/>
      </c>
      <c r="N41" t="str">
        <f t="shared" si="25"/>
        <v/>
      </c>
      <c r="O41" t="str">
        <f t="shared" si="25"/>
        <v/>
      </c>
      <c r="P41" t="str">
        <f t="shared" si="25"/>
        <v/>
      </c>
      <c r="Q41" t="str">
        <f t="shared" si="25"/>
        <v/>
      </c>
      <c r="R41" t="str">
        <f t="shared" si="25"/>
        <v/>
      </c>
      <c r="S41" t="str">
        <f t="shared" si="25"/>
        <v/>
      </c>
      <c r="T41" t="str">
        <f t="shared" si="25"/>
        <v/>
      </c>
      <c r="U41" t="str">
        <f t="shared" si="25"/>
        <v/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3" sqref="F3"/>
    </sheetView>
  </sheetViews>
  <sheetFormatPr defaultRowHeight="15" x14ac:dyDescent="0.25"/>
  <cols>
    <col min="6" max="6" width="36.85546875" bestFit="1" customWidth="1"/>
    <col min="7" max="7" width="36.85546875" customWidth="1"/>
  </cols>
  <sheetData>
    <row r="1" spans="1:8" x14ac:dyDescent="0.25">
      <c r="A1" t="s">
        <v>319</v>
      </c>
      <c r="D1" t="s">
        <v>318</v>
      </c>
      <c r="H1" t="s">
        <v>317</v>
      </c>
    </row>
    <row r="2" spans="1:8" x14ac:dyDescent="0.25">
      <c r="A2" t="s">
        <v>316</v>
      </c>
      <c r="D2" t="s">
        <v>315</v>
      </c>
      <c r="E2" t="s">
        <v>314</v>
      </c>
      <c r="F2" t="s">
        <v>313</v>
      </c>
      <c r="H2" t="s">
        <v>312</v>
      </c>
    </row>
    <row r="3" spans="1:8" x14ac:dyDescent="0.25">
      <c r="A3" t="s">
        <v>310</v>
      </c>
      <c r="B3" t="s">
        <v>237</v>
      </c>
      <c r="C3" t="s">
        <v>311</v>
      </c>
      <c r="D3">
        <v>216</v>
      </c>
      <c r="E3">
        <f>D3/60</f>
        <v>3.6</v>
      </c>
      <c r="F3">
        <f>E3*15</f>
        <v>54</v>
      </c>
      <c r="H3">
        <v>3</v>
      </c>
    </row>
    <row r="4" spans="1:8" x14ac:dyDescent="0.25">
      <c r="A4" t="s">
        <v>310</v>
      </c>
      <c r="B4" t="s">
        <v>237</v>
      </c>
      <c r="C4" t="s">
        <v>308</v>
      </c>
      <c r="D4">
        <v>88</v>
      </c>
      <c r="E4">
        <f>D4/60</f>
        <v>1.4666666666666666</v>
      </c>
      <c r="F4">
        <f>E4*15</f>
        <v>22</v>
      </c>
      <c r="H4">
        <v>3</v>
      </c>
    </row>
    <row r="5" spans="1:8" x14ac:dyDescent="0.25">
      <c r="A5" t="s">
        <v>310</v>
      </c>
      <c r="B5" t="s">
        <v>309</v>
      </c>
      <c r="E5">
        <f>D5/60</f>
        <v>0</v>
      </c>
      <c r="F5">
        <f>E5*15</f>
        <v>0</v>
      </c>
      <c r="H5">
        <v>3</v>
      </c>
    </row>
    <row r="6" spans="1:8" x14ac:dyDescent="0.25">
      <c r="A6" t="s">
        <v>310</v>
      </c>
      <c r="B6" t="s">
        <v>309</v>
      </c>
      <c r="C6" t="s">
        <v>308</v>
      </c>
      <c r="D6">
        <v>89</v>
      </c>
      <c r="E6">
        <f>D6/60</f>
        <v>1.4833333333333334</v>
      </c>
      <c r="F6">
        <f>E6*15</f>
        <v>22.25</v>
      </c>
      <c r="H6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7" sqref="B7"/>
    </sheetView>
  </sheetViews>
  <sheetFormatPr defaultRowHeight="15" x14ac:dyDescent="0.25"/>
  <cols>
    <col min="1" max="1" width="17.7109375" bestFit="1" customWidth="1"/>
    <col min="3" max="3" width="14.140625" bestFit="1" customWidth="1"/>
    <col min="4" max="4" width="10.7109375" bestFit="1" customWidth="1"/>
  </cols>
  <sheetData>
    <row r="1" spans="1:4" x14ac:dyDescent="0.25">
      <c r="B1" t="str">
        <f>REvalue_input_csv!C1</f>
        <v>base</v>
      </c>
      <c r="C1" t="str">
        <f>REvalue_input_csv!D1</f>
        <v>high_cost_coal</v>
      </c>
      <c r="D1" t="str">
        <f>REvalue_input_csv!E1</f>
        <v>coal_55mingen</v>
      </c>
    </row>
    <row r="2" spans="1:4" x14ac:dyDescent="0.25">
      <c r="B2" t="str">
        <f>REvalue_input_csv!C2</f>
        <v>ClcC70m</v>
      </c>
      <c r="C2" t="str">
        <f>REvalue_input_csv!D2</f>
        <v>ChcC70m</v>
      </c>
      <c r="D2" t="str">
        <f>REvalue_input_csv!E2</f>
        <v>ClcC55m</v>
      </c>
    </row>
    <row r="3" spans="1:4" x14ac:dyDescent="0.25">
      <c r="A3" t="s">
        <v>418</v>
      </c>
      <c r="B3" t="s">
        <v>420</v>
      </c>
    </row>
    <row r="4" spans="1:4" x14ac:dyDescent="0.25">
      <c r="A4" t="s">
        <v>419</v>
      </c>
      <c r="B4" t="s">
        <v>420</v>
      </c>
    </row>
    <row r="5" spans="1:4" x14ac:dyDescent="0.25">
      <c r="A5" t="s">
        <v>415</v>
      </c>
      <c r="B5" t="s">
        <v>420</v>
      </c>
    </row>
    <row r="6" spans="1:4" x14ac:dyDescent="0.25">
      <c r="A6" t="s">
        <v>416</v>
      </c>
      <c r="B6" t="s">
        <v>420</v>
      </c>
    </row>
    <row r="7" spans="1:4" x14ac:dyDescent="0.25">
      <c r="A7" t="s">
        <v>417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63"/>
  <sheetViews>
    <sheetView topLeftCell="P22" workbookViewId="0">
      <selection activeCell="Q35" sqref="Q35"/>
    </sheetView>
  </sheetViews>
  <sheetFormatPr defaultRowHeight="15" x14ac:dyDescent="0.25"/>
  <cols>
    <col min="1" max="1" width="42.28515625" customWidth="1"/>
    <col min="4" max="4" width="11.140625" customWidth="1"/>
    <col min="5" max="5" width="17.28515625" customWidth="1"/>
    <col min="7" max="7" width="24.42578125" bestFit="1" customWidth="1"/>
    <col min="18" max="18" width="32.42578125" bestFit="1" customWidth="1"/>
    <col min="19" max="19" width="14" customWidth="1"/>
    <col min="20" max="20" width="11.5703125" customWidth="1"/>
    <col min="21" max="21" width="24.5703125" customWidth="1"/>
    <col min="22" max="22" width="12" customWidth="1"/>
    <col min="23" max="23" width="22.140625" bestFit="1" customWidth="1"/>
    <col min="24" max="24" width="7.42578125" customWidth="1"/>
    <col min="25" max="25" width="23.5703125" bestFit="1" customWidth="1"/>
    <col min="26" max="26" width="9.7109375" customWidth="1"/>
    <col min="27" max="27" width="26.140625" bestFit="1" customWidth="1"/>
    <col min="28" max="28" width="6.85546875" bestFit="1" customWidth="1"/>
    <col min="29" max="29" width="20.5703125" bestFit="1" customWidth="1"/>
    <col min="31" max="31" width="26.28515625" bestFit="1" customWidth="1"/>
    <col min="32" max="32" width="24.140625" bestFit="1" customWidth="1"/>
    <col min="33" max="33" width="26.28515625" bestFit="1" customWidth="1"/>
    <col min="34" max="34" width="28.85546875" bestFit="1" customWidth="1"/>
    <col min="35" max="35" width="26.140625" bestFit="1" customWidth="1"/>
    <col min="36" max="36" width="5.5703125" bestFit="1" customWidth="1"/>
    <col min="37" max="37" width="28" bestFit="1" customWidth="1"/>
    <col min="38" max="38" width="28.140625" bestFit="1" customWidth="1"/>
  </cols>
  <sheetData>
    <row r="1" spans="1:38" x14ac:dyDescent="0.25">
      <c r="A1" s="7" t="s">
        <v>0</v>
      </c>
      <c r="D1" t="s">
        <v>36</v>
      </c>
      <c r="E1">
        <v>65</v>
      </c>
      <c r="Q1" s="7" t="s">
        <v>229</v>
      </c>
    </row>
    <row r="2" spans="1:38" x14ac:dyDescent="0.25">
      <c r="D2" t="s">
        <v>35</v>
      </c>
      <c r="E2">
        <v>2.2000000000000002</v>
      </c>
    </row>
    <row r="3" spans="1:38" x14ac:dyDescent="0.25">
      <c r="D3" t="s">
        <v>34</v>
      </c>
      <c r="E3">
        <v>1.0549999999999999</v>
      </c>
      <c r="R3" t="s">
        <v>185</v>
      </c>
      <c r="S3" t="s">
        <v>19</v>
      </c>
      <c r="U3" t="s">
        <v>168</v>
      </c>
      <c r="W3" t="s">
        <v>170</v>
      </c>
      <c r="Y3" t="s">
        <v>173</v>
      </c>
      <c r="AA3" t="s">
        <v>180</v>
      </c>
      <c r="AC3" t="s">
        <v>174</v>
      </c>
      <c r="AE3" t="s">
        <v>210</v>
      </c>
      <c r="AF3" t="s">
        <v>219</v>
      </c>
      <c r="AH3" t="s">
        <v>214</v>
      </c>
      <c r="AI3" t="s">
        <v>218</v>
      </c>
      <c r="AK3" t="s">
        <v>225</v>
      </c>
      <c r="AL3" t="s">
        <v>228</v>
      </c>
    </row>
    <row r="4" spans="1:38" x14ac:dyDescent="0.25">
      <c r="D4" t="s">
        <v>54</v>
      </c>
      <c r="E4">
        <v>3.9656699999999998</v>
      </c>
      <c r="Q4" t="s">
        <v>188</v>
      </c>
      <c r="R4" s="11">
        <v>0.04</v>
      </c>
      <c r="S4" s="2">
        <f>(R4*(1+R4)^$D$49)/(((1+R4)^$D$49)-1)</f>
        <v>6.4011962786454574E-2</v>
      </c>
      <c r="T4" t="s">
        <v>167</v>
      </c>
      <c r="U4" s="5">
        <f>'Data and sources'!D17</f>
        <v>976.42784318082204</v>
      </c>
      <c r="V4" t="s">
        <v>172</v>
      </c>
      <c r="W4" s="4">
        <f>B7</f>
        <v>2.6153846153846154</v>
      </c>
      <c r="X4" t="s">
        <v>175</v>
      </c>
      <c r="Y4" s="5">
        <f>'Data and sources'!B14</f>
        <v>678.26769230769241</v>
      </c>
      <c r="Z4" t="s">
        <v>177</v>
      </c>
      <c r="AA4" s="5">
        <f>'Data and sources'!C14</f>
        <v>775.16307692307703</v>
      </c>
      <c r="AB4" t="s">
        <v>179</v>
      </c>
      <c r="AC4" s="4">
        <f>B17</f>
        <v>3.6923076923076925</v>
      </c>
      <c r="AD4" t="s">
        <v>223</v>
      </c>
      <c r="AE4">
        <v>1100</v>
      </c>
      <c r="AF4">
        <v>15</v>
      </c>
      <c r="AG4" t="s">
        <v>223</v>
      </c>
      <c r="AH4">
        <v>900</v>
      </c>
      <c r="AI4">
        <v>10</v>
      </c>
      <c r="AJ4" t="s">
        <v>223</v>
      </c>
    </row>
    <row r="5" spans="1:38" x14ac:dyDescent="0.25">
      <c r="A5" t="s">
        <v>25</v>
      </c>
      <c r="Q5" t="s">
        <v>186</v>
      </c>
      <c r="R5" s="11">
        <v>7.0000000000000007E-2</v>
      </c>
      <c r="S5" s="2">
        <f>(R5*(1+R5)^$D$49)/(((1+R5)^$D$49)-1)</f>
        <v>8.5810517220665614E-2</v>
      </c>
      <c r="T5" t="s">
        <v>169</v>
      </c>
      <c r="U5" s="5">
        <f>'Data and sources'!D8</f>
        <v>3233.3116144883943</v>
      </c>
      <c r="V5" t="s">
        <v>171</v>
      </c>
      <c r="X5" t="s">
        <v>176</v>
      </c>
      <c r="Z5" t="s">
        <v>178</v>
      </c>
      <c r="AB5" t="s">
        <v>181</v>
      </c>
      <c r="AC5">
        <f>'Data and sources'!B50</f>
        <v>10</v>
      </c>
      <c r="AD5" t="s">
        <v>211</v>
      </c>
      <c r="AE5">
        <f>AE$4*0.9</f>
        <v>990</v>
      </c>
      <c r="AF5">
        <v>15</v>
      </c>
      <c r="AG5" t="s">
        <v>215</v>
      </c>
      <c r="AH5">
        <f>AH$4*0.9</f>
        <v>810</v>
      </c>
      <c r="AI5">
        <v>10</v>
      </c>
      <c r="AJ5" t="s">
        <v>226</v>
      </c>
    </row>
    <row r="6" spans="1:38" x14ac:dyDescent="0.25">
      <c r="A6" t="s">
        <v>26</v>
      </c>
      <c r="B6">
        <v>170</v>
      </c>
      <c r="Q6" t="s">
        <v>187</v>
      </c>
      <c r="R6" s="11">
        <v>0.1</v>
      </c>
      <c r="S6" s="2">
        <f>(R6*(1+R6)^$D$49)/(((1+R6)^$D$49)-1)</f>
        <v>0.11016807219002084</v>
      </c>
      <c r="AD6" t="s">
        <v>212</v>
      </c>
      <c r="AE6">
        <f>AE$4*0.8</f>
        <v>880</v>
      </c>
      <c r="AF6">
        <v>15</v>
      </c>
      <c r="AG6" t="s">
        <v>216</v>
      </c>
      <c r="AH6">
        <f>AH$4*0.8</f>
        <v>720</v>
      </c>
      <c r="AI6">
        <v>10</v>
      </c>
    </row>
    <row r="7" spans="1:38" x14ac:dyDescent="0.25">
      <c r="A7" t="s">
        <v>33</v>
      </c>
      <c r="B7" s="4">
        <f>B6/E1</f>
        <v>2.6153846153846154</v>
      </c>
      <c r="AD7" t="s">
        <v>213</v>
      </c>
      <c r="AE7">
        <f>AE$4*0.7</f>
        <v>770</v>
      </c>
      <c r="AF7">
        <v>15</v>
      </c>
      <c r="AG7" t="s">
        <v>217</v>
      </c>
      <c r="AH7">
        <f>AH$4*0.7</f>
        <v>630</v>
      </c>
      <c r="AI7">
        <v>10</v>
      </c>
    </row>
    <row r="8" spans="1:38" x14ac:dyDescent="0.25">
      <c r="A8" t="s">
        <v>28</v>
      </c>
      <c r="B8">
        <v>3900</v>
      </c>
      <c r="R8" s="7" t="s">
        <v>414</v>
      </c>
    </row>
    <row r="9" spans="1:38" x14ac:dyDescent="0.25">
      <c r="A9" t="s">
        <v>30</v>
      </c>
      <c r="B9" s="3">
        <f>B8*4.184*10^-3</f>
        <v>16.317600000000002</v>
      </c>
      <c r="R9" t="s">
        <v>182</v>
      </c>
      <c r="S9" t="str">
        <f>CONCATENATE(S10,IF(S11="base", "", S11),IF(S12="base", "", S12), IF(S13="base", "", S13))</f>
        <v>coallc</v>
      </c>
      <c r="T9" t="str">
        <f t="shared" ref="T9:W9" si="0">CONCATENATE(T10,IF(T11="base", "", T11),IF(T12="base", "", T12), IF(T13="base", "", T13))</f>
        <v>coalhc</v>
      </c>
      <c r="U9" t="str">
        <f t="shared" si="0"/>
        <v>coallcW30lc</v>
      </c>
      <c r="V9" t="str">
        <f t="shared" si="0"/>
        <v>coallcS30lc</v>
      </c>
      <c r="W9" t="str">
        <f t="shared" si="0"/>
        <v>coallcW30lcS30lc</v>
      </c>
    </row>
    <row r="10" spans="1:38" x14ac:dyDescent="0.25">
      <c r="A10" t="s">
        <v>29</v>
      </c>
      <c r="B10" s="5">
        <f>B6*B9</f>
        <v>2773.9920000000002</v>
      </c>
      <c r="R10" t="s">
        <v>220</v>
      </c>
      <c r="S10" t="s">
        <v>167</v>
      </c>
      <c r="T10" t="s">
        <v>169</v>
      </c>
      <c r="U10" t="s">
        <v>167</v>
      </c>
      <c r="V10" t="s">
        <v>167</v>
      </c>
      <c r="W10" t="s">
        <v>167</v>
      </c>
    </row>
    <row r="11" spans="1:38" x14ac:dyDescent="0.25">
      <c r="A11" t="s">
        <v>31</v>
      </c>
      <c r="B11" s="4">
        <f>B10/E1</f>
        <v>42.6768</v>
      </c>
      <c r="R11" t="s">
        <v>221</v>
      </c>
      <c r="S11" t="s">
        <v>223</v>
      </c>
      <c r="T11" t="s">
        <v>223</v>
      </c>
      <c r="U11" t="s">
        <v>213</v>
      </c>
      <c r="V11" t="s">
        <v>223</v>
      </c>
      <c r="W11" t="s">
        <v>213</v>
      </c>
    </row>
    <row r="12" spans="1:38" x14ac:dyDescent="0.25">
      <c r="A12" t="s">
        <v>96</v>
      </c>
      <c r="B12" s="4">
        <f>D35/B8</f>
        <v>0.57692307692307687</v>
      </c>
      <c r="R12" t="s">
        <v>222</v>
      </c>
      <c r="S12" t="s">
        <v>223</v>
      </c>
      <c r="T12" t="s">
        <v>223</v>
      </c>
      <c r="U12" t="s">
        <v>223</v>
      </c>
      <c r="V12" t="s">
        <v>217</v>
      </c>
      <c r="W12" t="s">
        <v>217</v>
      </c>
    </row>
    <row r="13" spans="1:38" x14ac:dyDescent="0.25">
      <c r="A13" t="s">
        <v>40</v>
      </c>
      <c r="B13" s="3">
        <f>D34*E3/B9/10^3</f>
        <v>0.57689299667230454</v>
      </c>
      <c r="C13" t="s">
        <v>59</v>
      </c>
      <c r="R13" t="s">
        <v>224</v>
      </c>
      <c r="S13" t="s">
        <v>223</v>
      </c>
      <c r="T13" t="s">
        <v>223</v>
      </c>
      <c r="U13" t="s">
        <v>223</v>
      </c>
      <c r="V13" t="s">
        <v>223</v>
      </c>
      <c r="W13" t="s">
        <v>223</v>
      </c>
    </row>
    <row r="14" spans="1:38" x14ac:dyDescent="0.25">
      <c r="A14" t="s">
        <v>46</v>
      </c>
      <c r="B14" s="5">
        <v>2375</v>
      </c>
      <c r="C14" t="s">
        <v>72</v>
      </c>
      <c r="R14" t="s">
        <v>184</v>
      </c>
      <c r="S14" s="1">
        <f>$R$5</f>
        <v>7.0000000000000007E-2</v>
      </c>
      <c r="T14" s="1">
        <f>$R$5</f>
        <v>7.0000000000000007E-2</v>
      </c>
      <c r="U14" s="1">
        <f>$R$5</f>
        <v>7.0000000000000007E-2</v>
      </c>
      <c r="V14" s="1">
        <f>$R$5</f>
        <v>7.0000000000000007E-2</v>
      </c>
      <c r="W14" s="1">
        <f>$R$5</f>
        <v>7.0000000000000007E-2</v>
      </c>
    </row>
    <row r="15" spans="1:38" x14ac:dyDescent="0.25">
      <c r="R15" t="s">
        <v>189</v>
      </c>
      <c r="S15" s="2">
        <f>$S$5</f>
        <v>8.5810517220665614E-2</v>
      </c>
      <c r="T15" s="2">
        <f>$S$5</f>
        <v>8.5810517220665614E-2</v>
      </c>
      <c r="U15" s="2">
        <f>$S$5</f>
        <v>8.5810517220665614E-2</v>
      </c>
      <c r="V15" s="2">
        <f>$S$5</f>
        <v>8.5810517220665614E-2</v>
      </c>
      <c r="W15" s="2">
        <f>$S$5</f>
        <v>8.5810517220665614E-2</v>
      </c>
    </row>
    <row r="16" spans="1:38" x14ac:dyDescent="0.25">
      <c r="A16" t="s">
        <v>27</v>
      </c>
      <c r="B16">
        <v>240</v>
      </c>
      <c r="R16" s="7" t="s">
        <v>1</v>
      </c>
    </row>
    <row r="17" spans="1:23" x14ac:dyDescent="0.25">
      <c r="A17" t="s">
        <v>38</v>
      </c>
      <c r="B17" s="4">
        <f>B16/E1</f>
        <v>3.6923076923076925</v>
      </c>
      <c r="Q17" t="s">
        <v>208</v>
      </c>
      <c r="R17" t="s">
        <v>60</v>
      </c>
      <c r="S17" s="5">
        <f>$Y$4</f>
        <v>678.26769230769241</v>
      </c>
      <c r="T17" s="5">
        <f>$Y$4</f>
        <v>678.26769230769241</v>
      </c>
      <c r="U17" s="5">
        <f>$Y$4</f>
        <v>678.26769230769241</v>
      </c>
      <c r="V17" s="5">
        <f>$Y$4</f>
        <v>678.26769230769241</v>
      </c>
      <c r="W17" s="5">
        <f>$Y$4</f>
        <v>678.26769230769241</v>
      </c>
    </row>
    <row r="18" spans="1:23" x14ac:dyDescent="0.25">
      <c r="A18" t="s">
        <v>163</v>
      </c>
      <c r="B18">
        <f>'Data and sources'!B50</f>
        <v>10</v>
      </c>
      <c r="Q18" t="s">
        <v>209</v>
      </c>
      <c r="R18" t="s">
        <v>58</v>
      </c>
      <c r="S18">
        <f>$AC$5</f>
        <v>10</v>
      </c>
      <c r="T18">
        <f>$AC$5</f>
        <v>10</v>
      </c>
      <c r="U18">
        <f>$AC$5</f>
        <v>10</v>
      </c>
      <c r="V18">
        <f>$AC$5</f>
        <v>10</v>
      </c>
      <c r="W18">
        <f>$AC$5</f>
        <v>10</v>
      </c>
    </row>
    <row r="19" spans="1:23" x14ac:dyDescent="0.25">
      <c r="A19" t="s">
        <v>165</v>
      </c>
      <c r="B19" s="4">
        <f>B18/E3</f>
        <v>9.4786729857819907</v>
      </c>
      <c r="R19" t="s">
        <v>20</v>
      </c>
      <c r="S19" s="5">
        <f>S$17*S$15+$B$32</f>
        <v>65.002501490990369</v>
      </c>
      <c r="T19" s="5">
        <f>T$17*T$15+$B$32</f>
        <v>65.002501490990369</v>
      </c>
      <c r="U19" s="5">
        <f>U$17*U$15+$B$32</f>
        <v>65.002501490990369</v>
      </c>
      <c r="V19" s="5">
        <f>V$17*V$15+$B$32</f>
        <v>65.002501490990369</v>
      </c>
      <c r="W19" s="5">
        <f>W$17*W$15+$B$32</f>
        <v>65.002501490990369</v>
      </c>
    </row>
    <row r="20" spans="1:23" x14ac:dyDescent="0.25">
      <c r="A20" t="s">
        <v>47</v>
      </c>
      <c r="B20">
        <f>'Data and sources'!B33</f>
        <v>3065</v>
      </c>
      <c r="C20" t="s">
        <v>48</v>
      </c>
      <c r="R20" t="s">
        <v>32</v>
      </c>
      <c r="S20" s="5">
        <f>($B$34*S$18*10^-3 + $B$33)/(1-$B$46)</f>
        <v>126.97417171717171</v>
      </c>
      <c r="T20" s="5">
        <f>($B$34*T$18*10^-3 + $B$33)/(1-$B$46)</f>
        <v>126.97417171717171</v>
      </c>
      <c r="U20" s="5">
        <f>($B$34*U$18*10^-3 + $B$33)/(1-$B$46)</f>
        <v>126.97417171717171</v>
      </c>
      <c r="V20" s="5">
        <f>($B$34*V$18*10^-3 + $B$33)/(1-$B$46)</f>
        <v>126.97417171717171</v>
      </c>
      <c r="W20" s="5">
        <f>($B$34*W$18*10^-3 + $B$33)/(1-$B$46)</f>
        <v>126.97417171717171</v>
      </c>
    </row>
    <row r="21" spans="1:23" x14ac:dyDescent="0.25">
      <c r="A21" t="s">
        <v>49</v>
      </c>
      <c r="B21">
        <f>'Data and sources'!C33</f>
        <v>2071</v>
      </c>
      <c r="C21" t="s">
        <v>48</v>
      </c>
    </row>
    <row r="22" spans="1:23" x14ac:dyDescent="0.25">
      <c r="A22" t="s">
        <v>47</v>
      </c>
      <c r="B22">
        <f>'Data and sources'!B34</f>
        <v>2900</v>
      </c>
      <c r="C22" t="s">
        <v>132</v>
      </c>
      <c r="R22" s="7" t="s">
        <v>2</v>
      </c>
    </row>
    <row r="23" spans="1:23" x14ac:dyDescent="0.25">
      <c r="A23" t="s">
        <v>49</v>
      </c>
      <c r="B23">
        <f>'Data and sources'!C34</f>
        <v>2000</v>
      </c>
      <c r="C23" t="s">
        <v>132</v>
      </c>
      <c r="Q23" t="s">
        <v>208</v>
      </c>
      <c r="R23" t="s">
        <v>61</v>
      </c>
      <c r="S23" s="5">
        <f>$AA$4</f>
        <v>775.16307692307703</v>
      </c>
      <c r="T23" s="5">
        <f>$AA$4</f>
        <v>775.16307692307703</v>
      </c>
      <c r="U23" s="5">
        <f>$AA$4</f>
        <v>775.16307692307703</v>
      </c>
      <c r="V23" s="5">
        <f>$AA$4</f>
        <v>775.16307692307703</v>
      </c>
      <c r="W23" s="5">
        <f>$AA$4</f>
        <v>775.16307692307703</v>
      </c>
    </row>
    <row r="24" spans="1:23" x14ac:dyDescent="0.25">
      <c r="A24" t="s">
        <v>133</v>
      </c>
      <c r="B24">
        <f>'Data and sources'!D34</f>
        <v>2250</v>
      </c>
      <c r="C24" t="s">
        <v>132</v>
      </c>
      <c r="R24" t="s">
        <v>20</v>
      </c>
      <c r="S24" s="5">
        <f>S$23*S$15+$C$32</f>
        <v>77.517144561131843</v>
      </c>
      <c r="T24" s="5">
        <f>T$23*T$15+$C$32</f>
        <v>77.517144561131843</v>
      </c>
      <c r="U24" s="5">
        <f>U$23*U$15+$C$32</f>
        <v>77.517144561131843</v>
      </c>
      <c r="V24" s="5">
        <f>V$23*V$15+$C$32</f>
        <v>77.517144561131843</v>
      </c>
      <c r="W24" s="5">
        <f>W$23*W$15+$C$32</f>
        <v>77.517144561131843</v>
      </c>
    </row>
    <row r="25" spans="1:23" x14ac:dyDescent="0.25">
      <c r="A25" t="s">
        <v>52</v>
      </c>
      <c r="B25">
        <v>10390</v>
      </c>
      <c r="C25" t="s">
        <v>51</v>
      </c>
      <c r="R25" t="s">
        <v>32</v>
      </c>
      <c r="S25" s="5">
        <f>($C$34*S$18*10^-3 + $C$33)/(1-$C$46)</f>
        <v>84.936820512820518</v>
      </c>
      <c r="T25" s="5">
        <f>($C$34*T$18*10^-3 + $C$33)/(1-$C$46)</f>
        <v>84.936820512820518</v>
      </c>
      <c r="U25" s="5">
        <f>($C$34*U$18*10^-3 + $C$33)/(1-$C$46)</f>
        <v>84.936820512820518</v>
      </c>
      <c r="V25" s="5">
        <f>($C$34*V$18*10^-3 + $C$33)/(1-$C$46)</f>
        <v>84.936820512820518</v>
      </c>
      <c r="W25" s="5">
        <f>($C$34*W$18*10^-3 + $C$33)/(1-$C$46)</f>
        <v>84.936820512820518</v>
      </c>
    </row>
    <row r="26" spans="1:23" x14ac:dyDescent="0.25">
      <c r="A26" t="s">
        <v>53</v>
      </c>
      <c r="B26">
        <v>6705</v>
      </c>
      <c r="C26" t="s">
        <v>51</v>
      </c>
    </row>
    <row r="27" spans="1:23" x14ac:dyDescent="0.25">
      <c r="R27" s="7" t="s">
        <v>3</v>
      </c>
    </row>
    <row r="28" spans="1:23" x14ac:dyDescent="0.25">
      <c r="A28" t="s">
        <v>43</v>
      </c>
      <c r="Q28" t="s">
        <v>208</v>
      </c>
      <c r="R28" t="s">
        <v>62</v>
      </c>
      <c r="S28" s="5">
        <f>$U$4</f>
        <v>976.42784318082204</v>
      </c>
      <c r="T28" s="5">
        <f>$U$5</f>
        <v>3233.3116144883943</v>
      </c>
      <c r="U28" s="5">
        <f>$U$4</f>
        <v>976.42784318082204</v>
      </c>
      <c r="V28" s="5">
        <f>$U$4</f>
        <v>976.42784318082204</v>
      </c>
      <c r="W28" s="5">
        <f>$U$4</f>
        <v>976.42784318082204</v>
      </c>
    </row>
    <row r="29" spans="1:23" x14ac:dyDescent="0.25">
      <c r="A29" s="7" t="s">
        <v>16</v>
      </c>
      <c r="Q29" t="s">
        <v>209</v>
      </c>
      <c r="R29" t="s">
        <v>183</v>
      </c>
      <c r="S29" s="4">
        <f>$W$4</f>
        <v>2.6153846153846154</v>
      </c>
      <c r="T29" s="4">
        <f>$W$4</f>
        <v>2.6153846153846154</v>
      </c>
      <c r="U29" s="4">
        <f>$W$4</f>
        <v>2.6153846153846154</v>
      </c>
      <c r="V29" s="4">
        <f>$W$4</f>
        <v>2.6153846153846154</v>
      </c>
      <c r="W29" s="4">
        <f>$W$4</f>
        <v>2.6153846153846154</v>
      </c>
    </row>
    <row r="30" spans="1:23" x14ac:dyDescent="0.25">
      <c r="B30" t="s">
        <v>1</v>
      </c>
      <c r="C30" t="s">
        <v>2</v>
      </c>
      <c r="D30" t="s">
        <v>3</v>
      </c>
      <c r="E30" t="s">
        <v>41</v>
      </c>
      <c r="H30" t="s">
        <v>1</v>
      </c>
      <c r="I30" t="s">
        <v>2</v>
      </c>
      <c r="J30" t="s">
        <v>3</v>
      </c>
      <c r="R30" t="s">
        <v>20</v>
      </c>
      <c r="S30" s="5">
        <f>S$28*S$15+$D$32</f>
        <v>125.88777825200532</v>
      </c>
      <c r="T30" s="5">
        <f>T$28*T$15+$D$32</f>
        <v>319.55214197483451</v>
      </c>
      <c r="U30" s="5">
        <f>U$28*U$15+$D$32</f>
        <v>125.88777825200532</v>
      </c>
      <c r="V30" s="5">
        <f>V$28*V$15+$D$32</f>
        <v>125.88777825200532</v>
      </c>
      <c r="W30" s="5">
        <f>W$28*W$15+$D$32</f>
        <v>125.88777825200532</v>
      </c>
    </row>
    <row r="31" spans="1:23" x14ac:dyDescent="0.25">
      <c r="A31" t="s">
        <v>4</v>
      </c>
      <c r="B31" s="5">
        <f>'Data and sources'!B14</f>
        <v>678.26769230769241</v>
      </c>
      <c r="C31" s="5">
        <f>'Data and sources'!C14</f>
        <v>775.16307692307703</v>
      </c>
      <c r="D31" s="5">
        <f>'Data and sources'!D17</f>
        <v>976.42784318082204</v>
      </c>
      <c r="G31" t="s">
        <v>5</v>
      </c>
      <c r="H31">
        <f>B31*$E$1</f>
        <v>44087.400000000009</v>
      </c>
      <c r="I31">
        <f>C31*$E$1</f>
        <v>50385.600000000006</v>
      </c>
      <c r="J31">
        <f>D31*$E$1</f>
        <v>63467.80980675343</v>
      </c>
      <c r="R31" t="s">
        <v>32</v>
      </c>
      <c r="S31" s="5">
        <f>($D$34*S$29*$E$3*10^-3 + $D$33)/(1-$D$46)</f>
        <v>32.466607822649564</v>
      </c>
      <c r="T31" s="5">
        <f>($D$34*T$29*$E$3*10^-3 + $D$33)/(1-$D$46)</f>
        <v>32.466607822649564</v>
      </c>
      <c r="U31" s="5">
        <f>($D$34*U$29*$E$3*10^-3 + $D$33)/(1-$D$46)</f>
        <v>32.466607822649564</v>
      </c>
      <c r="V31" s="5">
        <f>($D$34*V$29*$E$3*10^-3 + $D$33)/(1-$D$46)</f>
        <v>32.466607822649564</v>
      </c>
      <c r="W31" s="5">
        <f>($D$34*W$29*$E$3*10^-3 + $D$33)/(1-$D$46)</f>
        <v>32.466607822649564</v>
      </c>
    </row>
    <row r="32" spans="1:23" x14ac:dyDescent="0.25">
      <c r="A32" t="s">
        <v>6</v>
      </c>
      <c r="B32" s="4">
        <f>'Data and sources'!B24</f>
        <v>6.8</v>
      </c>
      <c r="C32" s="4">
        <f>'Data and sources'!C24</f>
        <v>11</v>
      </c>
      <c r="D32" s="4">
        <f>'Data and sources'!D24</f>
        <v>42.1</v>
      </c>
      <c r="G32" t="s">
        <v>14</v>
      </c>
      <c r="H32" s="5">
        <f t="shared" ref="H32" si="1">B32*$E$1</f>
        <v>442</v>
      </c>
      <c r="I32" s="5">
        <f t="shared" ref="I32:I33" si="2">C32*$E$1</f>
        <v>715</v>
      </c>
      <c r="J32" s="5">
        <f t="shared" ref="J32:J33" si="3">D32*$E$1</f>
        <v>2736.5</v>
      </c>
    </row>
    <row r="33" spans="1:23" x14ac:dyDescent="0.25">
      <c r="A33" t="s">
        <v>7</v>
      </c>
      <c r="B33" s="5">
        <f>'Data and sources'!B25</f>
        <v>10.7</v>
      </c>
      <c r="C33" s="5">
        <f>'Data and sources'!C25</f>
        <v>3.5</v>
      </c>
      <c r="D33" s="5">
        <f>'Data and sources'!D25</f>
        <v>4.5999999999999996</v>
      </c>
      <c r="G33" t="s">
        <v>15</v>
      </c>
      <c r="H33" s="5">
        <f>B33*$E$1</f>
        <v>695.5</v>
      </c>
      <c r="I33" s="5">
        <f t="shared" si="2"/>
        <v>227.5</v>
      </c>
      <c r="J33" s="5">
        <f t="shared" si="3"/>
        <v>299</v>
      </c>
      <c r="P33" s="5"/>
      <c r="R33" s="7" t="s">
        <v>190</v>
      </c>
    </row>
    <row r="34" spans="1:23" x14ac:dyDescent="0.25">
      <c r="A34" t="s">
        <v>8</v>
      </c>
      <c r="B34" s="5">
        <f>B22*$E$4</f>
        <v>11500.442999999999</v>
      </c>
      <c r="C34" s="5">
        <f>B23*E4</f>
        <v>7931.3399999999992</v>
      </c>
      <c r="D34" s="5">
        <f>B24*E4</f>
        <v>8922.7574999999997</v>
      </c>
      <c r="E34" t="s">
        <v>76</v>
      </c>
      <c r="F34" t="s">
        <v>75</v>
      </c>
      <c r="Q34" t="s">
        <v>230</v>
      </c>
      <c r="R34" t="s">
        <v>55</v>
      </c>
      <c r="S34" s="2">
        <f>(S24-S19)*1000/(S20-S25)/8760</f>
        <v>3.3984353954038309E-2</v>
      </c>
      <c r="T34" s="2">
        <f>(T24-T19)*1000/(T20-T25)/8760</f>
        <v>3.3984353954038309E-2</v>
      </c>
      <c r="U34" s="2">
        <f>(U24-U19)*1000/(U20-U25)/8760</f>
        <v>3.3984353954038309E-2</v>
      </c>
      <c r="V34" s="2">
        <f>(V24-V19)*1000/(V20-V25)/8760</f>
        <v>3.3984353954038309E-2</v>
      </c>
      <c r="W34" s="2">
        <f>(W24-W19)*1000/(W20-W25)/8760</f>
        <v>3.3984353954038309E-2</v>
      </c>
    </row>
    <row r="35" spans="1:23" x14ac:dyDescent="0.25">
      <c r="A35" t="s">
        <v>74</v>
      </c>
      <c r="B35">
        <f>B34/$E$4</f>
        <v>2900</v>
      </c>
      <c r="C35">
        <f t="shared" ref="C35:D35" si="4">C34/$E$4</f>
        <v>2000</v>
      </c>
      <c r="D35" s="5">
        <f t="shared" si="4"/>
        <v>2250</v>
      </c>
      <c r="E35" t="s">
        <v>45</v>
      </c>
      <c r="F35" t="s">
        <v>77</v>
      </c>
      <c r="R35" t="s">
        <v>56</v>
      </c>
      <c r="S35" s="2">
        <f>(S30-S24)*1000/(S25-S31)/8760</f>
        <v>0.10523612453151106</v>
      </c>
      <c r="T35" s="2">
        <f>(T30-T24)*1000/(T25-T31)/8760</f>
        <v>0.52657621340235172</v>
      </c>
      <c r="U35" s="2">
        <f>(U30-U24)*1000/(U25-U31)/8760</f>
        <v>0.10523612453151106</v>
      </c>
      <c r="V35" s="2">
        <f>(V30-V24)*1000/(V25-V31)/8760</f>
        <v>0.10523612453151106</v>
      </c>
      <c r="W35" s="2">
        <f>(W30-W24)*1000/(W25-W31)/8760</f>
        <v>0.10523612453151106</v>
      </c>
    </row>
    <row r="36" spans="1:23" x14ac:dyDescent="0.25">
      <c r="A36" t="s">
        <v>166</v>
      </c>
      <c r="B36" s="4">
        <f>B34*$E$3*10^-3</f>
        <v>12.132967364999999</v>
      </c>
      <c r="C36" s="4">
        <f t="shared" ref="C36:D36" si="5">C34*$E$3*10^-3</f>
        <v>8.3675636999999998</v>
      </c>
      <c r="D36" s="4">
        <f t="shared" si="5"/>
        <v>9.4135091624999987</v>
      </c>
      <c r="R36" t="s">
        <v>57</v>
      </c>
      <c r="S36">
        <v>1</v>
      </c>
      <c r="T36">
        <v>1</v>
      </c>
      <c r="U36">
        <v>1</v>
      </c>
      <c r="V36">
        <v>1</v>
      </c>
      <c r="W36">
        <v>1</v>
      </c>
    </row>
    <row r="37" spans="1:23" x14ac:dyDescent="0.25">
      <c r="A37" t="s">
        <v>9</v>
      </c>
      <c r="B37" s="1">
        <v>0.5</v>
      </c>
      <c r="C37" s="1">
        <v>0.5</v>
      </c>
      <c r="D37" s="1">
        <v>0.55000000000000004</v>
      </c>
      <c r="E37" t="s">
        <v>44</v>
      </c>
    </row>
    <row r="38" spans="1:23" x14ac:dyDescent="0.25">
      <c r="A38" t="s">
        <v>10</v>
      </c>
      <c r="B38">
        <v>117</v>
      </c>
      <c r="C38">
        <v>117</v>
      </c>
      <c r="D38">
        <v>215</v>
      </c>
      <c r="E38" t="s">
        <v>45</v>
      </c>
      <c r="R38" s="7" t="s">
        <v>192</v>
      </c>
    </row>
    <row r="39" spans="1:23" x14ac:dyDescent="0.25">
      <c r="A39" t="s">
        <v>11</v>
      </c>
      <c r="B39">
        <v>2.0000000000000001E-4</v>
      </c>
      <c r="C39">
        <v>2.0000000000000001E-4</v>
      </c>
      <c r="D39">
        <v>5.5E-2</v>
      </c>
      <c r="E39" t="s">
        <v>45</v>
      </c>
      <c r="Q39" t="s">
        <v>194</v>
      </c>
      <c r="R39" t="s">
        <v>193</v>
      </c>
    </row>
    <row r="40" spans="1:23" x14ac:dyDescent="0.25">
      <c r="A40" t="s">
        <v>12</v>
      </c>
      <c r="B40">
        <v>3.3000000000000002E-2</v>
      </c>
      <c r="C40">
        <v>7.3000000000000001E-3</v>
      </c>
      <c r="D40">
        <v>0.05</v>
      </c>
      <c r="E40" t="s">
        <v>45</v>
      </c>
      <c r="G40">
        <f>52500/65</f>
        <v>807.69230769230774</v>
      </c>
      <c r="Q40">
        <v>0</v>
      </c>
      <c r="R40" t="s">
        <v>195</v>
      </c>
      <c r="S40" s="5">
        <f>S19</f>
        <v>65.002501490990369</v>
      </c>
      <c r="T40" s="5">
        <f>T19</f>
        <v>65.002501490990369</v>
      </c>
      <c r="U40" s="5">
        <f>U19</f>
        <v>65.002501490990369</v>
      </c>
      <c r="V40" s="5">
        <f>V19</f>
        <v>65.002501490990369</v>
      </c>
      <c r="W40" s="5">
        <f>W19</f>
        <v>65.002501490990369</v>
      </c>
    </row>
    <row r="41" spans="1:23" x14ac:dyDescent="0.25">
      <c r="A41" t="s">
        <v>13</v>
      </c>
      <c r="B41">
        <v>6.0000000000000001E-3</v>
      </c>
      <c r="C41">
        <v>5.7999999999999996E-3</v>
      </c>
      <c r="D41">
        <v>1.0999999999999999E-2</v>
      </c>
      <c r="E41" t="s">
        <v>45</v>
      </c>
      <c r="G41">
        <f>35860/65</f>
        <v>551.69230769230774</v>
      </c>
      <c r="Q41">
        <v>8760</v>
      </c>
      <c r="R41" t="s">
        <v>195</v>
      </c>
      <c r="S41" s="5">
        <f>S40+S20*$Q$41/1000</f>
        <v>1177.2962457334145</v>
      </c>
      <c r="T41" s="5">
        <f>T40+T20*$Q$41/1000</f>
        <v>1177.2962457334145</v>
      </c>
      <c r="U41" s="5">
        <f>U40+U20*$Q$41/1000</f>
        <v>1177.2962457334145</v>
      </c>
      <c r="V41" s="5">
        <f>V40+V20*$Q$41/1000</f>
        <v>1177.2962457334145</v>
      </c>
      <c r="W41" s="5">
        <f>W40+W20*$Q$41/1000</f>
        <v>1177.2962457334145</v>
      </c>
    </row>
    <row r="42" spans="1:23" x14ac:dyDescent="0.25">
      <c r="A42" t="s">
        <v>21</v>
      </c>
      <c r="B42" s="3">
        <f>B38*B$34*10^-6/$E$2</f>
        <v>0.61161446863636348</v>
      </c>
      <c r="C42" s="3">
        <f t="shared" ref="C42:D42" si="6">C38*C$34*10^-6/$E$2</f>
        <v>0.42180308181818171</v>
      </c>
      <c r="D42" s="3">
        <f t="shared" si="6"/>
        <v>0.87199675568181811</v>
      </c>
      <c r="F42" t="s">
        <v>64</v>
      </c>
      <c r="Q42">
        <v>0</v>
      </c>
      <c r="R42" t="s">
        <v>196</v>
      </c>
      <c r="S42" s="5">
        <f>S24</f>
        <v>77.517144561131843</v>
      </c>
      <c r="T42" s="5">
        <f>T24</f>
        <v>77.517144561131843</v>
      </c>
      <c r="U42" s="5">
        <f>U24</f>
        <v>77.517144561131843</v>
      </c>
      <c r="V42" s="5">
        <f>V24</f>
        <v>77.517144561131843</v>
      </c>
      <c r="W42" s="5">
        <f>W24</f>
        <v>77.517144561131843</v>
      </c>
    </row>
    <row r="43" spans="1:23" x14ac:dyDescent="0.25">
      <c r="A43" t="s">
        <v>22</v>
      </c>
      <c r="B43" s="6">
        <f t="shared" ref="B43:D45" si="7">B39*B$34*10^-3/$E$2</f>
        <v>1.0454948181818182E-3</v>
      </c>
      <c r="C43" s="6">
        <f t="shared" si="7"/>
        <v>7.2103090909090911E-4</v>
      </c>
      <c r="D43" s="6">
        <f t="shared" si="7"/>
        <v>0.22306893749999998</v>
      </c>
      <c r="Q43">
        <v>8760</v>
      </c>
      <c r="R43" t="s">
        <v>196</v>
      </c>
      <c r="S43" s="5">
        <f>S42+S25*$Q$43/1000</f>
        <v>821.56369225343963</v>
      </c>
      <c r="T43" s="5">
        <f>T42+T25*$Q$43/1000</f>
        <v>821.56369225343963</v>
      </c>
      <c r="U43" s="5">
        <f>U42+U25*$Q$43/1000</f>
        <v>821.56369225343963</v>
      </c>
      <c r="V43" s="5">
        <f>V42+V25*$Q$43/1000</f>
        <v>821.56369225343963</v>
      </c>
      <c r="W43" s="5">
        <f>W42+W25*$Q$43/1000</f>
        <v>821.56369225343963</v>
      </c>
    </row>
    <row r="44" spans="1:23" x14ac:dyDescent="0.25">
      <c r="A44" t="s">
        <v>23</v>
      </c>
      <c r="B44" s="3">
        <f t="shared" si="7"/>
        <v>0.17250664499999999</v>
      </c>
      <c r="C44" s="3">
        <f t="shared" si="7"/>
        <v>2.6317628181818178E-2</v>
      </c>
      <c r="D44" s="3">
        <f t="shared" si="7"/>
        <v>0.20278994318181817</v>
      </c>
      <c r="Q44">
        <v>0</v>
      </c>
      <c r="R44" t="s">
        <v>3</v>
      </c>
      <c r="S44" s="5">
        <f>S30</f>
        <v>125.88777825200532</v>
      </c>
      <c r="T44" s="5">
        <f>T30</f>
        <v>319.55214197483451</v>
      </c>
      <c r="U44" s="5">
        <f>U30</f>
        <v>125.88777825200532</v>
      </c>
      <c r="V44" s="5">
        <f>V30</f>
        <v>125.88777825200532</v>
      </c>
      <c r="W44" s="5">
        <f>W30</f>
        <v>125.88777825200532</v>
      </c>
    </row>
    <row r="45" spans="1:23" x14ac:dyDescent="0.25">
      <c r="A45" t="s">
        <v>24</v>
      </c>
      <c r="B45" s="2">
        <f t="shared" si="7"/>
        <v>3.1364844545454539E-2</v>
      </c>
      <c r="C45" s="2">
        <f t="shared" si="7"/>
        <v>2.0909896363636361E-2</v>
      </c>
      <c r="D45" s="2">
        <f t="shared" si="7"/>
        <v>4.4613787499999995E-2</v>
      </c>
      <c r="Q45">
        <v>8760</v>
      </c>
      <c r="R45" t="s">
        <v>3</v>
      </c>
      <c r="S45" s="5">
        <f>S44+S31*$Q$45/1000</f>
        <v>410.29526277841552</v>
      </c>
      <c r="T45" s="5">
        <f>T44+T31*$Q$45/1000</f>
        <v>603.95962650124466</v>
      </c>
      <c r="U45" s="5">
        <f>U44+U31*$Q$45/1000</f>
        <v>410.29526277841552</v>
      </c>
      <c r="V45" s="5">
        <f>V44+V31*$Q$45/1000</f>
        <v>410.29526277841552</v>
      </c>
      <c r="W45" s="5">
        <f>W44+W31*$Q$45/1000</f>
        <v>410.29526277841552</v>
      </c>
    </row>
    <row r="46" spans="1:23" x14ac:dyDescent="0.25">
      <c r="A46" t="s">
        <v>50</v>
      </c>
      <c r="B46" s="11">
        <v>0.01</v>
      </c>
      <c r="C46" s="11">
        <v>2.5000000000000001E-2</v>
      </c>
      <c r="D46" s="11">
        <v>0.1</v>
      </c>
      <c r="E46" t="s">
        <v>73</v>
      </c>
    </row>
    <row r="47" spans="1:23" x14ac:dyDescent="0.25">
      <c r="Q47" s="20" t="s">
        <v>207</v>
      </c>
      <c r="R47" s="7" t="s">
        <v>197</v>
      </c>
    </row>
    <row r="48" spans="1:23" x14ac:dyDescent="0.25">
      <c r="A48" t="s">
        <v>17</v>
      </c>
      <c r="B48" s="10">
        <v>7.0000000000000007E-2</v>
      </c>
      <c r="C48" s="8">
        <f>B48</f>
        <v>7.0000000000000007E-2</v>
      </c>
      <c r="D48" s="8">
        <f>B48</f>
        <v>7.0000000000000007E-2</v>
      </c>
      <c r="E48" t="s">
        <v>139</v>
      </c>
      <c r="Q48" t="s">
        <v>198</v>
      </c>
      <c r="R48" t="s">
        <v>193</v>
      </c>
    </row>
    <row r="49" spans="1:23" x14ac:dyDescent="0.25">
      <c r="A49" t="s">
        <v>18</v>
      </c>
      <c r="B49">
        <v>25</v>
      </c>
      <c r="C49">
        <v>25</v>
      </c>
      <c r="D49">
        <v>25</v>
      </c>
      <c r="E49" t="s">
        <v>42</v>
      </c>
      <c r="Q49" t="s">
        <v>203</v>
      </c>
      <c r="R49" t="s">
        <v>199</v>
      </c>
      <c r="S49" s="5">
        <f>S17</f>
        <v>678.26769230769241</v>
      </c>
      <c r="T49" s="5">
        <f>T17</f>
        <v>678.26769230769241</v>
      </c>
      <c r="U49" s="5">
        <f>U17</f>
        <v>678.26769230769241</v>
      </c>
      <c r="V49" s="5">
        <f>V17</f>
        <v>678.26769230769241</v>
      </c>
      <c r="W49" s="5">
        <f>W17</f>
        <v>678.26769230769241</v>
      </c>
    </row>
    <row r="50" spans="1:23" ht="15.75" x14ac:dyDescent="0.25">
      <c r="A50" t="s">
        <v>19</v>
      </c>
      <c r="B50" s="9">
        <f>(B48*(1+B48)^B49)/(((1+B48)^B49)-1)</f>
        <v>8.5810517220665614E-2</v>
      </c>
      <c r="C50" s="9">
        <f t="shared" ref="C50:D50" si="8">(C48*(1+C48)^C49)/(((1+C48)^C49)-1)</f>
        <v>8.5810517220665614E-2</v>
      </c>
      <c r="D50" s="9">
        <f t="shared" si="8"/>
        <v>8.5810517220665614E-2</v>
      </c>
      <c r="Q50" t="s">
        <v>204</v>
      </c>
      <c r="R50" t="s">
        <v>199</v>
      </c>
      <c r="S50" s="4">
        <f>$B$32</f>
        <v>6.8</v>
      </c>
      <c r="T50" s="4">
        <f>$B$32</f>
        <v>6.8</v>
      </c>
      <c r="U50" s="4">
        <f>$B$32</f>
        <v>6.8</v>
      </c>
      <c r="V50" s="4">
        <f>$B$32</f>
        <v>6.8</v>
      </c>
      <c r="W50" s="4">
        <f>$B$32</f>
        <v>6.8</v>
      </c>
    </row>
    <row r="51" spans="1:23" x14ac:dyDescent="0.25">
      <c r="A51" t="s">
        <v>20</v>
      </c>
      <c r="B51" s="4">
        <f>B31*B50+B32</f>
        <v>65.002501490990369</v>
      </c>
      <c r="C51" s="4">
        <f t="shared" ref="C51:D51" si="9">C31*C50+C32</f>
        <v>77.517144561131843</v>
      </c>
      <c r="D51" s="4">
        <f t="shared" si="9"/>
        <v>125.88777825200532</v>
      </c>
      <c r="Q51" t="s">
        <v>203</v>
      </c>
      <c r="R51" t="s">
        <v>200</v>
      </c>
      <c r="S51" s="5">
        <f>S23</f>
        <v>775.16307692307703</v>
      </c>
      <c r="T51" s="5">
        <f>T23</f>
        <v>775.16307692307703</v>
      </c>
      <c r="U51" s="5">
        <f>U23</f>
        <v>775.16307692307703</v>
      </c>
      <c r="V51" s="5">
        <f>V23</f>
        <v>775.16307692307703</v>
      </c>
      <c r="W51" s="5">
        <f>W23</f>
        <v>775.16307692307703</v>
      </c>
    </row>
    <row r="52" spans="1:23" x14ac:dyDescent="0.25">
      <c r="A52" t="s">
        <v>39</v>
      </c>
      <c r="B52" s="5">
        <f>B51*$E$1</f>
        <v>4225.1625969143743</v>
      </c>
      <c r="C52" s="5">
        <f t="shared" ref="C52:D52" si="10">C51*$E$1</f>
        <v>5038.6143964735702</v>
      </c>
      <c r="D52" s="5">
        <f t="shared" si="10"/>
        <v>8182.7055863803453</v>
      </c>
      <c r="G52" t="s">
        <v>63</v>
      </c>
      <c r="H52" s="5">
        <f>B55*8760</f>
        <v>297.7029406373756</v>
      </c>
      <c r="I52" s="5">
        <f>(C55-B55)*8760</f>
        <v>624.16551025866136</v>
      </c>
      <c r="J52" s="5">
        <f>(1-C55-B55)*8760</f>
        <v>7540.4286084665873</v>
      </c>
      <c r="Q52" t="s">
        <v>204</v>
      </c>
      <c r="R52" t="s">
        <v>200</v>
      </c>
      <c r="S52" s="4">
        <f>$C$32</f>
        <v>11</v>
      </c>
      <c r="T52" s="4">
        <f>$C$32</f>
        <v>11</v>
      </c>
      <c r="U52" s="4">
        <f>$C$32</f>
        <v>11</v>
      </c>
      <c r="V52" s="4">
        <f>$C$32</f>
        <v>11</v>
      </c>
      <c r="W52" s="4">
        <f>$C$32</f>
        <v>11</v>
      </c>
    </row>
    <row r="53" spans="1:23" x14ac:dyDescent="0.25">
      <c r="A53" t="s">
        <v>32</v>
      </c>
      <c r="B53" s="4">
        <f>(B34*$B$18*10^-3 + B33)/(1-B46)</f>
        <v>126.97417171717171</v>
      </c>
      <c r="C53" s="4">
        <f>(C34*$B$18*10^-3 + C33)/(1-C46)</f>
        <v>84.936820512820518</v>
      </c>
      <c r="D53" s="4">
        <f>(D34*B7*$E$3*10^-3 + D33)/(1-D46)</f>
        <v>32.466607822649564</v>
      </c>
      <c r="H53" t="s">
        <v>1</v>
      </c>
      <c r="I53" t="s">
        <v>2</v>
      </c>
      <c r="J53" t="s">
        <v>3</v>
      </c>
      <c r="Q53" t="s">
        <v>203</v>
      </c>
      <c r="R53" t="s">
        <v>57</v>
      </c>
      <c r="S53" s="5">
        <f>S28</f>
        <v>976.42784318082204</v>
      </c>
      <c r="T53" s="5">
        <f>T28</f>
        <v>3233.3116144883943</v>
      </c>
      <c r="U53" s="5">
        <f>U28</f>
        <v>976.42784318082204</v>
      </c>
      <c r="V53" s="5">
        <f>V28</f>
        <v>976.42784318082204</v>
      </c>
      <c r="W53" s="5">
        <f>W28</f>
        <v>976.42784318082204</v>
      </c>
    </row>
    <row r="54" spans="1:23" x14ac:dyDescent="0.25">
      <c r="A54" t="s">
        <v>37</v>
      </c>
      <c r="B54" s="5">
        <f t="shared" ref="B54:C54" si="11">B53*$E$1</f>
        <v>8253.3211616161607</v>
      </c>
      <c r="C54" s="5">
        <f t="shared" si="11"/>
        <v>5520.8933333333334</v>
      </c>
      <c r="D54" s="5">
        <f>D53*$E$1</f>
        <v>2110.3295084722217</v>
      </c>
      <c r="G54" t="s">
        <v>206</v>
      </c>
      <c r="H54" s="4">
        <f>B52/H52</f>
        <v>14.192545723157426</v>
      </c>
      <c r="I54" s="4">
        <f>C52/I52</f>
        <v>8.0725613858181795</v>
      </c>
      <c r="J54" s="4">
        <f>D52/J52</f>
        <v>1.0851777811665231</v>
      </c>
      <c r="Q54" t="s">
        <v>204</v>
      </c>
      <c r="R54" t="s">
        <v>57</v>
      </c>
      <c r="S54" s="4">
        <f>$D$32</f>
        <v>42.1</v>
      </c>
      <c r="T54" s="4">
        <f>$D$32</f>
        <v>42.1</v>
      </c>
      <c r="U54" s="4">
        <f>$D$32</f>
        <v>42.1</v>
      </c>
      <c r="V54" s="4">
        <f>$D$32</f>
        <v>42.1</v>
      </c>
      <c r="W54" s="4">
        <f>$D$32</f>
        <v>42.1</v>
      </c>
    </row>
    <row r="55" spans="1:23" x14ac:dyDescent="0.25">
      <c r="A55" t="s">
        <v>190</v>
      </c>
      <c r="B55" s="12">
        <f>(C51-B51)*1000/(B53-C53)/8760</f>
        <v>3.3984353954038309E-2</v>
      </c>
      <c r="C55" s="12">
        <f>(D51-C51)*1000/(C53-D53)/8760</f>
        <v>0.10523612453151106</v>
      </c>
      <c r="G55" t="s">
        <v>205</v>
      </c>
      <c r="H55" s="4">
        <f>H54+B54/1000</f>
        <v>22.445866884773586</v>
      </c>
      <c r="I55" s="4">
        <f>I54+C54/1000</f>
        <v>13.593454719151513</v>
      </c>
      <c r="J55" s="4">
        <f>J54+D54/1000</f>
        <v>3.1955072896387451</v>
      </c>
      <c r="Q55" t="s">
        <v>203</v>
      </c>
      <c r="R55" t="s">
        <v>201</v>
      </c>
      <c r="S55">
        <f>INDEX($AD$4:$AF$7, MATCH(S11,$AD$4:$AD$7,0), 2)</f>
        <v>1100</v>
      </c>
      <c r="T55">
        <f>INDEX($AD$4:$AF$7, MATCH(T11,$AD$4:$AD$7,0), 2)</f>
        <v>1100</v>
      </c>
      <c r="U55">
        <f>INDEX($AD$4:$AF$7, MATCH(U11,$AD$4:$AD$7,0), 2)</f>
        <v>770</v>
      </c>
      <c r="V55">
        <f>INDEX($AD$4:$AF$7, MATCH(V11,$AD$4:$AD$7,0), 2)</f>
        <v>1100</v>
      </c>
      <c r="W55">
        <f>INDEX($AD$4:$AF$7, MATCH(W11,$AD$4:$AD$7,0), 2)</f>
        <v>770</v>
      </c>
    </row>
    <row r="56" spans="1:23" x14ac:dyDescent="0.25">
      <c r="A56" t="s">
        <v>191</v>
      </c>
      <c r="B56" s="12">
        <f>(D51-B51)*1000/(B53-D53)/8760</f>
        <v>7.3543045371836632E-2</v>
      </c>
      <c r="Q56" t="s">
        <v>204</v>
      </c>
      <c r="R56" t="s">
        <v>201</v>
      </c>
      <c r="S56">
        <f>INDEX($AD$4:$AF$7, MATCH(S11,$AD$4:$AD$7,0), 3)</f>
        <v>15</v>
      </c>
      <c r="T56">
        <f>INDEX($AD$4:$AF$7, MATCH(T11,$AD$4:$AD$7,0), 3)</f>
        <v>15</v>
      </c>
      <c r="U56">
        <f>INDEX($AD$4:$AF$7, MATCH(U11,$AD$4:$AD$7,0), 3)</f>
        <v>15</v>
      </c>
      <c r="V56">
        <f>INDEX($AD$4:$AF$7, MATCH(V11,$AD$4:$AD$7,0), 3)</f>
        <v>15</v>
      </c>
      <c r="W56">
        <f>INDEX($AD$4:$AF$7, MATCH(W11,$AD$4:$AD$7,0), 3)</f>
        <v>15</v>
      </c>
    </row>
    <row r="57" spans="1:23" x14ac:dyDescent="0.25">
      <c r="B57" s="12"/>
      <c r="Q57" t="s">
        <v>203</v>
      </c>
      <c r="R57" t="s">
        <v>202</v>
      </c>
      <c r="S57">
        <f>INDEX($AG$4:$AI$7, MATCH(S12,$AG$4:$AG$7,0), 2)</f>
        <v>900</v>
      </c>
      <c r="T57">
        <f>INDEX($AG$4:$AI$7, MATCH(T12,$AG$4:$AG$7,0), 2)</f>
        <v>900</v>
      </c>
      <c r="U57">
        <f>INDEX($AG$4:$AI$7, MATCH(U12,$AG$4:$AG$7,0), 2)</f>
        <v>900</v>
      </c>
      <c r="V57">
        <f>INDEX($AG$4:$AI$7, MATCH(V12,$AG$4:$AG$7,0), 2)</f>
        <v>630</v>
      </c>
      <c r="W57">
        <f>INDEX($AG$4:$AI$7, MATCH(W12,$AG$4:$AG$7,0), 2)</f>
        <v>630</v>
      </c>
    </row>
    <row r="58" spans="1:23" x14ac:dyDescent="0.25">
      <c r="B58" s="12"/>
      <c r="Q58" t="s">
        <v>204</v>
      </c>
      <c r="R58" t="s">
        <v>202</v>
      </c>
      <c r="S58">
        <f>INDEX($AG$4:$AI$7, MATCH(S12,$AG$4:$AG$7,0), 3)</f>
        <v>10</v>
      </c>
      <c r="T58">
        <f>INDEX($AG$4:$AI$7, MATCH(T12,$AG$4:$AG$7,0), 3)</f>
        <v>10</v>
      </c>
      <c r="U58">
        <f>INDEX($AG$4:$AI$7, MATCH(U12,$AG$4:$AG$7,0), 3)</f>
        <v>10</v>
      </c>
      <c r="V58">
        <f>INDEX($AG$4:$AI$7, MATCH(V12,$AG$4:$AG$7,0), 3)</f>
        <v>10</v>
      </c>
      <c r="W58">
        <f>INDEX($AG$4:$AI$7, MATCH(W12,$AG$4:$AG$7,0), 3)</f>
        <v>10</v>
      </c>
    </row>
    <row r="59" spans="1:23" x14ac:dyDescent="0.25">
      <c r="A59" s="7" t="s">
        <v>149</v>
      </c>
      <c r="Q59" t="s">
        <v>203</v>
      </c>
      <c r="R59" t="s">
        <v>227</v>
      </c>
      <c r="S59">
        <f>INDEX($AJ$4:$AL$7, MATCH(S13,$AJ$4:$AJ$7,0), 2)</f>
        <v>0</v>
      </c>
      <c r="T59">
        <f>INDEX($AJ$4:$AL$7, MATCH(T13,$AJ$4:$AJ$7,0), 2)</f>
        <v>0</v>
      </c>
      <c r="U59">
        <f>INDEX($AJ$4:$AL$7, MATCH(U13,$AJ$4:$AJ$7,0), 2)</f>
        <v>0</v>
      </c>
      <c r="V59">
        <f>INDEX($AJ$4:$AL$7, MATCH(V13,$AJ$4:$AJ$7,0), 2)</f>
        <v>0</v>
      </c>
      <c r="W59">
        <f>INDEX($AJ$4:$AL$7, MATCH(W13,$AJ$4:$AJ$7,0), 2)</f>
        <v>0</v>
      </c>
    </row>
    <row r="60" spans="1:23" x14ac:dyDescent="0.25">
      <c r="A60" t="s">
        <v>147</v>
      </c>
      <c r="Q60" t="s">
        <v>204</v>
      </c>
      <c r="R60" t="s">
        <v>227</v>
      </c>
      <c r="S60">
        <f>INDEX($AJ$4:$AL$7, MATCH(S13,$AJ$4:$AJ$7,0), 3)</f>
        <v>0</v>
      </c>
      <c r="T60">
        <f>INDEX($AJ$4:$AL$7, MATCH(T13,$AJ$4:$AJ$7,0), 3)</f>
        <v>0</v>
      </c>
      <c r="U60">
        <f>INDEX($AJ$4:$AL$7, MATCH(U13,$AJ$4:$AJ$7,0), 3)</f>
        <v>0</v>
      </c>
      <c r="V60">
        <f>INDEX($AJ$4:$AL$7, MATCH(V13,$AJ$4:$AJ$7,0), 3)</f>
        <v>0</v>
      </c>
      <c r="W60">
        <f>INDEX($AJ$4:$AL$7, MATCH(W13,$AJ$4:$AJ$7,0), 3)</f>
        <v>0</v>
      </c>
    </row>
    <row r="61" spans="1:23" x14ac:dyDescent="0.25">
      <c r="A61">
        <v>0</v>
      </c>
      <c r="B61" s="4">
        <f>B51</f>
        <v>65.002501490990369</v>
      </c>
      <c r="C61" s="4">
        <f>C51</f>
        <v>77.517144561131843</v>
      </c>
      <c r="D61" s="4">
        <f>D51</f>
        <v>125.88777825200532</v>
      </c>
    </row>
    <row r="62" spans="1:23" x14ac:dyDescent="0.25">
      <c r="A62">
        <v>8760</v>
      </c>
      <c r="B62" s="5">
        <f>B61+B53*$A$62/1000</f>
        <v>1177.2962457334145</v>
      </c>
      <c r="C62" s="5">
        <f>C61+C53*$A$62/1000</f>
        <v>821.56369225343963</v>
      </c>
      <c r="D62" s="5">
        <f>D61+D53*$A$62/1000</f>
        <v>410.29526277841552</v>
      </c>
    </row>
    <row r="63" spans="1:23" x14ac:dyDescent="0.25">
      <c r="A63" t="s">
        <v>148</v>
      </c>
      <c r="B63" s="5">
        <f>B55*$A$62</f>
        <v>297.7029406373756</v>
      </c>
      <c r="C63" s="5">
        <f>C55*$A$62</f>
        <v>921.86845089603685</v>
      </c>
      <c r="D63" s="5">
        <f>D55*$A$62</f>
        <v>0</v>
      </c>
    </row>
  </sheetData>
  <pageMargins left="0.7" right="0.7" top="0.75" bottom="0.75" header="0.3" footer="0.3"/>
  <pageSetup orientation="portrait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2" sqref="A2"/>
    </sheetView>
  </sheetViews>
  <sheetFormatPr defaultRowHeight="15" x14ac:dyDescent="0.25"/>
  <sheetData>
    <row r="1" spans="1:6" x14ac:dyDescent="0.25">
      <c r="A1" t="str">
        <f>'Screening curves'!Q34</f>
        <v>parameter</v>
      </c>
      <c r="B1" t="str">
        <f>'Screening curves'!S9</f>
        <v>coallc</v>
      </c>
      <c r="C1" t="str">
        <f>'Screening curves'!T9</f>
        <v>coalhc</v>
      </c>
      <c r="D1" t="str">
        <f>'Screening curves'!U9</f>
        <v>coallcW30lc</v>
      </c>
      <c r="E1" t="str">
        <f>'Screening curves'!V9</f>
        <v>coallcS30lc</v>
      </c>
      <c r="F1" t="str">
        <f>'Screening curves'!W9</f>
        <v>coallcW30lcS30lc</v>
      </c>
    </row>
    <row r="2" spans="1:6" x14ac:dyDescent="0.25">
      <c r="A2" t="str">
        <f>'Screening curves'!R34</f>
        <v>gas_ct</v>
      </c>
      <c r="B2" s="2">
        <f>'Screening curves'!S34</f>
        <v>3.3984353954038309E-2</v>
      </c>
      <c r="C2" s="2">
        <f>'Screening curves'!T34</f>
        <v>3.3984353954038309E-2</v>
      </c>
      <c r="D2" s="2">
        <f>'Screening curves'!U34</f>
        <v>3.3984353954038309E-2</v>
      </c>
      <c r="E2" s="2">
        <f>'Screening curves'!V34</f>
        <v>3.3984353954038309E-2</v>
      </c>
      <c r="F2" s="2">
        <f>'Screening curves'!W34</f>
        <v>3.3984353954038309E-2</v>
      </c>
    </row>
    <row r="3" spans="1:6" x14ac:dyDescent="0.25">
      <c r="A3" t="str">
        <f>'Screening curves'!R35</f>
        <v>gas_ccgt</v>
      </c>
      <c r="B3" s="2">
        <f>'Screening curves'!S35</f>
        <v>0.10523612453151106</v>
      </c>
      <c r="C3" s="2">
        <f>'Screening curves'!T35</f>
        <v>0.52657621340235172</v>
      </c>
      <c r="D3" s="2">
        <f>'Screening curves'!U35</f>
        <v>0.10523612453151106</v>
      </c>
      <c r="E3" s="2">
        <f>'Screening curves'!V35</f>
        <v>0.10523612453151106</v>
      </c>
      <c r="F3" s="2">
        <f>'Screening curves'!W35</f>
        <v>0.10523612453151106</v>
      </c>
    </row>
    <row r="4" spans="1:6" x14ac:dyDescent="0.25">
      <c r="A4" t="str">
        <f>'Screening curves'!R36</f>
        <v>coal</v>
      </c>
      <c r="B4">
        <f>'Screening curves'!S36</f>
        <v>1</v>
      </c>
      <c r="C4">
        <f>'Screening curves'!T36</f>
        <v>1</v>
      </c>
      <c r="D4">
        <f>'Screening curves'!U36</f>
        <v>1</v>
      </c>
      <c r="E4">
        <f>'Screening curves'!V36</f>
        <v>1</v>
      </c>
      <c r="F4">
        <f>'Screening curves'!W36</f>
        <v>1</v>
      </c>
    </row>
    <row r="5" spans="1:6" x14ac:dyDescent="0.25">
      <c r="A5" t="str">
        <f>'Screening curves'!R18</f>
        <v>gas_price</v>
      </c>
      <c r="B5">
        <f>'Screening curves'!S18</f>
        <v>10</v>
      </c>
      <c r="C5" s="5">
        <f>'Screening curves'!T18</f>
        <v>10</v>
      </c>
      <c r="D5">
        <f>'Screening curves'!U18</f>
        <v>10</v>
      </c>
      <c r="E5" s="5">
        <f>'Screening curves'!V18</f>
        <v>10</v>
      </c>
      <c r="F5">
        <f>'Screening curves'!W18</f>
        <v>10</v>
      </c>
    </row>
    <row r="6" spans="1:6" x14ac:dyDescent="0.25">
      <c r="A6" t="str">
        <f>'Screening curves'!R17</f>
        <v>cap_cost_ct</v>
      </c>
      <c r="B6" s="5">
        <f>'Screening curves'!S17</f>
        <v>678.26769230769241</v>
      </c>
      <c r="C6" s="5">
        <f>'Screening curves'!T17</f>
        <v>678.26769230769241</v>
      </c>
      <c r="D6" s="5">
        <f>'Screening curves'!U17</f>
        <v>678.26769230769241</v>
      </c>
      <c r="E6" s="5">
        <f>'Screening curves'!V17</f>
        <v>678.26769230769241</v>
      </c>
      <c r="F6" s="5">
        <f>'Screening curves'!W17</f>
        <v>678.26769230769241</v>
      </c>
    </row>
    <row r="7" spans="1:6" x14ac:dyDescent="0.25">
      <c r="A7" t="str">
        <f>'Screening curves'!R23</f>
        <v>cap_cost_ccgt</v>
      </c>
      <c r="B7" s="5">
        <f>'Screening curves'!S23</f>
        <v>775.16307692307703</v>
      </c>
      <c r="C7" s="5">
        <f>'Screening curves'!T23</f>
        <v>775.16307692307703</v>
      </c>
      <c r="D7" s="5">
        <f>'Screening curves'!U23</f>
        <v>775.16307692307703</v>
      </c>
      <c r="E7" s="5">
        <f>'Screening curves'!V23</f>
        <v>775.16307692307703</v>
      </c>
      <c r="F7" s="5">
        <f>'Screening curves'!W23</f>
        <v>775.16307692307703</v>
      </c>
    </row>
    <row r="8" spans="1:6" x14ac:dyDescent="0.25">
      <c r="A8" t="str">
        <f>'Screening curves'!R28</f>
        <v>cap_cost_coal</v>
      </c>
      <c r="B8" s="5">
        <f>'Screening curves'!S28</f>
        <v>976.42784318082204</v>
      </c>
      <c r="C8" s="5">
        <f>'Screening curves'!T28</f>
        <v>3233.3116144883943</v>
      </c>
      <c r="D8" s="5">
        <f>'Screening curves'!U28</f>
        <v>976.42784318082204</v>
      </c>
      <c r="E8" s="5">
        <f>'Screening curves'!V28</f>
        <v>976.42784318082204</v>
      </c>
      <c r="F8" s="5">
        <f>'Screening curves'!W28</f>
        <v>976.42784318082204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2" sqref="D12"/>
    </sheetView>
  </sheetViews>
  <sheetFormatPr defaultRowHeight="15" x14ac:dyDescent="0.25"/>
  <cols>
    <col min="2" max="2" width="10.85546875" bestFit="1" customWidth="1"/>
    <col min="4" max="4" width="12" bestFit="1" customWidth="1"/>
  </cols>
  <sheetData>
    <row r="1" spans="1:4" x14ac:dyDescent="0.25">
      <c r="A1" t="str">
        <f>'Screening curves'!Q39</f>
        <v>hour</v>
      </c>
      <c r="B1" t="str">
        <f>'Screening curves'!R39</f>
        <v>technology</v>
      </c>
      <c r="C1" t="str">
        <f>'Screening curves'!S10</f>
        <v>coallc</v>
      </c>
      <c r="D1" t="str">
        <f>'Screening curves'!T10</f>
        <v>coalhc</v>
      </c>
    </row>
    <row r="2" spans="1:4" x14ac:dyDescent="0.25">
      <c r="A2">
        <f>'Screening curves'!Q40</f>
        <v>0</v>
      </c>
      <c r="B2" t="str">
        <f>'Screening curves'!R40</f>
        <v>CT-LNG</v>
      </c>
      <c r="C2" s="5">
        <f>'Screening curves'!S40</f>
        <v>65.002501490990369</v>
      </c>
      <c r="D2" s="5">
        <f>'Screening curves'!T40</f>
        <v>65.002501490990369</v>
      </c>
    </row>
    <row r="3" spans="1:4" x14ac:dyDescent="0.25">
      <c r="A3">
        <f>'Screening curves'!Q41</f>
        <v>8760</v>
      </c>
      <c r="B3" t="str">
        <f>'Screening curves'!R41</f>
        <v>CT-LNG</v>
      </c>
      <c r="C3" s="5">
        <f>'Screening curves'!S41</f>
        <v>1177.2962457334145</v>
      </c>
      <c r="D3" s="5">
        <f>'Screening curves'!T41</f>
        <v>1177.2962457334145</v>
      </c>
    </row>
    <row r="4" spans="1:4" x14ac:dyDescent="0.25">
      <c r="A4">
        <f>'Screening curves'!Q42</f>
        <v>0</v>
      </c>
      <c r="B4" t="str">
        <f>'Screening curves'!R42</f>
        <v>CCGT-LNG</v>
      </c>
      <c r="C4" s="5">
        <f>'Screening curves'!S42</f>
        <v>77.517144561131843</v>
      </c>
      <c r="D4" s="5">
        <f>'Screening curves'!T42</f>
        <v>77.517144561131843</v>
      </c>
    </row>
    <row r="5" spans="1:4" x14ac:dyDescent="0.25">
      <c r="A5">
        <f>'Screening curves'!Q43</f>
        <v>8760</v>
      </c>
      <c r="B5" t="str">
        <f>'Screening curves'!R43</f>
        <v>CCGT-LNG</v>
      </c>
      <c r="C5" s="5">
        <f>'Screening curves'!S43</f>
        <v>821.56369225343963</v>
      </c>
      <c r="D5" s="5">
        <f>'Screening curves'!T43</f>
        <v>821.56369225343963</v>
      </c>
    </row>
    <row r="6" spans="1:4" x14ac:dyDescent="0.25">
      <c r="A6">
        <f>'Screening curves'!Q44</f>
        <v>0</v>
      </c>
      <c r="B6" t="str">
        <f>'Screening curves'!R44</f>
        <v>Coal</v>
      </c>
      <c r="C6" s="5">
        <f>'Screening curves'!S44</f>
        <v>125.88777825200532</v>
      </c>
      <c r="D6" s="5">
        <f>'Screening curves'!T44</f>
        <v>319.55214197483451</v>
      </c>
    </row>
    <row r="7" spans="1:4" x14ac:dyDescent="0.25">
      <c r="A7">
        <f>'Screening curves'!Q45</f>
        <v>8760</v>
      </c>
      <c r="B7" t="str">
        <f>'Screening curves'!R45</f>
        <v>Coal</v>
      </c>
      <c r="C7" s="5">
        <f>'Screening curves'!S45</f>
        <v>410.29526277841552</v>
      </c>
      <c r="D7" s="5">
        <f>'Screening curves'!T45</f>
        <v>603.95962650124466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M5" sqref="M5"/>
    </sheetView>
  </sheetViews>
  <sheetFormatPr defaultRowHeight="15" x14ac:dyDescent="0.25"/>
  <cols>
    <col min="5" max="6" width="12" bestFit="1" customWidth="1"/>
    <col min="7" max="7" width="15.85546875" bestFit="1" customWidth="1"/>
  </cols>
  <sheetData>
    <row r="1" spans="1:7" x14ac:dyDescent="0.25">
      <c r="A1" t="str">
        <f>'Screening curves'!Q48</f>
        <v>cost_type</v>
      </c>
      <c r="B1" t="str">
        <f>'Screening curves'!R48</f>
        <v>technology</v>
      </c>
      <c r="C1" t="str">
        <f>'Screening curves'!S9</f>
        <v>coallc</v>
      </c>
      <c r="D1" t="str">
        <f>'Screening curves'!T9</f>
        <v>coalhc</v>
      </c>
      <c r="E1" t="str">
        <f>'Screening curves'!U9</f>
        <v>coallcW30lc</v>
      </c>
      <c r="F1" t="str">
        <f>'Screening curves'!V9</f>
        <v>coallcS30lc</v>
      </c>
      <c r="G1" t="str">
        <f>'Screening curves'!W9</f>
        <v>coallcW30lcS30lc</v>
      </c>
    </row>
    <row r="2" spans="1:7" x14ac:dyDescent="0.25">
      <c r="A2" t="str">
        <f>'Screening curves'!Q49</f>
        <v>capital</v>
      </c>
      <c r="B2" t="str">
        <f>'Screening curves'!R49</f>
        <v>ct</v>
      </c>
      <c r="C2" s="5">
        <f>'Screening curves'!S49</f>
        <v>678.26769230769241</v>
      </c>
      <c r="D2" s="5">
        <f>'Screening curves'!T49</f>
        <v>678.26769230769241</v>
      </c>
      <c r="E2" s="5">
        <f>'Screening curves'!U49</f>
        <v>678.26769230769241</v>
      </c>
      <c r="F2" s="5">
        <f>'Screening curves'!V49</f>
        <v>678.26769230769241</v>
      </c>
      <c r="G2" s="5">
        <f>'Screening curves'!W49</f>
        <v>678.26769230769241</v>
      </c>
    </row>
    <row r="3" spans="1:7" x14ac:dyDescent="0.25">
      <c r="A3" t="str">
        <f>'Screening curves'!Q50</f>
        <v>om</v>
      </c>
      <c r="B3" t="str">
        <f>'Screening curves'!R50</f>
        <v>ct</v>
      </c>
      <c r="C3" s="5">
        <f>'Screening curves'!S50</f>
        <v>6.8</v>
      </c>
      <c r="D3" s="5">
        <f>'Screening curves'!T50</f>
        <v>6.8</v>
      </c>
      <c r="E3" s="5">
        <f>'Screening curves'!U50</f>
        <v>6.8</v>
      </c>
      <c r="F3" s="5">
        <f>'Screening curves'!V50</f>
        <v>6.8</v>
      </c>
      <c r="G3" s="5">
        <f>'Screening curves'!W50</f>
        <v>6.8</v>
      </c>
    </row>
    <row r="4" spans="1:7" x14ac:dyDescent="0.25">
      <c r="A4" t="str">
        <f>'Screening curves'!Q51</f>
        <v>capital</v>
      </c>
      <c r="B4" t="str">
        <f>'Screening curves'!R51</f>
        <v>ccgt</v>
      </c>
      <c r="C4" s="5">
        <f>'Screening curves'!S51</f>
        <v>775.16307692307703</v>
      </c>
      <c r="D4" s="5">
        <f>'Screening curves'!T51</f>
        <v>775.16307692307703</v>
      </c>
      <c r="E4" s="5">
        <f>'Screening curves'!U51</f>
        <v>775.16307692307703</v>
      </c>
      <c r="F4" s="5">
        <f>'Screening curves'!V51</f>
        <v>775.16307692307703</v>
      </c>
      <c r="G4" s="5">
        <f>'Screening curves'!W51</f>
        <v>775.16307692307703</v>
      </c>
    </row>
    <row r="5" spans="1:7" x14ac:dyDescent="0.25">
      <c r="A5" t="str">
        <f>'Screening curves'!Q52</f>
        <v>om</v>
      </c>
      <c r="B5" t="str">
        <f>'Screening curves'!R52</f>
        <v>ccgt</v>
      </c>
      <c r="C5" s="5">
        <f>'Screening curves'!S52</f>
        <v>11</v>
      </c>
      <c r="D5" s="5">
        <f>'Screening curves'!T52</f>
        <v>11</v>
      </c>
      <c r="E5" s="5">
        <f>'Screening curves'!U52</f>
        <v>11</v>
      </c>
      <c r="F5" s="5">
        <f>'Screening curves'!V52</f>
        <v>11</v>
      </c>
      <c r="G5" s="5">
        <f>'Screening curves'!W52</f>
        <v>11</v>
      </c>
    </row>
    <row r="6" spans="1:7" x14ac:dyDescent="0.25">
      <c r="A6" t="str">
        <f>'Screening curves'!Q53</f>
        <v>capital</v>
      </c>
      <c r="B6" t="str">
        <f>'Screening curves'!R53</f>
        <v>coal</v>
      </c>
      <c r="C6" s="5">
        <f>'Screening curves'!S53</f>
        <v>976.42784318082204</v>
      </c>
      <c r="D6" s="5">
        <f>'Screening curves'!T53</f>
        <v>3233.3116144883943</v>
      </c>
      <c r="E6" s="5">
        <f>'Screening curves'!U53</f>
        <v>976.42784318082204</v>
      </c>
      <c r="F6" s="5">
        <f>'Screening curves'!V53</f>
        <v>976.42784318082204</v>
      </c>
      <c r="G6" s="5">
        <f>'Screening curves'!W53</f>
        <v>976.42784318082204</v>
      </c>
    </row>
    <row r="7" spans="1:7" x14ac:dyDescent="0.25">
      <c r="A7" t="str">
        <f>'Screening curves'!Q54</f>
        <v>om</v>
      </c>
      <c r="B7" t="str">
        <f>'Screening curves'!R54</f>
        <v>coal</v>
      </c>
      <c r="C7" s="5">
        <f>'Screening curves'!S54</f>
        <v>42.1</v>
      </c>
      <c r="D7" s="5">
        <f>'Screening curves'!T54</f>
        <v>42.1</v>
      </c>
      <c r="E7" s="5">
        <f>'Screening curves'!U54</f>
        <v>42.1</v>
      </c>
      <c r="F7" s="5">
        <f>'Screening curves'!V54</f>
        <v>42.1</v>
      </c>
      <c r="G7" s="5">
        <f>'Screening curves'!W54</f>
        <v>42.1</v>
      </c>
    </row>
    <row r="8" spans="1:7" x14ac:dyDescent="0.25">
      <c r="A8" t="str">
        <f>'Screening curves'!Q55</f>
        <v>capital</v>
      </c>
      <c r="B8" t="str">
        <f>'Screening curves'!R55</f>
        <v>wind</v>
      </c>
      <c r="C8" s="5">
        <f>'Screening curves'!S55</f>
        <v>1100</v>
      </c>
      <c r="D8" s="5">
        <f>'Screening curves'!T55</f>
        <v>1100</v>
      </c>
      <c r="E8" s="5">
        <f>'Screening curves'!U55</f>
        <v>770</v>
      </c>
      <c r="F8" s="5">
        <f>'Screening curves'!V55</f>
        <v>1100</v>
      </c>
      <c r="G8" s="5">
        <f>'Screening curves'!W55</f>
        <v>770</v>
      </c>
    </row>
    <row r="9" spans="1:7" x14ac:dyDescent="0.25">
      <c r="A9" t="str">
        <f>'Screening curves'!Q56</f>
        <v>om</v>
      </c>
      <c r="B9" t="str">
        <f>'Screening curves'!R56</f>
        <v>wind</v>
      </c>
      <c r="C9" s="5">
        <f>'Screening curves'!S56</f>
        <v>15</v>
      </c>
      <c r="D9" s="5">
        <f>'Screening curves'!T56</f>
        <v>15</v>
      </c>
      <c r="E9" s="5">
        <f>'Screening curves'!U56</f>
        <v>15</v>
      </c>
      <c r="F9" s="5">
        <f>'Screening curves'!V56</f>
        <v>15</v>
      </c>
      <c r="G9" s="5">
        <f>'Screening curves'!W56</f>
        <v>15</v>
      </c>
    </row>
    <row r="10" spans="1:7" x14ac:dyDescent="0.25">
      <c r="A10" t="str">
        <f>'Screening curves'!Q57</f>
        <v>capital</v>
      </c>
      <c r="B10" t="str">
        <f>'Screening curves'!R57</f>
        <v>solarPV</v>
      </c>
      <c r="C10" s="5">
        <f>'Screening curves'!S57</f>
        <v>900</v>
      </c>
      <c r="D10" s="5">
        <f>'Screening curves'!T57</f>
        <v>900</v>
      </c>
      <c r="E10" s="5">
        <f>'Screening curves'!U57</f>
        <v>900</v>
      </c>
      <c r="F10" s="5">
        <f>'Screening curves'!V57</f>
        <v>630</v>
      </c>
      <c r="G10" s="5">
        <f>'Screening curves'!W57</f>
        <v>630</v>
      </c>
    </row>
    <row r="11" spans="1:7" x14ac:dyDescent="0.25">
      <c r="A11" t="str">
        <f>'Screening curves'!Q58</f>
        <v>om</v>
      </c>
      <c r="B11" t="str">
        <f>'Screening curves'!R58</f>
        <v>solarPV</v>
      </c>
      <c r="C11" s="5">
        <f>'Screening curves'!S58</f>
        <v>10</v>
      </c>
      <c r="D11" s="5">
        <f>'Screening curves'!T58</f>
        <v>10</v>
      </c>
      <c r="E11" s="5">
        <f>'Screening curves'!U58</f>
        <v>10</v>
      </c>
      <c r="F11" s="5">
        <f>'Screening curves'!V58</f>
        <v>10</v>
      </c>
      <c r="G11" s="5">
        <f>'Screening curves'!W58</f>
        <v>10</v>
      </c>
    </row>
    <row r="12" spans="1:7" x14ac:dyDescent="0.25">
      <c r="A12" t="str">
        <f>'Screening curves'!Q59</f>
        <v>capital</v>
      </c>
      <c r="B12" t="str">
        <f>'Screening curves'!R59</f>
        <v>battery</v>
      </c>
      <c r="C12" s="5">
        <f>'Screening curves'!S59</f>
        <v>0</v>
      </c>
      <c r="D12" s="5">
        <f>'Screening curves'!T59</f>
        <v>0</v>
      </c>
      <c r="E12" s="5">
        <f>'Screening curves'!U59</f>
        <v>0</v>
      </c>
      <c r="F12" s="5">
        <f>'Screening curves'!V59</f>
        <v>0</v>
      </c>
      <c r="G12" s="5">
        <f>'Screening curves'!W59</f>
        <v>0</v>
      </c>
    </row>
    <row r="13" spans="1:7" x14ac:dyDescent="0.25">
      <c r="A13" t="str">
        <f>'Screening curves'!Q60</f>
        <v>om</v>
      </c>
      <c r="B13" t="str">
        <f>'Screening curves'!R60</f>
        <v>battery</v>
      </c>
      <c r="C13" s="5">
        <f>'Screening curves'!S60</f>
        <v>0</v>
      </c>
      <c r="D13" s="5">
        <f>'Screening curves'!T60</f>
        <v>0</v>
      </c>
      <c r="E13" s="5">
        <f>'Screening curves'!U60</f>
        <v>0</v>
      </c>
      <c r="F13" s="5">
        <f>'Screening curves'!V60</f>
        <v>0</v>
      </c>
      <c r="G13" s="5">
        <f>'Screening curves'!W60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8"/>
  <sheetViews>
    <sheetView topLeftCell="A28" workbookViewId="0">
      <selection activeCell="D16" sqref="D16"/>
    </sheetView>
  </sheetViews>
  <sheetFormatPr defaultRowHeight="15" x14ac:dyDescent="0.25"/>
  <cols>
    <col min="1" max="1" width="25.5703125" customWidth="1"/>
  </cols>
  <sheetData>
    <row r="1" spans="1:8" x14ac:dyDescent="0.25">
      <c r="A1" s="7" t="s">
        <v>99</v>
      </c>
    </row>
    <row r="3" spans="1:8" x14ac:dyDescent="0.25">
      <c r="B3" s="7" t="s">
        <v>1</v>
      </c>
      <c r="C3" s="7" t="s">
        <v>2</v>
      </c>
      <c r="D3" s="7" t="s">
        <v>66</v>
      </c>
      <c r="E3" s="7" t="s">
        <v>67</v>
      </c>
      <c r="F3" s="7" t="s">
        <v>80</v>
      </c>
      <c r="G3" s="7" t="s">
        <v>81</v>
      </c>
      <c r="H3" s="7" t="s">
        <v>68</v>
      </c>
    </row>
    <row r="4" spans="1:8" x14ac:dyDescent="0.25">
      <c r="A4" s="7" t="s">
        <v>78</v>
      </c>
    </row>
    <row r="5" spans="1:8" x14ac:dyDescent="0.25">
      <c r="A5" t="s">
        <v>115</v>
      </c>
      <c r="B5">
        <v>678</v>
      </c>
      <c r="C5">
        <v>978</v>
      </c>
      <c r="D5">
        <v>3636</v>
      </c>
      <c r="F5">
        <v>5945</v>
      </c>
      <c r="H5" t="s">
        <v>79</v>
      </c>
    </row>
    <row r="6" spans="1:8" x14ac:dyDescent="0.25">
      <c r="A6" t="s">
        <v>125</v>
      </c>
      <c r="B6" s="5">
        <f>B5*'inflation rate'!$J$31</f>
        <v>686.54279999999994</v>
      </c>
      <c r="C6" s="5">
        <f>C5*'inflation rate'!$J$31</f>
        <v>990.32279999999992</v>
      </c>
      <c r="D6" s="5">
        <f>D5*'inflation rate'!$J$31</f>
        <v>3681.8136</v>
      </c>
      <c r="E6" s="5"/>
      <c r="F6" s="5">
        <f>F5*'inflation rate'!$J$31</f>
        <v>6019.9069999999992</v>
      </c>
      <c r="H6" t="s">
        <v>127</v>
      </c>
    </row>
    <row r="7" spans="1:8" x14ac:dyDescent="0.25">
      <c r="A7" t="s">
        <v>85</v>
      </c>
      <c r="B7">
        <v>651</v>
      </c>
      <c r="C7">
        <v>1230</v>
      </c>
      <c r="D7">
        <v>2890</v>
      </c>
      <c r="F7">
        <v>6100</v>
      </c>
      <c r="G7">
        <v>3500</v>
      </c>
      <c r="H7" t="s">
        <v>89</v>
      </c>
    </row>
    <row r="8" spans="1:8" x14ac:dyDescent="0.25">
      <c r="A8" t="s">
        <v>125</v>
      </c>
      <c r="B8" s="5">
        <f>B7*'inflation rate'!$D$31</f>
        <v>728.33420796953112</v>
      </c>
      <c r="C8" s="5">
        <f>C7*'inflation rate'!$D$31</f>
        <v>1376.1153238133998</v>
      </c>
      <c r="D8" s="5">
        <f>D7*'inflation rate'!$D$31</f>
        <v>3233.3116144883943</v>
      </c>
      <c r="E8" s="5"/>
      <c r="F8" s="5">
        <f>F7*'inflation rate'!$D$31</f>
        <v>6824.6369717575108</v>
      </c>
      <c r="G8" s="5">
        <f>G7*'inflation rate'!$D$31</f>
        <v>3915.7753116641456</v>
      </c>
      <c r="H8" t="s">
        <v>126</v>
      </c>
    </row>
    <row r="9" spans="1:8" x14ac:dyDescent="0.25">
      <c r="A9" t="s">
        <v>97</v>
      </c>
      <c r="B9">
        <v>358.7</v>
      </c>
      <c r="C9">
        <v>358.7</v>
      </c>
      <c r="D9">
        <v>525</v>
      </c>
      <c r="E9">
        <v>475</v>
      </c>
      <c r="H9" t="s">
        <v>100</v>
      </c>
    </row>
    <row r="10" spans="1:8" x14ac:dyDescent="0.25">
      <c r="A10" t="s">
        <v>108</v>
      </c>
      <c r="B10" s="5">
        <f>B9*'inflation rate'!$G$16</f>
        <v>470.36990449757138</v>
      </c>
      <c r="C10" s="5">
        <f>C9*'inflation rate'!$G$16</f>
        <v>470.36990449757138</v>
      </c>
      <c r="D10" s="5">
        <f>D9*'inflation rate'!$G$16</f>
        <v>688.44215182945356</v>
      </c>
      <c r="E10" s="5">
        <f>E9*'inflation rate'!$G$16</f>
        <v>622.87623260760085</v>
      </c>
      <c r="H10" t="s">
        <v>110</v>
      </c>
    </row>
    <row r="11" spans="1:8" x14ac:dyDescent="0.25">
      <c r="A11" t="s">
        <v>111</v>
      </c>
      <c r="B11" s="5">
        <f>'Data and sources'!B10/'Screening curves'!$E$1*100</f>
        <v>723.64600691934061</v>
      </c>
      <c r="C11" s="5">
        <f>'Data and sources'!C10/'Screening curves'!$E$1*100</f>
        <v>723.64600691934061</v>
      </c>
      <c r="D11" s="5">
        <f>'Data and sources'!D10/'Screening curves'!$E$1*100</f>
        <v>1059.1417720453132</v>
      </c>
      <c r="E11" s="5">
        <f>'Data and sources'!E10/'Screening curves'!$E$1*100</f>
        <v>958.27112708861671</v>
      </c>
      <c r="H11" t="s">
        <v>98</v>
      </c>
    </row>
    <row r="12" spans="1:8" x14ac:dyDescent="0.25">
      <c r="A12" t="s">
        <v>102</v>
      </c>
      <c r="B12">
        <v>420</v>
      </c>
      <c r="C12">
        <v>480</v>
      </c>
      <c r="D12">
        <v>537</v>
      </c>
      <c r="E12">
        <v>508</v>
      </c>
      <c r="H12" t="s">
        <v>101</v>
      </c>
    </row>
    <row r="13" spans="1:8" x14ac:dyDescent="0.25">
      <c r="A13" t="s">
        <v>108</v>
      </c>
      <c r="B13" s="5">
        <f>B12*'inflation rate'!$J$16</f>
        <v>440.87400000000002</v>
      </c>
      <c r="C13" s="5">
        <f>C12*'inflation rate'!$J$16</f>
        <v>503.85600000000005</v>
      </c>
      <c r="D13" s="5">
        <f>D12*'inflation rate'!$J$16</f>
        <v>563.68889999999999</v>
      </c>
      <c r="E13" s="5">
        <f>E12*'inflation rate'!$J$16</f>
        <v>533.24760000000003</v>
      </c>
      <c r="H13" t="s">
        <v>113</v>
      </c>
    </row>
    <row r="14" spans="1:8" x14ac:dyDescent="0.25">
      <c r="A14" t="s">
        <v>114</v>
      </c>
      <c r="B14" s="14">
        <f>'Data and sources'!B13/'Screening curves'!$E$1*100</f>
        <v>678.26769230769241</v>
      </c>
      <c r="C14" s="14">
        <f>'Data and sources'!C13/'Screening curves'!$E$1*100</f>
        <v>775.16307692307703</v>
      </c>
      <c r="D14" s="5">
        <f>'Data and sources'!D13/'Screening curves'!$E$1*100</f>
        <v>867.21369230769233</v>
      </c>
      <c r="E14" s="5">
        <f>'Data and sources'!E13/'Screening curves'!$E$1*100</f>
        <v>820.38092307692307</v>
      </c>
      <c r="H14" t="s">
        <v>101</v>
      </c>
    </row>
    <row r="15" spans="1:8" x14ac:dyDescent="0.25">
      <c r="A15" t="s">
        <v>97</v>
      </c>
      <c r="B15" s="5"/>
      <c r="C15" s="5"/>
      <c r="D15" s="5">
        <v>484</v>
      </c>
      <c r="E15" s="5">
        <v>468</v>
      </c>
      <c r="H15" t="s">
        <v>103</v>
      </c>
    </row>
    <row r="16" spans="1:8" x14ac:dyDescent="0.25">
      <c r="A16" t="s">
        <v>108</v>
      </c>
      <c r="B16" s="5"/>
      <c r="C16" s="5"/>
      <c r="D16" s="5">
        <f>D15*'inflation rate'!$G$16</f>
        <v>634.67809806753428</v>
      </c>
      <c r="E16" s="5">
        <f>E15*'inflation rate'!$G$16</f>
        <v>613.69700391654146</v>
      </c>
      <c r="H16" t="s">
        <v>112</v>
      </c>
    </row>
    <row r="17" spans="1:8" x14ac:dyDescent="0.25">
      <c r="A17" t="s">
        <v>114</v>
      </c>
      <c r="B17" s="5"/>
      <c r="C17" s="5"/>
      <c r="D17" s="14">
        <f>'Data and sources'!D16/'Screening curves'!$E$1*100</f>
        <v>976.42784318082204</v>
      </c>
      <c r="E17" s="5">
        <f>'Data and sources'!E16/'Screening curves'!$E$1*100</f>
        <v>944.14923679467915</v>
      </c>
      <c r="H17" t="s">
        <v>112</v>
      </c>
    </row>
    <row r="19" spans="1:8" x14ac:dyDescent="0.25">
      <c r="A19" s="7" t="s">
        <v>65</v>
      </c>
    </row>
    <row r="20" spans="1:8" x14ac:dyDescent="0.25">
      <c r="A20" t="s">
        <v>129</v>
      </c>
      <c r="B20">
        <v>3813</v>
      </c>
      <c r="C20">
        <v>1657</v>
      </c>
      <c r="D20">
        <v>1627</v>
      </c>
      <c r="E20">
        <v>1808</v>
      </c>
      <c r="H20" t="s">
        <v>117</v>
      </c>
    </row>
    <row r="21" spans="1:8" x14ac:dyDescent="0.25">
      <c r="A21" t="s">
        <v>116</v>
      </c>
      <c r="B21" s="15">
        <f>B20/'Screening curves'!$E$1</f>
        <v>58.661538461538463</v>
      </c>
      <c r="C21" s="15">
        <f>C20/'Screening curves'!$E$1</f>
        <v>25.492307692307691</v>
      </c>
      <c r="D21" s="15">
        <f>D20/'Screening curves'!$E$1</f>
        <v>25.030769230769231</v>
      </c>
      <c r="E21" s="5">
        <f>E20/'Screening curves'!$E$1</f>
        <v>27.815384615384616</v>
      </c>
      <c r="F21" s="5"/>
      <c r="G21" s="5"/>
      <c r="H21" t="s">
        <v>124</v>
      </c>
    </row>
    <row r="22" spans="1:8" x14ac:dyDescent="0.25">
      <c r="A22" t="s">
        <v>130</v>
      </c>
      <c r="B22" s="15">
        <v>0</v>
      </c>
      <c r="C22" s="15">
        <v>0</v>
      </c>
      <c r="D22" s="15">
        <v>0</v>
      </c>
      <c r="E22" s="5">
        <v>0</v>
      </c>
      <c r="F22" s="5"/>
      <c r="G22" s="5"/>
      <c r="H22" t="s">
        <v>128</v>
      </c>
    </row>
    <row r="23" spans="1:8" x14ac:dyDescent="0.25">
      <c r="A23" t="s">
        <v>131</v>
      </c>
      <c r="B23" s="15">
        <v>0</v>
      </c>
      <c r="C23" s="15">
        <v>0</v>
      </c>
      <c r="D23" s="15">
        <v>0</v>
      </c>
      <c r="E23" s="5">
        <v>0</v>
      </c>
      <c r="F23" s="5"/>
      <c r="G23" s="5"/>
      <c r="H23" t="s">
        <v>128</v>
      </c>
    </row>
    <row r="24" spans="1:8" x14ac:dyDescent="0.25">
      <c r="A24" t="s">
        <v>82</v>
      </c>
      <c r="B24" s="7">
        <v>6.8</v>
      </c>
      <c r="C24" s="7">
        <v>11</v>
      </c>
      <c r="D24" s="7">
        <v>42.1</v>
      </c>
      <c r="F24">
        <v>5945</v>
      </c>
      <c r="H24" t="s">
        <v>91</v>
      </c>
    </row>
    <row r="25" spans="1:8" x14ac:dyDescent="0.25">
      <c r="A25" t="s">
        <v>88</v>
      </c>
      <c r="B25">
        <v>10.7</v>
      </c>
      <c r="C25">
        <v>3.5</v>
      </c>
      <c r="D25">
        <v>4.5999999999999996</v>
      </c>
      <c r="H25" t="s">
        <v>92</v>
      </c>
    </row>
    <row r="26" spans="1:8" x14ac:dyDescent="0.25">
      <c r="A26" t="s">
        <v>118</v>
      </c>
      <c r="B26">
        <v>5.26</v>
      </c>
      <c r="C26">
        <v>6.31</v>
      </c>
      <c r="D26">
        <v>23</v>
      </c>
      <c r="F26">
        <v>127</v>
      </c>
      <c r="G26">
        <v>15</v>
      </c>
      <c r="H26" t="s">
        <v>86</v>
      </c>
    </row>
    <row r="27" spans="1:8" x14ac:dyDescent="0.25">
      <c r="A27" t="s">
        <v>119</v>
      </c>
      <c r="B27">
        <v>29.9</v>
      </c>
      <c r="C27">
        <v>3.67</v>
      </c>
      <c r="D27">
        <v>3.71</v>
      </c>
      <c r="F27">
        <v>0</v>
      </c>
      <c r="G27">
        <v>6</v>
      </c>
      <c r="H27" t="s">
        <v>87</v>
      </c>
    </row>
    <row r="28" spans="1:8" x14ac:dyDescent="0.25">
      <c r="A28" t="s">
        <v>122</v>
      </c>
      <c r="B28" s="3">
        <f>B26*'inflation rate'!$D$31</f>
        <v>5.8848508969581159</v>
      </c>
      <c r="C28" s="3">
        <f>C26*'inflation rate'!$D$31</f>
        <v>7.0595834904573591</v>
      </c>
      <c r="D28" s="3">
        <f>D26*'inflation rate'!$D$31</f>
        <v>25.732237762364385</v>
      </c>
      <c r="E28" s="3"/>
      <c r="F28" s="3">
        <f>F26*'inflation rate'!$D$31</f>
        <v>142.086704166099</v>
      </c>
      <c r="G28" s="3">
        <f>G26*'inflation rate'!$D$31</f>
        <v>16.781894192846337</v>
      </c>
      <c r="H28" t="s">
        <v>86</v>
      </c>
    </row>
    <row r="29" spans="1:8" x14ac:dyDescent="0.25">
      <c r="A29" t="s">
        <v>123</v>
      </c>
      <c r="B29" s="3">
        <f>B27*'inflation rate'!$D$31</f>
        <v>33.451909091073702</v>
      </c>
      <c r="C29" s="3">
        <f>C27*'inflation rate'!$D$31</f>
        <v>4.1059701125164043</v>
      </c>
      <c r="D29" s="3">
        <f>D27*'inflation rate'!$D$31</f>
        <v>4.1507218303639943</v>
      </c>
      <c r="E29" s="3"/>
      <c r="F29" s="3">
        <f>F27*'inflation rate'!$D$31</f>
        <v>0</v>
      </c>
      <c r="G29" s="3">
        <f>G27*'inflation rate'!$D$31</f>
        <v>6.7127576771385353</v>
      </c>
      <c r="H29" t="s">
        <v>87</v>
      </c>
    </row>
    <row r="31" spans="1:8" x14ac:dyDescent="0.25">
      <c r="A31" s="7" t="s">
        <v>70</v>
      </c>
    </row>
    <row r="32" spans="1:8" x14ac:dyDescent="0.25">
      <c r="A32" t="s">
        <v>71</v>
      </c>
      <c r="E32">
        <v>2375</v>
      </c>
      <c r="H32" t="s">
        <v>69</v>
      </c>
    </row>
    <row r="33" spans="1:8" x14ac:dyDescent="0.25">
      <c r="A33" t="s">
        <v>71</v>
      </c>
      <c r="B33">
        <v>3065</v>
      </c>
      <c r="C33">
        <v>2071</v>
      </c>
      <c r="H33" t="s">
        <v>94</v>
      </c>
    </row>
    <row r="34" spans="1:8" x14ac:dyDescent="0.25">
      <c r="A34" t="s">
        <v>71</v>
      </c>
      <c r="B34">
        <v>2900</v>
      </c>
      <c r="C34">
        <v>2000</v>
      </c>
      <c r="D34">
        <v>2250</v>
      </c>
      <c r="E34">
        <v>2365</v>
      </c>
      <c r="H34" t="s">
        <v>93</v>
      </c>
    </row>
    <row r="35" spans="1:8" x14ac:dyDescent="0.25">
      <c r="A35" t="s">
        <v>83</v>
      </c>
      <c r="B35">
        <v>9800</v>
      </c>
      <c r="C35">
        <v>6600</v>
      </c>
      <c r="D35">
        <v>8800</v>
      </c>
      <c r="H35" t="s">
        <v>90</v>
      </c>
    </row>
    <row r="36" spans="1:8" x14ac:dyDescent="0.25">
      <c r="A36" t="s">
        <v>95</v>
      </c>
      <c r="B36" s="5">
        <f>B35/'Screening curves'!$E$4</f>
        <v>2471.2091525517758</v>
      </c>
      <c r="C36" s="5">
        <f>C35/'Screening curves'!$E$4</f>
        <v>1664.283714983849</v>
      </c>
      <c r="D36" s="5">
        <f>D35/'Screening curves'!$E$4</f>
        <v>2219.0449533117985</v>
      </c>
      <c r="E36" s="5"/>
      <c r="H36" t="s">
        <v>90</v>
      </c>
    </row>
    <row r="37" spans="1:8" x14ac:dyDescent="0.25">
      <c r="A37" t="s">
        <v>83</v>
      </c>
      <c r="B37">
        <v>10390</v>
      </c>
      <c r="C37">
        <v>6705</v>
      </c>
      <c r="D37">
        <v>9370</v>
      </c>
      <c r="F37">
        <v>9720</v>
      </c>
      <c r="H37" t="s">
        <v>84</v>
      </c>
    </row>
    <row r="38" spans="1:8" x14ac:dyDescent="0.25">
      <c r="A38" t="s">
        <v>95</v>
      </c>
      <c r="B38" s="5">
        <f>B37/'Screening curves'!$E$4</f>
        <v>2619.9860301033623</v>
      </c>
      <c r="C38" s="5">
        <f>C37/'Screening curves'!$E$4</f>
        <v>1690.7609559040466</v>
      </c>
      <c r="D38" s="5">
        <f>D37/'Screening curves'!$E$4</f>
        <v>2362.7785468785855</v>
      </c>
      <c r="E38" s="5"/>
      <c r="H38" t="s">
        <v>84</v>
      </c>
    </row>
    <row r="40" spans="1:8" x14ac:dyDescent="0.25">
      <c r="A40" s="7" t="s">
        <v>134</v>
      </c>
    </row>
    <row r="43" spans="1:8" x14ac:dyDescent="0.25">
      <c r="A43" s="7" t="s">
        <v>135</v>
      </c>
    </row>
    <row r="44" spans="1:8" x14ac:dyDescent="0.25">
      <c r="A44" t="s">
        <v>136</v>
      </c>
      <c r="B44" s="8">
        <v>6.25E-2</v>
      </c>
      <c r="C44" t="s">
        <v>137</v>
      </c>
    </row>
    <row r="45" spans="1:8" x14ac:dyDescent="0.25">
      <c r="B45" s="8">
        <v>0.108</v>
      </c>
      <c r="C45" t="s">
        <v>138</v>
      </c>
    </row>
    <row r="47" spans="1:8" x14ac:dyDescent="0.25">
      <c r="A47" s="7" t="s">
        <v>140</v>
      </c>
    </row>
    <row r="48" spans="1:8" x14ac:dyDescent="0.25">
      <c r="A48" t="s">
        <v>141</v>
      </c>
      <c r="B48">
        <v>10.7</v>
      </c>
      <c r="C48" t="s">
        <v>143</v>
      </c>
    </row>
    <row r="49" spans="1:4" x14ac:dyDescent="0.25">
      <c r="B49">
        <v>8.5</v>
      </c>
      <c r="C49" t="s">
        <v>144</v>
      </c>
    </row>
    <row r="50" spans="1:4" x14ac:dyDescent="0.25">
      <c r="B50" s="7">
        <v>10</v>
      </c>
      <c r="C50" t="s">
        <v>142</v>
      </c>
    </row>
    <row r="51" spans="1:4" x14ac:dyDescent="0.25">
      <c r="B51">
        <v>5.5</v>
      </c>
      <c r="C51" t="s">
        <v>145</v>
      </c>
    </row>
    <row r="52" spans="1:4" x14ac:dyDescent="0.25">
      <c r="C52" t="s">
        <v>164</v>
      </c>
    </row>
    <row r="54" spans="1:4" x14ac:dyDescent="0.25">
      <c r="A54" s="7" t="s">
        <v>146</v>
      </c>
    </row>
    <row r="57" spans="1:4" x14ac:dyDescent="0.25">
      <c r="A57" s="7" t="s">
        <v>150</v>
      </c>
      <c r="B57" t="s">
        <v>159</v>
      </c>
      <c r="C57" t="s">
        <v>160</v>
      </c>
    </row>
    <row r="58" spans="1:4" x14ac:dyDescent="0.25">
      <c r="A58" t="s">
        <v>151</v>
      </c>
      <c r="B58">
        <f>'Screening curves'!E1</f>
        <v>65</v>
      </c>
      <c r="C58">
        <f>B58</f>
        <v>65</v>
      </c>
    </row>
    <row r="59" spans="1:4" x14ac:dyDescent="0.25">
      <c r="A59" t="s">
        <v>152</v>
      </c>
      <c r="B59" s="17">
        <v>1100</v>
      </c>
      <c r="C59" s="17">
        <v>900</v>
      </c>
      <c r="D59" s="17"/>
    </row>
    <row r="60" spans="1:4" x14ac:dyDescent="0.25">
      <c r="A60" t="s">
        <v>162</v>
      </c>
      <c r="B60" s="17">
        <f>B59*B58</f>
        <v>71500</v>
      </c>
      <c r="C60" s="17">
        <f>C59*C58</f>
        <v>58500</v>
      </c>
      <c r="D60" s="17"/>
    </row>
    <row r="61" spans="1:4" ht="15.75" x14ac:dyDescent="0.25">
      <c r="A61" t="s">
        <v>17</v>
      </c>
      <c r="B61" s="18">
        <v>7.0000000000000007E-2</v>
      </c>
      <c r="C61" s="18">
        <v>7.0000000000000007E-2</v>
      </c>
      <c r="D61" s="18"/>
    </row>
    <row r="62" spans="1:4" ht="15.75" x14ac:dyDescent="0.25">
      <c r="A62" t="s">
        <v>156</v>
      </c>
      <c r="B62" s="19">
        <v>25</v>
      </c>
      <c r="C62" s="19">
        <v>25</v>
      </c>
      <c r="D62" s="19"/>
    </row>
    <row r="63" spans="1:4" ht="15.75" x14ac:dyDescent="0.25">
      <c r="A63" t="s">
        <v>19</v>
      </c>
      <c r="B63" s="9">
        <f>(B61*(1+B61)^B62)/(((1+B61)^B62)-1)</f>
        <v>8.5810517220665614E-2</v>
      </c>
      <c r="C63" s="9">
        <f t="shared" ref="C63" si="0">(C61*(1+C61)^C62)/(((1+C61)^C62)-1)</f>
        <v>8.5810517220665614E-2</v>
      </c>
      <c r="D63" s="9"/>
    </row>
    <row r="64" spans="1:4" ht="15.75" x14ac:dyDescent="0.25">
      <c r="A64" t="s">
        <v>157</v>
      </c>
      <c r="B64" s="16">
        <v>15</v>
      </c>
      <c r="C64" s="16">
        <v>10</v>
      </c>
      <c r="D64" s="16"/>
    </row>
    <row r="65" spans="1:4" ht="15.75" x14ac:dyDescent="0.25">
      <c r="A65" t="s">
        <v>158</v>
      </c>
      <c r="B65" s="16">
        <v>0</v>
      </c>
      <c r="C65" s="16">
        <v>0</v>
      </c>
      <c r="D65" s="16"/>
    </row>
    <row r="66" spans="1:4" x14ac:dyDescent="0.25">
      <c r="A66" t="s">
        <v>154</v>
      </c>
      <c r="B66" s="1">
        <v>0.25</v>
      </c>
      <c r="C66" s="1">
        <v>0.19700000000000001</v>
      </c>
      <c r="D66" s="1" t="s">
        <v>161</v>
      </c>
    </row>
    <row r="67" spans="1:4" x14ac:dyDescent="0.25">
      <c r="A67" t="s">
        <v>153</v>
      </c>
      <c r="B67" s="4">
        <f>((B59*B63+B64)/(8760*B66)+B65)*10^3</f>
        <v>49.950488101704188</v>
      </c>
      <c r="C67" s="4">
        <f>((C59*C63+C64)/(8760*C66)+C65)*10^3</f>
        <v>50.546708329624188</v>
      </c>
      <c r="D67" s="4"/>
    </row>
    <row r="68" spans="1:4" x14ac:dyDescent="0.25">
      <c r="A68" t="s">
        <v>155</v>
      </c>
      <c r="B68" s="4">
        <f>B67*B58/10^3</f>
        <v>3.2467817266107724</v>
      </c>
      <c r="C68" s="4">
        <f>C67*C58/10^3</f>
        <v>3.2855360414255723</v>
      </c>
      <c r="D68" s="4"/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7" workbookViewId="0">
      <selection activeCell="B14" sqref="B14:B17"/>
    </sheetView>
  </sheetViews>
  <sheetFormatPr defaultRowHeight="15" x14ac:dyDescent="0.25"/>
  <cols>
    <col min="2" max="2" width="15.85546875" customWidth="1"/>
    <col min="3" max="3" width="12.42578125" customWidth="1"/>
    <col min="4" max="4" width="9" customWidth="1"/>
    <col min="5" max="5" width="8.7109375" customWidth="1"/>
  </cols>
  <sheetData>
    <row r="1" spans="1:12" x14ac:dyDescent="0.25">
      <c r="A1" t="s">
        <v>104</v>
      </c>
    </row>
    <row r="2" spans="1:12" x14ac:dyDescent="0.25">
      <c r="A2" t="s">
        <v>106</v>
      </c>
    </row>
    <row r="3" spans="1:12" x14ac:dyDescent="0.25">
      <c r="A3" t="s">
        <v>105</v>
      </c>
    </row>
    <row r="5" spans="1:12" x14ac:dyDescent="0.25">
      <c r="A5" t="s">
        <v>120</v>
      </c>
    </row>
    <row r="6" spans="1:12" x14ac:dyDescent="0.25">
      <c r="A6" t="s">
        <v>109</v>
      </c>
    </row>
    <row r="7" spans="1:12" ht="30" customHeight="1" x14ac:dyDescent="0.25">
      <c r="B7" s="13" t="s">
        <v>107</v>
      </c>
      <c r="C7">
        <v>2008</v>
      </c>
      <c r="D7">
        <v>2009</v>
      </c>
      <c r="E7">
        <v>2010</v>
      </c>
      <c r="F7">
        <v>2011</v>
      </c>
      <c r="G7">
        <v>2012</v>
      </c>
      <c r="H7">
        <v>2013</v>
      </c>
      <c r="I7">
        <v>2014</v>
      </c>
      <c r="J7">
        <v>2015</v>
      </c>
      <c r="K7">
        <v>2016</v>
      </c>
      <c r="L7">
        <v>2017</v>
      </c>
    </row>
    <row r="8" spans="1:12" x14ac:dyDescent="0.25">
      <c r="A8">
        <v>2008</v>
      </c>
      <c r="B8" s="8">
        <v>8.3199999999999996E-2</v>
      </c>
      <c r="C8">
        <v>1</v>
      </c>
      <c r="D8" s="2"/>
    </row>
    <row r="9" spans="1:12" x14ac:dyDescent="0.25">
      <c r="A9">
        <v>2009</v>
      </c>
      <c r="B9" s="8">
        <v>0.10829999999999999</v>
      </c>
      <c r="C9" s="2">
        <f>C8*(1+$B9)</f>
        <v>1.1083000000000001</v>
      </c>
      <c r="D9">
        <v>1</v>
      </c>
    </row>
    <row r="10" spans="1:12" x14ac:dyDescent="0.25">
      <c r="A10">
        <v>2010</v>
      </c>
      <c r="B10" s="8">
        <v>0.1211</v>
      </c>
      <c r="C10" s="2">
        <f t="shared" ref="C10:C17" si="0">C9*(1+B10)</f>
        <v>1.2425151300000001</v>
      </c>
      <c r="D10" s="2">
        <f>D9*(1+$B10)</f>
        <v>1.1211</v>
      </c>
      <c r="E10">
        <v>1</v>
      </c>
    </row>
    <row r="11" spans="1:12" x14ac:dyDescent="0.25">
      <c r="A11">
        <v>2011</v>
      </c>
      <c r="B11" s="8">
        <v>8.8700000000000001E-2</v>
      </c>
      <c r="C11" s="2">
        <f t="shared" si="0"/>
        <v>1.3527262220310001</v>
      </c>
      <c r="D11" s="2">
        <f t="shared" ref="D11:D17" si="1">D10*(1+$B11)</f>
        <v>1.22054157</v>
      </c>
      <c r="E11" s="2">
        <f>E10*(1+$B11)</f>
        <v>1.0887</v>
      </c>
      <c r="F11">
        <v>1</v>
      </c>
    </row>
    <row r="12" spans="1:12" x14ac:dyDescent="0.25">
      <c r="A12">
        <v>2012</v>
      </c>
      <c r="B12" s="8">
        <v>9.2999999999999999E-2</v>
      </c>
      <c r="C12" s="2">
        <f t="shared" si="0"/>
        <v>1.4785297606798831</v>
      </c>
      <c r="D12" s="2">
        <f t="shared" si="1"/>
        <v>1.3340519360099998</v>
      </c>
      <c r="E12" s="2">
        <f t="shared" ref="E12:E17" si="2">E11*(1+$B12)</f>
        <v>1.1899491</v>
      </c>
      <c r="F12" s="2">
        <f>F11*(1+$B12)</f>
        <v>1.093</v>
      </c>
      <c r="G12">
        <v>1</v>
      </c>
    </row>
    <row r="13" spans="1:12" x14ac:dyDescent="0.25">
      <c r="A13">
        <v>2013</v>
      </c>
      <c r="B13" s="8">
        <v>0.10920000000000001</v>
      </c>
      <c r="C13" s="2">
        <f t="shared" si="0"/>
        <v>1.6399852105461263</v>
      </c>
      <c r="D13" s="2">
        <f t="shared" si="1"/>
        <v>1.4797304074222917</v>
      </c>
      <c r="E13" s="2">
        <f t="shared" si="2"/>
        <v>1.3198915417199999</v>
      </c>
      <c r="F13" s="2">
        <f t="shared" ref="F13:F17" si="3">F12*(1+$B13)</f>
        <v>1.2123556</v>
      </c>
      <c r="G13" s="2">
        <f>G12*(1+$B13)</f>
        <v>1.1092</v>
      </c>
      <c r="H13">
        <v>1</v>
      </c>
    </row>
    <row r="14" spans="1:12" x14ac:dyDescent="0.25">
      <c r="A14">
        <v>2014</v>
      </c>
      <c r="B14" s="8">
        <v>6.3700000000000007E-2</v>
      </c>
      <c r="C14" s="2">
        <f t="shared" si="0"/>
        <v>1.7444522684579147</v>
      </c>
      <c r="D14" s="2">
        <f t="shared" si="1"/>
        <v>1.5739892343750919</v>
      </c>
      <c r="E14" s="2">
        <f t="shared" si="2"/>
        <v>1.403968632927564</v>
      </c>
      <c r="F14" s="2">
        <f t="shared" si="3"/>
        <v>1.2895826517200002</v>
      </c>
      <c r="G14" s="2">
        <f t="shared" ref="G14:G17" si="4">G13*(1+$B14)</f>
        <v>1.17985604</v>
      </c>
      <c r="H14" s="2">
        <f>H13*(1+$B14)</f>
        <v>1.0637000000000001</v>
      </c>
      <c r="I14">
        <v>1</v>
      </c>
    </row>
    <row r="15" spans="1:12" x14ac:dyDescent="0.25">
      <c r="A15">
        <v>2015</v>
      </c>
      <c r="B15" s="8">
        <v>5.8799999999999998E-2</v>
      </c>
      <c r="C15" s="2">
        <f t="shared" si="0"/>
        <v>1.8470260618432399</v>
      </c>
      <c r="D15" s="2">
        <f t="shared" si="1"/>
        <v>1.6665398013563473</v>
      </c>
      <c r="E15" s="2">
        <f t="shared" si="2"/>
        <v>1.4865219885437047</v>
      </c>
      <c r="F15" s="2">
        <f t="shared" si="3"/>
        <v>1.3654101116411361</v>
      </c>
      <c r="G15" s="2">
        <f t="shared" si="4"/>
        <v>1.249231575152</v>
      </c>
      <c r="H15" s="2">
        <f t="shared" ref="H15:H17" si="5">H14*(1+$B15)</f>
        <v>1.1262455600000001</v>
      </c>
      <c r="I15" s="2">
        <f>I14*(1+$B15)</f>
        <v>1.0588</v>
      </c>
      <c r="J15">
        <v>1</v>
      </c>
    </row>
    <row r="16" spans="1:12" x14ac:dyDescent="0.25">
      <c r="A16">
        <v>2016</v>
      </c>
      <c r="B16" s="8">
        <v>4.9700000000000001E-2</v>
      </c>
      <c r="C16" s="2">
        <f t="shared" si="0"/>
        <v>1.9388232571168491</v>
      </c>
      <c r="D16" s="2">
        <f t="shared" si="1"/>
        <v>1.7493668294837579</v>
      </c>
      <c r="E16" s="2">
        <f t="shared" si="2"/>
        <v>1.5604021313743268</v>
      </c>
      <c r="F16" s="2">
        <f t="shared" si="3"/>
        <v>1.4332709941897006</v>
      </c>
      <c r="G16" s="2">
        <f t="shared" si="4"/>
        <v>1.3113183844370544</v>
      </c>
      <c r="H16" s="2">
        <f t="shared" si="5"/>
        <v>1.1822199643320002</v>
      </c>
      <c r="I16" s="2">
        <f t="shared" ref="I16:I17" si="6">I15*(1+$B16)</f>
        <v>1.1114223599999999</v>
      </c>
      <c r="J16" s="2">
        <f>J15*(1+$B16)</f>
        <v>1.0497000000000001</v>
      </c>
      <c r="K16">
        <v>1</v>
      </c>
    </row>
    <row r="17" spans="1:12" x14ac:dyDescent="0.25">
      <c r="A17">
        <v>2017</v>
      </c>
      <c r="B17" s="8">
        <v>2.0799999999999999E-2</v>
      </c>
      <c r="C17" s="2">
        <f t="shared" si="0"/>
        <v>1.9791507808648794</v>
      </c>
      <c r="D17" s="2">
        <f t="shared" si="1"/>
        <v>1.7857536595370198</v>
      </c>
      <c r="E17" s="2">
        <f t="shared" si="2"/>
        <v>1.5928584957069127</v>
      </c>
      <c r="F17" s="2">
        <f t="shared" si="3"/>
        <v>1.4630830308688463</v>
      </c>
      <c r="G17" s="2">
        <f t="shared" si="4"/>
        <v>1.3385938068333449</v>
      </c>
      <c r="H17" s="2">
        <f t="shared" si="5"/>
        <v>1.2068101395901056</v>
      </c>
      <c r="I17" s="2">
        <f t="shared" si="6"/>
        <v>1.1345399450879998</v>
      </c>
      <c r="J17" s="2">
        <f>J16*(1+$B17)</f>
        <v>1.0715337600000001</v>
      </c>
      <c r="K17" s="2">
        <f>K16*(1+$B17)</f>
        <v>1.0207999999999999</v>
      </c>
      <c r="L17">
        <v>1</v>
      </c>
    </row>
    <row r="20" spans="1:12" x14ac:dyDescent="0.25">
      <c r="A20" t="s">
        <v>121</v>
      </c>
    </row>
    <row r="21" spans="1:12" x14ac:dyDescent="0.25">
      <c r="A21" t="s">
        <v>109</v>
      </c>
    </row>
    <row r="22" spans="1:12" ht="30" x14ac:dyDescent="0.25">
      <c r="B22" s="13" t="s">
        <v>107</v>
      </c>
      <c r="C22">
        <v>2008</v>
      </c>
      <c r="D22">
        <v>2009</v>
      </c>
      <c r="E22">
        <v>2010</v>
      </c>
      <c r="F22">
        <v>2011</v>
      </c>
      <c r="G22">
        <v>2012</v>
      </c>
      <c r="H22">
        <v>2013</v>
      </c>
      <c r="I22">
        <v>2014</v>
      </c>
      <c r="J22">
        <v>2015</v>
      </c>
      <c r="K22">
        <v>2016</v>
      </c>
      <c r="L22">
        <v>2017</v>
      </c>
    </row>
    <row r="23" spans="1:12" x14ac:dyDescent="0.25">
      <c r="A23">
        <v>2008</v>
      </c>
      <c r="B23" s="8">
        <v>3.85E-2</v>
      </c>
      <c r="C23">
        <v>1</v>
      </c>
      <c r="D23" s="2"/>
    </row>
    <row r="24" spans="1:12" x14ac:dyDescent="0.25">
      <c r="A24">
        <v>2009</v>
      </c>
      <c r="B24" s="8">
        <v>-3.3999999999999998E-3</v>
      </c>
      <c r="C24" s="2">
        <f>C23*(1+$B24)</f>
        <v>0.99660000000000004</v>
      </c>
      <c r="D24">
        <v>1</v>
      </c>
    </row>
    <row r="25" spans="1:12" x14ac:dyDescent="0.25">
      <c r="A25">
        <v>2010</v>
      </c>
      <c r="B25" s="8">
        <v>1.6400000000000001E-2</v>
      </c>
      <c r="C25" s="2">
        <f t="shared" ref="C25:C32" si="7">C24*(1+B25)</f>
        <v>1.0129442399999999</v>
      </c>
      <c r="D25" s="2">
        <f>D24*(1+$B25)</f>
        <v>1.0164</v>
      </c>
      <c r="E25">
        <v>1</v>
      </c>
    </row>
    <row r="26" spans="1:12" x14ac:dyDescent="0.25">
      <c r="A26">
        <v>2011</v>
      </c>
      <c r="B26" s="8">
        <v>3.1600000000000003E-2</v>
      </c>
      <c r="C26" s="2">
        <f t="shared" si="7"/>
        <v>1.0449532779840001</v>
      </c>
      <c r="D26" s="2">
        <f t="shared" ref="D26:D32" si="8">D25*(1+$B26)</f>
        <v>1.0485182399999999</v>
      </c>
      <c r="E26" s="2">
        <f>E25*(1+$B26)</f>
        <v>1.0316000000000001</v>
      </c>
      <c r="F26">
        <v>1</v>
      </c>
    </row>
    <row r="27" spans="1:12" x14ac:dyDescent="0.25">
      <c r="A27">
        <v>2012</v>
      </c>
      <c r="B27" s="8">
        <v>2.07E-2</v>
      </c>
      <c r="C27" s="2">
        <f t="shared" si="7"/>
        <v>1.0665838108382688</v>
      </c>
      <c r="D27" s="2">
        <f t="shared" si="8"/>
        <v>1.0702225675679999</v>
      </c>
      <c r="E27" s="2">
        <f t="shared" ref="E27:E32" si="9">E26*(1+$B27)</f>
        <v>1.0529541200000001</v>
      </c>
      <c r="F27" s="2">
        <f>F26*(1+$B27)</f>
        <v>1.0206999999999999</v>
      </c>
      <c r="G27">
        <v>1</v>
      </c>
    </row>
    <row r="28" spans="1:12" x14ac:dyDescent="0.25">
      <c r="A28">
        <v>2013</v>
      </c>
      <c r="B28" s="8">
        <v>1.47E-2</v>
      </c>
      <c r="C28" s="2">
        <f t="shared" si="7"/>
        <v>1.0822625928575913</v>
      </c>
      <c r="D28" s="2">
        <f t="shared" si="8"/>
        <v>1.0859548393112495</v>
      </c>
      <c r="E28" s="2">
        <f t="shared" si="9"/>
        <v>1.068432545564</v>
      </c>
      <c r="F28" s="2">
        <f t="shared" ref="F28:F32" si="10">F27*(1+$B28)</f>
        <v>1.03570429</v>
      </c>
      <c r="G28" s="2">
        <f>G27*(1+$B28)</f>
        <v>1.0146999999999999</v>
      </c>
      <c r="H28">
        <v>1</v>
      </c>
    </row>
    <row r="29" spans="1:12" x14ac:dyDescent="0.25">
      <c r="A29">
        <v>2014</v>
      </c>
      <c r="B29" s="8">
        <v>1.6199999999999999E-2</v>
      </c>
      <c r="C29" s="2">
        <f t="shared" si="7"/>
        <v>1.0997952468618843</v>
      </c>
      <c r="D29" s="2">
        <f t="shared" si="8"/>
        <v>1.1035473077080917</v>
      </c>
      <c r="E29" s="2">
        <f t="shared" si="9"/>
        <v>1.0857411528021368</v>
      </c>
      <c r="F29" s="2">
        <f t="shared" si="10"/>
        <v>1.0524826994979999</v>
      </c>
      <c r="G29" s="2">
        <f t="shared" ref="G29:G32" si="11">G28*(1+$B29)</f>
        <v>1.0311381399999999</v>
      </c>
      <c r="H29" s="2">
        <f>H28*(1+$B29)</f>
        <v>1.0162</v>
      </c>
      <c r="I29">
        <v>1</v>
      </c>
    </row>
    <row r="30" spans="1:12" x14ac:dyDescent="0.25">
      <c r="A30">
        <v>2015</v>
      </c>
      <c r="B30" s="8">
        <v>1.1999999999999999E-3</v>
      </c>
      <c r="C30" s="2">
        <f t="shared" si="7"/>
        <v>1.1011150011581188</v>
      </c>
      <c r="D30" s="2">
        <f t="shared" si="8"/>
        <v>1.1048715644773415</v>
      </c>
      <c r="E30" s="2">
        <f t="shared" si="9"/>
        <v>1.0870440421854994</v>
      </c>
      <c r="F30" s="2">
        <f t="shared" si="10"/>
        <v>1.0537456787373976</v>
      </c>
      <c r="G30" s="2">
        <f t="shared" si="11"/>
        <v>1.032375505768</v>
      </c>
      <c r="H30" s="2">
        <f t="shared" ref="H30:H32" si="12">H29*(1+$B30)</f>
        <v>1.0174194400000001</v>
      </c>
      <c r="I30" s="2">
        <f>I29*(1+$B30)</f>
        <v>1.0012000000000001</v>
      </c>
      <c r="J30">
        <v>1</v>
      </c>
    </row>
    <row r="31" spans="1:12" x14ac:dyDescent="0.25">
      <c r="A31">
        <v>2016</v>
      </c>
      <c r="B31" s="8">
        <v>1.26E-2</v>
      </c>
      <c r="C31" s="2">
        <f t="shared" si="7"/>
        <v>1.1149890501727111</v>
      </c>
      <c r="D31" s="2">
        <f t="shared" si="8"/>
        <v>1.1187929461897559</v>
      </c>
      <c r="E31" s="2">
        <f t="shared" si="9"/>
        <v>1.1007407971170367</v>
      </c>
      <c r="F31" s="2">
        <f t="shared" si="10"/>
        <v>1.0670228742894887</v>
      </c>
      <c r="G31" s="2">
        <f t="shared" si="11"/>
        <v>1.0453834371406767</v>
      </c>
      <c r="H31" s="2">
        <f t="shared" si="12"/>
        <v>1.030238924944</v>
      </c>
      <c r="I31" s="2">
        <f t="shared" ref="I31:I32" si="13">I30*(1+$B31)</f>
        <v>1.0138151200000001</v>
      </c>
      <c r="J31" s="2">
        <f>J30*(1+$B31)</f>
        <v>1.0125999999999999</v>
      </c>
      <c r="K31">
        <v>1</v>
      </c>
    </row>
    <row r="32" spans="1:12" x14ac:dyDescent="0.25">
      <c r="A32">
        <v>2017</v>
      </c>
      <c r="B32" s="8">
        <v>2.2200000000000001E-2</v>
      </c>
      <c r="C32" s="2">
        <f t="shared" si="7"/>
        <v>1.1397418070865453</v>
      </c>
      <c r="D32" s="2">
        <f t="shared" si="8"/>
        <v>1.1436301495951684</v>
      </c>
      <c r="E32" s="2">
        <f t="shared" si="9"/>
        <v>1.1251772428130349</v>
      </c>
      <c r="F32" s="2">
        <f t="shared" si="10"/>
        <v>1.0907107820987154</v>
      </c>
      <c r="G32" s="2">
        <f t="shared" si="11"/>
        <v>1.0685909494451997</v>
      </c>
      <c r="H32" s="2">
        <f t="shared" si="12"/>
        <v>1.0531102290777568</v>
      </c>
      <c r="I32" s="2">
        <f t="shared" si="13"/>
        <v>1.0363218156640002</v>
      </c>
      <c r="J32" s="2">
        <f>J31*(1+$B32)</f>
        <v>1.0350797199999999</v>
      </c>
      <c r="K32" s="2">
        <f>K31*(1+$B32)</f>
        <v>1.0222</v>
      </c>
      <c r="L3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H31" sqref="H31"/>
    </sheetView>
  </sheetViews>
  <sheetFormatPr defaultRowHeight="15" x14ac:dyDescent="0.25"/>
  <cols>
    <col min="1" max="1" width="27.28515625" customWidth="1"/>
    <col min="2" max="2" width="20.5703125" bestFit="1" customWidth="1"/>
    <col min="3" max="3" width="18.28515625" bestFit="1" customWidth="1"/>
    <col min="4" max="4" width="30.5703125" bestFit="1" customWidth="1"/>
    <col min="5" max="5" width="22.5703125" bestFit="1" customWidth="1"/>
    <col min="6" max="6" width="24.28515625" customWidth="1"/>
    <col min="7" max="7" width="20.42578125" bestFit="1" customWidth="1"/>
    <col min="8" max="8" width="20.42578125" customWidth="1"/>
    <col min="9" max="9" width="32.85546875" customWidth="1"/>
  </cols>
  <sheetData>
    <row r="1" spans="1:9" x14ac:dyDescent="0.25">
      <c r="A1" t="s">
        <v>413</v>
      </c>
    </row>
    <row r="4" spans="1:9" x14ac:dyDescent="0.25">
      <c r="A4" s="7" t="s">
        <v>412</v>
      </c>
      <c r="B4" s="7" t="s">
        <v>411</v>
      </c>
      <c r="C4" s="7" t="s">
        <v>410</v>
      </c>
      <c r="D4" s="7" t="s">
        <v>409</v>
      </c>
      <c r="E4" s="7" t="s">
        <v>408</v>
      </c>
      <c r="F4" s="7" t="s">
        <v>407</v>
      </c>
      <c r="G4" s="7" t="s">
        <v>406</v>
      </c>
      <c r="H4" s="7" t="s">
        <v>405</v>
      </c>
      <c r="I4" s="7" t="s">
        <v>231</v>
      </c>
    </row>
    <row r="5" spans="1:9" x14ac:dyDescent="0.25">
      <c r="A5" t="s">
        <v>404</v>
      </c>
      <c r="B5">
        <v>0</v>
      </c>
      <c r="C5" t="s">
        <v>403</v>
      </c>
    </row>
    <row r="6" spans="1:9" x14ac:dyDescent="0.25">
      <c r="B6">
        <v>200</v>
      </c>
      <c r="C6" t="s">
        <v>402</v>
      </c>
    </row>
    <row r="7" spans="1:9" x14ac:dyDescent="0.25">
      <c r="B7">
        <v>200</v>
      </c>
      <c r="C7" t="s">
        <v>401</v>
      </c>
    </row>
    <row r="8" spans="1:9" x14ac:dyDescent="0.25">
      <c r="B8">
        <v>200</v>
      </c>
      <c r="C8" t="s">
        <v>400</v>
      </c>
    </row>
    <row r="9" spans="1:9" x14ac:dyDescent="0.25">
      <c r="B9">
        <v>200</v>
      </c>
      <c r="C9" t="s">
        <v>399</v>
      </c>
    </row>
    <row r="10" spans="1:9" x14ac:dyDescent="0.25">
      <c r="B10">
        <v>200</v>
      </c>
      <c r="C10" t="s">
        <v>398</v>
      </c>
    </row>
    <row r="11" spans="1:9" x14ac:dyDescent="0.25">
      <c r="B11">
        <v>300</v>
      </c>
      <c r="C11" t="s">
        <v>402</v>
      </c>
    </row>
    <row r="12" spans="1:9" x14ac:dyDescent="0.25">
      <c r="B12">
        <v>300</v>
      </c>
      <c r="C12" t="s">
        <v>401</v>
      </c>
    </row>
    <row r="13" spans="1:9" x14ac:dyDescent="0.25">
      <c r="B13">
        <v>300</v>
      </c>
      <c r="C13" t="s">
        <v>400</v>
      </c>
    </row>
    <row r="14" spans="1:9" x14ac:dyDescent="0.25">
      <c r="B14">
        <v>300</v>
      </c>
      <c r="C14" t="s">
        <v>399</v>
      </c>
    </row>
    <row r="15" spans="1:9" x14ac:dyDescent="0.25">
      <c r="B15">
        <v>300</v>
      </c>
      <c r="C15" t="s">
        <v>398</v>
      </c>
    </row>
    <row r="16" spans="1:9" x14ac:dyDescent="0.25">
      <c r="B16">
        <v>400</v>
      </c>
      <c r="C16" t="s">
        <v>402</v>
      </c>
    </row>
    <row r="17" spans="1:9" x14ac:dyDescent="0.25">
      <c r="B17">
        <v>400</v>
      </c>
      <c r="C17" t="s">
        <v>401</v>
      </c>
    </row>
    <row r="18" spans="1:9" x14ac:dyDescent="0.25">
      <c r="B18">
        <v>400</v>
      </c>
      <c r="C18" t="s">
        <v>400</v>
      </c>
    </row>
    <row r="19" spans="1:9" x14ac:dyDescent="0.25">
      <c r="B19">
        <v>400</v>
      </c>
      <c r="C19" t="s">
        <v>399</v>
      </c>
    </row>
    <row r="20" spans="1:9" x14ac:dyDescent="0.25">
      <c r="B20">
        <v>400</v>
      </c>
      <c r="C20" t="s">
        <v>398</v>
      </c>
    </row>
    <row r="22" spans="1:9" x14ac:dyDescent="0.25">
      <c r="A22" s="7" t="s">
        <v>397</v>
      </c>
    </row>
    <row r="23" spans="1:9" ht="30" x14ac:dyDescent="0.25">
      <c r="A23" t="s">
        <v>396</v>
      </c>
      <c r="D23" s="13" t="s">
        <v>395</v>
      </c>
    </row>
    <row r="24" spans="1:9" x14ac:dyDescent="0.25">
      <c r="D24" s="7" t="s">
        <v>394</v>
      </c>
      <c r="G24" t="s">
        <v>393</v>
      </c>
    </row>
    <row r="25" spans="1:9" x14ac:dyDescent="0.25">
      <c r="D25" s="7" t="s">
        <v>392</v>
      </c>
      <c r="G25" t="s">
        <v>391</v>
      </c>
      <c r="H25" t="s">
        <v>390</v>
      </c>
      <c r="I25" t="s">
        <v>389</v>
      </c>
    </row>
    <row r="26" spans="1:9" x14ac:dyDescent="0.25">
      <c r="E26" s="7" t="s">
        <v>388</v>
      </c>
      <c r="G26" t="s">
        <v>387</v>
      </c>
      <c r="H26" t="s">
        <v>318</v>
      </c>
    </row>
    <row r="27" spans="1:9" x14ac:dyDescent="0.25">
      <c r="F27" t="s">
        <v>386</v>
      </c>
      <c r="G27" t="s">
        <v>385</v>
      </c>
      <c r="H27" t="s">
        <v>378</v>
      </c>
    </row>
    <row r="28" spans="1:9" x14ac:dyDescent="0.25">
      <c r="F28" t="s">
        <v>384</v>
      </c>
      <c r="G28" t="s">
        <v>383</v>
      </c>
      <c r="H28" t="s">
        <v>378</v>
      </c>
    </row>
    <row r="29" spans="1:9" x14ac:dyDescent="0.25">
      <c r="F29" t="s">
        <v>382</v>
      </c>
      <c r="G29" t="s">
        <v>381</v>
      </c>
      <c r="H29" t="s">
        <v>378</v>
      </c>
    </row>
    <row r="30" spans="1:9" x14ac:dyDescent="0.25">
      <c r="F30" t="s">
        <v>380</v>
      </c>
      <c r="G30" t="s">
        <v>379</v>
      </c>
      <c r="H30" t="s">
        <v>378</v>
      </c>
    </row>
    <row r="31" spans="1:9" x14ac:dyDescent="0.25">
      <c r="D31" s="7" t="s">
        <v>377</v>
      </c>
      <c r="G31" t="s">
        <v>376</v>
      </c>
      <c r="H31" t="s">
        <v>359</v>
      </c>
      <c r="I31" t="s">
        <v>375</v>
      </c>
    </row>
    <row r="32" spans="1:9" x14ac:dyDescent="0.25">
      <c r="D32" s="7" t="s">
        <v>374</v>
      </c>
      <c r="G32" t="s">
        <v>373</v>
      </c>
      <c r="H32" t="s">
        <v>359</v>
      </c>
      <c r="I32" t="s">
        <v>372</v>
      </c>
    </row>
    <row r="33" spans="4:9" x14ac:dyDescent="0.25">
      <c r="D33" s="7" t="s">
        <v>371</v>
      </c>
      <c r="G33" t="s">
        <v>370</v>
      </c>
      <c r="I33" t="s">
        <v>369</v>
      </c>
    </row>
    <row r="34" spans="4:9" x14ac:dyDescent="0.25">
      <c r="D34" s="22" t="s">
        <v>368</v>
      </c>
      <c r="G34" t="s">
        <v>367</v>
      </c>
      <c r="H34" t="s">
        <v>359</v>
      </c>
      <c r="I34" t="s">
        <v>345</v>
      </c>
    </row>
    <row r="35" spans="4:9" x14ac:dyDescent="0.25">
      <c r="D35" s="7" t="s">
        <v>366</v>
      </c>
      <c r="G35" t="s">
        <v>365</v>
      </c>
      <c r="H35" t="s">
        <v>359</v>
      </c>
      <c r="I35" t="s">
        <v>364</v>
      </c>
    </row>
    <row r="36" spans="4:9" x14ac:dyDescent="0.25">
      <c r="D36" s="22" t="s">
        <v>363</v>
      </c>
      <c r="G36" t="s">
        <v>362</v>
      </c>
      <c r="H36" t="s">
        <v>359</v>
      </c>
      <c r="I36" t="s">
        <v>345</v>
      </c>
    </row>
    <row r="37" spans="4:9" x14ac:dyDescent="0.25">
      <c r="D37" s="7" t="s">
        <v>361</v>
      </c>
      <c r="G37" t="s">
        <v>360</v>
      </c>
      <c r="H37" t="s">
        <v>359</v>
      </c>
      <c r="I37" t="s">
        <v>358</v>
      </c>
    </row>
    <row r="38" spans="4:9" x14ac:dyDescent="0.25">
      <c r="D38" t="s">
        <v>357</v>
      </c>
      <c r="I38" t="s">
        <v>355</v>
      </c>
    </row>
    <row r="39" spans="4:9" x14ac:dyDescent="0.25">
      <c r="D39" t="s">
        <v>356</v>
      </c>
      <c r="I39" t="s">
        <v>355</v>
      </c>
    </row>
    <row r="40" spans="4:9" x14ac:dyDescent="0.25">
      <c r="D40" t="s">
        <v>354</v>
      </c>
      <c r="F40" t="s">
        <v>353</v>
      </c>
      <c r="I40" t="s">
        <v>350</v>
      </c>
    </row>
    <row r="41" spans="4:9" x14ac:dyDescent="0.25">
      <c r="D41" t="s">
        <v>352</v>
      </c>
      <c r="F41" t="s">
        <v>351</v>
      </c>
      <c r="I41" t="s">
        <v>350</v>
      </c>
    </row>
    <row r="42" spans="4:9" x14ac:dyDescent="0.25">
      <c r="D42" s="7" t="s">
        <v>349</v>
      </c>
      <c r="G42" t="s">
        <v>348</v>
      </c>
    </row>
    <row r="43" spans="4:9" x14ac:dyDescent="0.25">
      <c r="D43" t="s">
        <v>347</v>
      </c>
      <c r="I43" t="s">
        <v>345</v>
      </c>
    </row>
    <row r="44" spans="4:9" x14ac:dyDescent="0.25">
      <c r="D44" t="s">
        <v>346</v>
      </c>
      <c r="I44" t="s">
        <v>345</v>
      </c>
    </row>
    <row r="45" spans="4:9" x14ac:dyDescent="0.25">
      <c r="D45" t="s">
        <v>344</v>
      </c>
      <c r="G45" t="s">
        <v>343</v>
      </c>
    </row>
    <row r="46" spans="4:9" x14ac:dyDescent="0.25">
      <c r="D46" s="7" t="s">
        <v>342</v>
      </c>
      <c r="G46" t="s">
        <v>341</v>
      </c>
    </row>
    <row r="47" spans="4:9" x14ac:dyDescent="0.25">
      <c r="D47" s="7" t="s">
        <v>340</v>
      </c>
      <c r="G47" t="s">
        <v>246</v>
      </c>
    </row>
    <row r="48" spans="4:9" x14ac:dyDescent="0.25">
      <c r="D48" t="s">
        <v>339</v>
      </c>
      <c r="G48" t="s">
        <v>338</v>
      </c>
    </row>
    <row r="49" spans="4:7" x14ac:dyDescent="0.25">
      <c r="D49" t="s">
        <v>337</v>
      </c>
      <c r="G49" t="s">
        <v>247</v>
      </c>
    </row>
    <row r="54" spans="4:7" x14ac:dyDescent="0.25">
      <c r="D54" t="s">
        <v>336</v>
      </c>
      <c r="E54" t="s">
        <v>335</v>
      </c>
      <c r="F54" t="s">
        <v>318</v>
      </c>
      <c r="G54" t="s">
        <v>334</v>
      </c>
    </row>
    <row r="55" spans="4:7" x14ac:dyDescent="0.25">
      <c r="D55" t="s">
        <v>329</v>
      </c>
      <c r="E55" t="s">
        <v>322</v>
      </c>
      <c r="F55" t="s">
        <v>320</v>
      </c>
      <c r="G55" t="s">
        <v>330</v>
      </c>
    </row>
    <row r="56" spans="4:7" x14ac:dyDescent="0.25">
      <c r="D56" t="s">
        <v>327</v>
      </c>
      <c r="E56" t="s">
        <v>321</v>
      </c>
      <c r="G56" t="s">
        <v>328</v>
      </c>
    </row>
    <row r="57" spans="4:7" x14ac:dyDescent="0.25">
      <c r="D57" t="s">
        <v>326</v>
      </c>
    </row>
    <row r="58" spans="4:7" x14ac:dyDescent="0.25">
      <c r="D58" t="s">
        <v>325</v>
      </c>
    </row>
    <row r="59" spans="4:7" x14ac:dyDescent="0.25">
      <c r="D59" t="s">
        <v>324</v>
      </c>
    </row>
    <row r="60" spans="4:7" x14ac:dyDescent="0.25">
      <c r="D60" t="s">
        <v>323</v>
      </c>
    </row>
    <row r="63" spans="4:7" x14ac:dyDescent="0.25">
      <c r="D63" t="s">
        <v>333</v>
      </c>
      <c r="E63" t="s">
        <v>332</v>
      </c>
      <c r="F63" t="s">
        <v>331</v>
      </c>
    </row>
    <row r="64" spans="4:7" x14ac:dyDescent="0.25">
      <c r="D64" t="s">
        <v>330</v>
      </c>
      <c r="E64" t="s">
        <v>329</v>
      </c>
      <c r="F64" t="s">
        <v>329</v>
      </c>
    </row>
    <row r="65" spans="4:6" x14ac:dyDescent="0.25">
      <c r="D65" t="s">
        <v>328</v>
      </c>
      <c r="E65" t="s">
        <v>327</v>
      </c>
      <c r="F65" t="s">
        <v>327</v>
      </c>
    </row>
    <row r="66" spans="4:6" x14ac:dyDescent="0.25">
      <c r="D66" t="s">
        <v>323</v>
      </c>
      <c r="E66" t="s">
        <v>326</v>
      </c>
      <c r="F66" t="s">
        <v>326</v>
      </c>
    </row>
    <row r="67" spans="4:6" x14ac:dyDescent="0.25">
      <c r="E67" t="s">
        <v>325</v>
      </c>
      <c r="F67" t="s">
        <v>325</v>
      </c>
    </row>
    <row r="68" spans="4:6" x14ac:dyDescent="0.25">
      <c r="E68" t="s">
        <v>324</v>
      </c>
      <c r="F68" t="s">
        <v>324</v>
      </c>
    </row>
    <row r="69" spans="4:6" x14ac:dyDescent="0.25">
      <c r="E69" t="s">
        <v>323</v>
      </c>
      <c r="F69" t="s">
        <v>323</v>
      </c>
    </row>
    <row r="70" spans="4:6" x14ac:dyDescent="0.25">
      <c r="E70" t="s">
        <v>322</v>
      </c>
      <c r="F70" t="s">
        <v>322</v>
      </c>
    </row>
    <row r="71" spans="4:6" x14ac:dyDescent="0.25">
      <c r="E71" t="s">
        <v>321</v>
      </c>
      <c r="F71" t="s">
        <v>321</v>
      </c>
    </row>
    <row r="72" spans="4:6" x14ac:dyDescent="0.25">
      <c r="F72" t="s">
        <v>320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REvalue_input_csv</vt:lpstr>
      <vt:lpstr>Status Runs</vt:lpstr>
      <vt:lpstr>Screening curves</vt:lpstr>
      <vt:lpstr>CF_crossover_points</vt:lpstr>
      <vt:lpstr>screening_curve_plot</vt:lpstr>
      <vt:lpstr>generator_cost_all</vt:lpstr>
      <vt:lpstr>Data and sources</vt:lpstr>
      <vt:lpstr>inflation rate</vt:lpstr>
      <vt:lpstr>scenarios</vt:lpstr>
      <vt:lpstr>run_times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</dc:creator>
  <cp:lastModifiedBy>Ranjit</cp:lastModifiedBy>
  <dcterms:created xsi:type="dcterms:W3CDTF">2016-11-08T05:09:06Z</dcterms:created>
  <dcterms:modified xsi:type="dcterms:W3CDTF">2018-01-18T20:53:18Z</dcterms:modified>
</cp:coreProperties>
</file>