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njitster/Downloads/"/>
    </mc:Choice>
  </mc:AlternateContent>
  <bookViews>
    <workbookView xWindow="0" yWindow="460" windowWidth="28800" windowHeight="16460"/>
  </bookViews>
  <sheets>
    <sheet name="Lazard" sheetId="1" r:id="rId1"/>
    <sheet name="not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F55" i="1"/>
  <c r="G55" i="1"/>
  <c r="H55" i="1"/>
  <c r="I55" i="1"/>
  <c r="D55" i="1"/>
  <c r="D72" i="1"/>
  <c r="E72" i="1"/>
  <c r="F72" i="1"/>
  <c r="G72" i="1"/>
  <c r="H72" i="1"/>
  <c r="I72" i="1"/>
  <c r="D71" i="1"/>
  <c r="E71" i="1"/>
  <c r="F71" i="1"/>
  <c r="G71" i="1"/>
  <c r="H71" i="1"/>
  <c r="I71" i="1"/>
  <c r="E69" i="1"/>
  <c r="F69" i="1"/>
  <c r="G69" i="1"/>
  <c r="H69" i="1"/>
  <c r="I69" i="1"/>
  <c r="D70" i="1"/>
  <c r="E70" i="1"/>
  <c r="F70" i="1"/>
  <c r="G70" i="1"/>
  <c r="H70" i="1"/>
  <c r="I70" i="1"/>
  <c r="D69" i="1"/>
  <c r="E68" i="1"/>
  <c r="F68" i="1"/>
  <c r="G68" i="1"/>
  <c r="H68" i="1"/>
  <c r="I68" i="1"/>
  <c r="D68" i="1"/>
  <c r="E67" i="1"/>
  <c r="F67" i="1"/>
  <c r="G67" i="1"/>
  <c r="H67" i="1"/>
  <c r="I67" i="1"/>
  <c r="D67" i="1"/>
  <c r="A67" i="1"/>
  <c r="E66" i="1"/>
  <c r="F66" i="1"/>
  <c r="G66" i="1"/>
  <c r="H66" i="1"/>
  <c r="I66" i="1"/>
  <c r="D66" i="1"/>
  <c r="E65" i="1"/>
  <c r="F65" i="1"/>
  <c r="G65" i="1"/>
  <c r="H65" i="1"/>
  <c r="I65" i="1"/>
  <c r="D65" i="1"/>
  <c r="A66" i="1"/>
  <c r="E62" i="1"/>
  <c r="F62" i="1"/>
  <c r="G62" i="1"/>
  <c r="H62" i="1"/>
  <c r="I62" i="1"/>
  <c r="D62" i="1"/>
  <c r="A64" i="1"/>
  <c r="E64" i="1"/>
  <c r="F64" i="1"/>
  <c r="G64" i="1"/>
  <c r="H64" i="1"/>
  <c r="I64" i="1"/>
  <c r="D64" i="1"/>
  <c r="E63" i="1"/>
  <c r="F63" i="1"/>
  <c r="G63" i="1"/>
  <c r="H63" i="1"/>
  <c r="I63" i="1"/>
  <c r="D63" i="1"/>
  <c r="A63" i="1"/>
  <c r="E61" i="1"/>
  <c r="F61" i="1"/>
  <c r="G61" i="1"/>
  <c r="H61" i="1"/>
  <c r="I61" i="1"/>
  <c r="D61" i="1"/>
  <c r="E60" i="1"/>
  <c r="F60" i="1"/>
  <c r="G60" i="1"/>
  <c r="H60" i="1"/>
  <c r="I60" i="1"/>
  <c r="D60" i="1"/>
  <c r="A60" i="1"/>
  <c r="D59" i="1"/>
  <c r="E59" i="1"/>
  <c r="F59" i="1"/>
  <c r="G59" i="1"/>
  <c r="H59" i="1"/>
  <c r="I59" i="1"/>
  <c r="E58" i="1"/>
  <c r="F58" i="1"/>
  <c r="G58" i="1"/>
  <c r="H58" i="1"/>
  <c r="I58" i="1"/>
  <c r="D58" i="1"/>
  <c r="A59" i="1"/>
  <c r="A58" i="1"/>
  <c r="E30" i="1"/>
  <c r="D28" i="1"/>
  <c r="F28" i="1"/>
  <c r="G28" i="1"/>
  <c r="H28" i="1"/>
  <c r="I28" i="1"/>
  <c r="A61" i="1"/>
  <c r="E54" i="1"/>
  <c r="F54" i="1"/>
  <c r="G54" i="1"/>
  <c r="H54" i="1"/>
  <c r="I54" i="1"/>
  <c r="D54" i="1"/>
  <c r="B49" i="1"/>
  <c r="E52" i="1"/>
  <c r="E53" i="1"/>
  <c r="F52" i="1"/>
  <c r="F53" i="1"/>
  <c r="G52" i="1"/>
  <c r="G53" i="1"/>
  <c r="H52" i="1"/>
  <c r="H53" i="1"/>
  <c r="I52" i="1"/>
  <c r="I53" i="1"/>
  <c r="D52" i="1"/>
  <c r="D53" i="1"/>
  <c r="E51" i="1"/>
  <c r="F51" i="1"/>
  <c r="G51" i="1"/>
  <c r="H51" i="1"/>
  <c r="I51" i="1"/>
  <c r="D51" i="1"/>
  <c r="B22" i="1"/>
  <c r="B12" i="1"/>
  <c r="B13" i="1"/>
  <c r="D27" i="1"/>
  <c r="D29" i="1"/>
  <c r="D31" i="1"/>
  <c r="D35" i="1"/>
  <c r="D37" i="1"/>
  <c r="D50" i="1"/>
  <c r="C27" i="1"/>
  <c r="B6" i="1"/>
  <c r="C29" i="1"/>
  <c r="C31" i="1"/>
  <c r="C35" i="1"/>
  <c r="C37" i="1"/>
  <c r="E27" i="1"/>
  <c r="E29" i="1"/>
  <c r="E31" i="1"/>
  <c r="E35" i="1"/>
  <c r="E37" i="1"/>
  <c r="F27" i="1"/>
  <c r="F29" i="1"/>
  <c r="F31" i="1"/>
  <c r="F35" i="1"/>
  <c r="F37" i="1"/>
  <c r="G27" i="1"/>
  <c r="G29" i="1"/>
  <c r="G31" i="1"/>
  <c r="G35" i="1"/>
  <c r="G37" i="1"/>
  <c r="H27" i="1"/>
  <c r="H29" i="1"/>
  <c r="H31" i="1"/>
  <c r="H35" i="1"/>
  <c r="H37" i="1"/>
  <c r="I27" i="1"/>
  <c r="I29" i="1"/>
  <c r="I31" i="1"/>
  <c r="I35" i="1"/>
  <c r="I37" i="1"/>
  <c r="C36" i="1"/>
  <c r="C38" i="1"/>
  <c r="D36" i="1"/>
  <c r="D38" i="1"/>
  <c r="E36" i="1"/>
  <c r="E38" i="1"/>
  <c r="F36" i="1"/>
  <c r="F38" i="1"/>
  <c r="G36" i="1"/>
  <c r="G38" i="1"/>
  <c r="H36" i="1"/>
  <c r="H38" i="1"/>
  <c r="I36" i="1"/>
  <c r="I38" i="1"/>
  <c r="B27" i="1"/>
  <c r="B29" i="1"/>
  <c r="B31" i="1"/>
  <c r="B35" i="1"/>
  <c r="B36" i="1"/>
  <c r="B38" i="1"/>
  <c r="B37" i="1"/>
  <c r="A50" i="1"/>
  <c r="E50" i="1"/>
  <c r="F50" i="1"/>
  <c r="G50" i="1"/>
  <c r="H50" i="1"/>
  <c r="I50" i="1"/>
  <c r="D41" i="1"/>
  <c r="D40" i="1"/>
  <c r="D30" i="1"/>
  <c r="C19" i="1"/>
  <c r="D19" i="1"/>
  <c r="D22" i="1"/>
  <c r="D18" i="1"/>
  <c r="D23" i="1"/>
  <c r="C21" i="1"/>
  <c r="D21" i="1"/>
  <c r="D20" i="1"/>
  <c r="E28" i="1"/>
  <c r="I30" i="1"/>
  <c r="H30" i="1"/>
  <c r="G30" i="1"/>
  <c r="G18" i="1"/>
  <c r="H18" i="1"/>
  <c r="I18" i="1"/>
  <c r="E19" i="1"/>
  <c r="F19" i="1"/>
  <c r="G19" i="1"/>
  <c r="H19" i="1"/>
  <c r="I19" i="1"/>
  <c r="G20" i="1"/>
  <c r="H20" i="1"/>
  <c r="I20" i="1"/>
  <c r="E21" i="1"/>
  <c r="F21" i="1"/>
  <c r="G21" i="1"/>
  <c r="H21" i="1"/>
  <c r="I21" i="1"/>
  <c r="G22" i="1"/>
  <c r="H22" i="1"/>
  <c r="I22" i="1"/>
  <c r="G23" i="1"/>
  <c r="H23" i="1"/>
  <c r="I23" i="1"/>
  <c r="G40" i="1"/>
  <c r="H40" i="1"/>
  <c r="I40" i="1"/>
  <c r="G41" i="1"/>
  <c r="H41" i="1"/>
  <c r="I41" i="1"/>
  <c r="F30" i="1"/>
  <c r="E18" i="1"/>
  <c r="F18" i="1"/>
  <c r="F20" i="1"/>
  <c r="F22" i="1"/>
  <c r="F23" i="1"/>
  <c r="E41" i="1"/>
  <c r="E40" i="1"/>
  <c r="E20" i="1"/>
  <c r="E22" i="1"/>
  <c r="E23" i="1"/>
  <c r="C41" i="1"/>
  <c r="B41" i="1"/>
  <c r="B40" i="1"/>
  <c r="C40" i="1"/>
  <c r="M32" i="1"/>
  <c r="M33" i="1"/>
  <c r="L32" i="1"/>
  <c r="L33" i="1"/>
  <c r="C18" i="1"/>
  <c r="C20" i="1"/>
  <c r="C22" i="1"/>
  <c r="C23" i="1"/>
  <c r="N13" i="1"/>
  <c r="Q13" i="1"/>
  <c r="S12" i="1"/>
  <c r="S16" i="1"/>
  <c r="T17" i="1"/>
  <c r="T19" i="1"/>
  <c r="T21" i="1"/>
  <c r="U17" i="1"/>
  <c r="U20" i="1"/>
  <c r="U21" i="1"/>
  <c r="V17" i="1"/>
  <c r="V20" i="1"/>
  <c r="V21" i="1"/>
  <c r="W17" i="1"/>
  <c r="W20" i="1"/>
  <c r="W21" i="1"/>
  <c r="X17" i="1"/>
  <c r="X20" i="1"/>
  <c r="X21" i="1"/>
  <c r="Y17" i="1"/>
  <c r="Y20" i="1"/>
  <c r="Y21" i="1"/>
  <c r="Z17" i="1"/>
  <c r="Z20" i="1"/>
  <c r="Z21" i="1"/>
  <c r="AA17" i="1"/>
  <c r="AA20" i="1"/>
  <c r="AA21" i="1"/>
  <c r="AB17" i="1"/>
  <c r="AB20" i="1"/>
  <c r="AB21" i="1"/>
  <c r="AC17" i="1"/>
  <c r="AC20" i="1"/>
  <c r="AC21" i="1"/>
  <c r="AD17" i="1"/>
  <c r="AD20" i="1"/>
  <c r="AD21" i="1"/>
  <c r="AE17" i="1"/>
  <c r="AE20" i="1"/>
  <c r="AE21" i="1"/>
  <c r="AF17" i="1"/>
  <c r="AF20" i="1"/>
  <c r="AF21" i="1"/>
  <c r="AG17" i="1"/>
  <c r="AG20" i="1"/>
  <c r="AG21" i="1"/>
  <c r="AH17" i="1"/>
  <c r="AH20" i="1"/>
  <c r="AH21" i="1"/>
  <c r="AI17" i="1"/>
  <c r="AI20" i="1"/>
  <c r="AI21" i="1"/>
  <c r="AJ17" i="1"/>
  <c r="AJ20" i="1"/>
  <c r="AJ21" i="1"/>
  <c r="AK17" i="1"/>
  <c r="AK20" i="1"/>
  <c r="AK21" i="1"/>
  <c r="AL17" i="1"/>
  <c r="AL20" i="1"/>
  <c r="AL21" i="1"/>
  <c r="AM17" i="1"/>
  <c r="AM20" i="1"/>
  <c r="AM21" i="1"/>
  <c r="N21" i="1"/>
  <c r="Q21" i="1"/>
  <c r="N16" i="1"/>
  <c r="Q16" i="1"/>
  <c r="Q23" i="1"/>
  <c r="R13" i="1"/>
  <c r="N14" i="1"/>
  <c r="Q14" i="1"/>
  <c r="R14" i="1"/>
  <c r="N15" i="1"/>
  <c r="Q15" i="1"/>
  <c r="R15" i="1"/>
  <c r="R16" i="1"/>
  <c r="N17" i="1"/>
  <c r="Q17" i="1"/>
  <c r="R17" i="1"/>
  <c r="N18" i="1"/>
  <c r="Q18" i="1"/>
  <c r="R18" i="1"/>
  <c r="N19" i="1"/>
  <c r="Q19" i="1"/>
  <c r="R19" i="1"/>
  <c r="N20" i="1"/>
  <c r="Q20" i="1"/>
  <c r="R20" i="1"/>
  <c r="R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N22" i="1"/>
  <c r="Q22" i="1"/>
  <c r="R22" i="1"/>
  <c r="R23" i="1"/>
  <c r="Q24" i="1"/>
  <c r="R24" i="1"/>
  <c r="N12" i="1"/>
  <c r="Q12" i="1"/>
  <c r="R12" i="1"/>
  <c r="M21" i="1"/>
  <c r="M13" i="1"/>
  <c r="M15" i="1"/>
  <c r="M12" i="1"/>
  <c r="M14" i="1"/>
  <c r="M16" i="1"/>
  <c r="M23" i="1"/>
  <c r="N23" i="1"/>
  <c r="O21" i="1"/>
  <c r="O16" i="1"/>
  <c r="O23" i="1"/>
  <c r="P21" i="1"/>
  <c r="P16" i="1"/>
  <c r="P23" i="1"/>
  <c r="M22" i="1"/>
  <c r="M24" i="1"/>
  <c r="N24" i="1"/>
  <c r="O22" i="1"/>
  <c r="O24" i="1"/>
  <c r="P22" i="1"/>
  <c r="P24" i="1"/>
  <c r="L22" i="1"/>
  <c r="L13" i="1"/>
  <c r="L15" i="1"/>
  <c r="L12" i="1"/>
  <c r="L14" i="1"/>
  <c r="L16" i="1"/>
  <c r="L24" i="1"/>
  <c r="L21" i="1"/>
  <c r="L23" i="1"/>
  <c r="O17" i="1"/>
  <c r="P17" i="1"/>
  <c r="O18" i="1"/>
  <c r="P18" i="1"/>
  <c r="O19" i="1"/>
  <c r="P19" i="1"/>
  <c r="O20" i="1"/>
  <c r="P20" i="1"/>
  <c r="L17" i="1"/>
  <c r="M17" i="1"/>
  <c r="L18" i="1"/>
  <c r="M18" i="1"/>
  <c r="L19" i="1"/>
  <c r="M19" i="1"/>
  <c r="L20" i="1"/>
  <c r="M20" i="1"/>
  <c r="Q28" i="1"/>
  <c r="P13" i="1"/>
  <c r="P14" i="1"/>
  <c r="P15" i="1"/>
  <c r="P12" i="1"/>
  <c r="O12" i="1"/>
  <c r="O14" i="1"/>
  <c r="O15" i="1"/>
  <c r="O13" i="1"/>
  <c r="B18" i="1"/>
  <c r="B23" i="1"/>
  <c r="B20" i="1"/>
  <c r="B10" i="1"/>
  <c r="B11" i="1"/>
  <c r="F40" i="1"/>
  <c r="F41" i="1"/>
</calcChain>
</file>

<file path=xl/comments1.xml><?xml version="1.0" encoding="utf-8"?>
<comments xmlns="http://schemas.openxmlformats.org/spreadsheetml/2006/main">
  <authors>
    <author>Ranjit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from EIA 2016 With a 0.9% escalation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Almost matches Lazard's 3.0 table</t>
        </r>
      </text>
    </comment>
  </commentList>
</comments>
</file>

<file path=xl/sharedStrings.xml><?xml version="1.0" encoding="utf-8"?>
<sst xmlns="http://schemas.openxmlformats.org/spreadsheetml/2006/main" count="110" uniqueCount="101">
  <si>
    <t>Project Life</t>
  </si>
  <si>
    <t>MW</t>
  </si>
  <si>
    <t>MWh capacity</t>
  </si>
  <si>
    <t>hours</t>
  </si>
  <si>
    <t>100% DOD Cycles/day</t>
  </si>
  <si>
    <t>Days/year</t>
  </si>
  <si>
    <t>Annual MWh</t>
  </si>
  <si>
    <t>Project MWh</t>
  </si>
  <si>
    <t>Capital Cost $/kW</t>
  </si>
  <si>
    <t>Capital Cost $/kWh</t>
  </si>
  <si>
    <t>Debt %</t>
  </si>
  <si>
    <t>Debt $/kW</t>
  </si>
  <si>
    <t>Debt interest</t>
  </si>
  <si>
    <t>Equity %</t>
  </si>
  <si>
    <t>Equity $/kW</t>
  </si>
  <si>
    <t>Equity interest</t>
  </si>
  <si>
    <t>discount rate</t>
  </si>
  <si>
    <t>CRF</t>
  </si>
  <si>
    <t>Tax rate</t>
  </si>
  <si>
    <t>OM</t>
  </si>
  <si>
    <t>Warranty</t>
  </si>
  <si>
    <t>Augmentation costs</t>
  </si>
  <si>
    <t>Charging escalation</t>
  </si>
  <si>
    <t>EPC</t>
  </si>
  <si>
    <t>OM escalation</t>
  </si>
  <si>
    <t>of epc after 2 years of warranty</t>
  </si>
  <si>
    <t>Cost in $ '000</t>
  </si>
  <si>
    <t>Charging costs</t>
  </si>
  <si>
    <t>Total variable costs</t>
  </si>
  <si>
    <t>EPC % of capital cost</t>
  </si>
  <si>
    <t>Augmentation cost % of BESS</t>
  </si>
  <si>
    <t>Only storage module costs</t>
  </si>
  <si>
    <t>Peaker replacement average wholesale price assumed for charging</t>
  </si>
  <si>
    <t>Total variable costs w/o charging costs</t>
  </si>
  <si>
    <t>Notes</t>
  </si>
  <si>
    <t>Lazard costs:</t>
  </si>
  <si>
    <t>Levelized cost of storage assumes 350 days of operation with a 100% depth of discharge</t>
  </si>
  <si>
    <t xml:space="preserve">But CA peaker replacement case study assumes only 91 full cycles based on probably a dispatch model using CAISO's 2016 LMP prices. </t>
  </si>
  <si>
    <t>CA Peaker replacement case study from Lazard 2017</t>
  </si>
  <si>
    <t>Storage module cost (DC)</t>
  </si>
  <si>
    <t>Inverter/ AC system capital (AC)</t>
  </si>
  <si>
    <t>Balance of system capital (DC)</t>
  </si>
  <si>
    <t>OM annual cost</t>
  </si>
  <si>
    <t>Low</t>
  </si>
  <si>
    <t>High</t>
  </si>
  <si>
    <t>O&amp;M annual cost %</t>
  </si>
  <si>
    <t>O&amp;M annual cost ($/kWh-y)</t>
  </si>
  <si>
    <t>Cost in $</t>
  </si>
  <si>
    <t>NPV per kW</t>
  </si>
  <si>
    <t>NPV per kWh</t>
  </si>
  <si>
    <t>Lifetime NPV 100/400</t>
  </si>
  <si>
    <t>Annual 100/400</t>
  </si>
  <si>
    <t>Annual per kW</t>
  </si>
  <si>
    <t>Annual per kWh</t>
  </si>
  <si>
    <t>Total costs with charging</t>
  </si>
  <si>
    <t>Total costs without charging costs</t>
  </si>
  <si>
    <t>Total capital cost</t>
  </si>
  <si>
    <t>Augmentation charge ($)</t>
  </si>
  <si>
    <t>Warranty expense ($)</t>
  </si>
  <si>
    <t>Warranty expense ($/kWh-y)</t>
  </si>
  <si>
    <t>Augmentation charge ($/kWh-y)</t>
  </si>
  <si>
    <t>Charging cost ($/MWh)</t>
  </si>
  <si>
    <t>%</t>
  </si>
  <si>
    <t>From Lazard 2.0, replacement costs are $189-338 per kWh at year 10.</t>
  </si>
  <si>
    <t>PV of replacement or augmentation</t>
  </si>
  <si>
    <t>Replacement costs at year 10 ($/kWh)</t>
  </si>
  <si>
    <t>Annual augmentation ($/kWh-y)</t>
  </si>
  <si>
    <t xml:space="preserve">The lower end is similar to the CAISO example from 3.0. That is much lower than the LCOS table from 3.0. </t>
  </si>
  <si>
    <t>Annual cost w/o charging cost ($/kWh-y)</t>
  </si>
  <si>
    <t>Sc1</t>
  </si>
  <si>
    <t>Sc2</t>
  </si>
  <si>
    <t>Assumed Cycles/year</t>
  </si>
  <si>
    <t>Annual cost with charging cost ($/kWh-y)</t>
  </si>
  <si>
    <t>LCOS w/o charging cost ($/MWh)</t>
  </si>
  <si>
    <t>LCOS with charging cost ($/MWh)</t>
  </si>
  <si>
    <t>efficiency</t>
  </si>
  <si>
    <t>OM costs ($/kWh-y)</t>
  </si>
  <si>
    <t>These are higher than 3.0, but similar to CAISO examples $7/kWh-y OM costs</t>
  </si>
  <si>
    <t>Warranty costs</t>
  </si>
  <si>
    <t>No warranty costs were included in 2.0</t>
  </si>
  <si>
    <t>Sc3</t>
  </si>
  <si>
    <t>Sc4</t>
  </si>
  <si>
    <t>Sc5</t>
  </si>
  <si>
    <t>Extended warranty % of BESS</t>
  </si>
  <si>
    <t>Sc6</t>
  </si>
  <si>
    <t>Annual cost w/o charging cost ($/kW-y)</t>
  </si>
  <si>
    <t>Annual cost with charging cost ($/kW-y)</t>
  </si>
  <si>
    <t>RD Analysis Scenarios</t>
  </si>
  <si>
    <t>Lazarad 3.0</t>
  </si>
  <si>
    <t>Reverse engineer fixed costs based on above economics using particular discount rate</t>
  </si>
  <si>
    <t>Discount rate</t>
  </si>
  <si>
    <t>O&amp;M annual cost ($/kW-y)</t>
  </si>
  <si>
    <t>Capital cost ($/kWh) (includes warranty &amp; augmentation)</t>
  </si>
  <si>
    <t>Capital cost ($/kW) (includes warranty &amp; augmentation)</t>
  </si>
  <si>
    <t>Battery cost model #2</t>
  </si>
  <si>
    <t>Battery cost model #1</t>
  </si>
  <si>
    <t>Warranty expense ($/kW-y)</t>
  </si>
  <si>
    <t>Augmentation charge ($/kW-y)</t>
  </si>
  <si>
    <t>O&amp;M annual cost incl warranty &amp; augmentation ($/kWh-y)</t>
  </si>
  <si>
    <t>O&amp;M annual cost incl warranty &amp; augmentation ($/kW-y)</t>
  </si>
  <si>
    <t>Annual cost w/o charging cost ($/kWh-y) w higher Lazard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</si>
</sst>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0.0"/>
    <numFmt numFmtId="165" formatCode="0.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1" fontId="2" fillId="0" borderId="0" xfId="0" applyNumberFormat="1" applyFont="1"/>
    <xf numFmtId="8" fontId="0" fillId="0" borderId="0" xfId="0" applyNumberFormat="1"/>
    <xf numFmtId="0" fontId="0" fillId="0" borderId="0" xfId="0" applyAlignment="1">
      <alignment wrapText="1"/>
    </xf>
    <xf numFmtId="6" fontId="2" fillId="0" borderId="0" xfId="0" applyNumberFormat="1" applyFont="1"/>
    <xf numFmtId="6" fontId="0" fillId="0" borderId="0" xfId="0" applyNumberFormat="1" applyFont="1"/>
    <xf numFmtId="1" fontId="0" fillId="0" borderId="0" xfId="0" applyNumberFormat="1" applyFont="1"/>
    <xf numFmtId="1" fontId="3" fillId="0" borderId="0" xfId="0" applyNumberFormat="1" applyFont="1"/>
    <xf numFmtId="6" fontId="0" fillId="0" borderId="0" xfId="0" applyNumberFormat="1"/>
    <xf numFmtId="0" fontId="0" fillId="0" borderId="0" xfId="0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0"/>
  <sheetViews>
    <sheetView tabSelected="1" workbookViewId="0">
      <selection activeCell="K50" sqref="K50"/>
    </sheetView>
  </sheetViews>
  <sheetFormatPr baseColWidth="10" defaultColWidth="8.83203125" defaultRowHeight="15" x14ac:dyDescent="0.2"/>
  <cols>
    <col min="1" max="1" width="41.33203125" customWidth="1"/>
    <col min="11" max="11" width="35.5" bestFit="1" customWidth="1"/>
    <col min="12" max="12" width="11.6640625" customWidth="1"/>
    <col min="13" max="13" width="14.5" customWidth="1"/>
    <col min="14" max="14" width="20.33203125" bestFit="1" customWidth="1"/>
    <col min="15" max="16" width="17.83203125" customWidth="1"/>
    <col min="17" max="17" width="14.6640625" bestFit="1" customWidth="1"/>
    <col min="18" max="18" width="14.6640625" customWidth="1"/>
    <col min="19" max="19" width="11.33203125" customWidth="1"/>
  </cols>
  <sheetData>
    <row r="1" spans="1:39" x14ac:dyDescent="0.2">
      <c r="K1" s="9" t="s">
        <v>38</v>
      </c>
    </row>
    <row r="2" spans="1:39" x14ac:dyDescent="0.2">
      <c r="K2" t="s">
        <v>29</v>
      </c>
      <c r="L2" s="5">
        <v>0.15</v>
      </c>
    </row>
    <row r="3" spans="1:39" x14ac:dyDescent="0.2">
      <c r="A3" t="s">
        <v>0</v>
      </c>
      <c r="B3">
        <v>20</v>
      </c>
      <c r="K3" t="s">
        <v>42</v>
      </c>
      <c r="L3" s="8">
        <v>1.4250000000000001E-2</v>
      </c>
      <c r="M3" t="s">
        <v>25</v>
      </c>
    </row>
    <row r="4" spans="1:39" x14ac:dyDescent="0.2">
      <c r="A4" t="s">
        <v>1</v>
      </c>
      <c r="B4">
        <v>100</v>
      </c>
      <c r="K4" t="s">
        <v>24</v>
      </c>
      <c r="L4" s="8">
        <v>2.2499999999999999E-2</v>
      </c>
    </row>
    <row r="5" spans="1:39" x14ac:dyDescent="0.2">
      <c r="A5" t="s">
        <v>3</v>
      </c>
      <c r="B5">
        <v>4</v>
      </c>
      <c r="K5" t="s">
        <v>22</v>
      </c>
      <c r="L5" s="8">
        <v>8.9999999999999993E-3</v>
      </c>
    </row>
    <row r="6" spans="1:39" x14ac:dyDescent="0.2">
      <c r="A6" t="s">
        <v>2</v>
      </c>
      <c r="B6">
        <f>B4*B5</f>
        <v>400</v>
      </c>
      <c r="K6" t="s">
        <v>30</v>
      </c>
      <c r="L6" s="8">
        <v>3.3000000000000002E-2</v>
      </c>
      <c r="M6" t="s">
        <v>31</v>
      </c>
    </row>
    <row r="7" spans="1:39" x14ac:dyDescent="0.2">
      <c r="A7" t="s">
        <v>4</v>
      </c>
      <c r="B7">
        <v>1</v>
      </c>
      <c r="K7" t="s">
        <v>83</v>
      </c>
      <c r="L7" s="8">
        <v>1.4999999999999999E-2</v>
      </c>
    </row>
    <row r="8" spans="1:39" x14ac:dyDescent="0.2">
      <c r="A8" t="s">
        <v>5</v>
      </c>
      <c r="B8">
        <v>350</v>
      </c>
      <c r="Q8" s="3"/>
      <c r="R8" s="3"/>
    </row>
    <row r="9" spans="1:39" x14ac:dyDescent="0.2">
      <c r="A9" t="s">
        <v>75</v>
      </c>
      <c r="B9" s="5">
        <v>0.85</v>
      </c>
    </row>
    <row r="10" spans="1:39" x14ac:dyDescent="0.2">
      <c r="A10" t="s">
        <v>6</v>
      </c>
      <c r="B10">
        <f>B6*B7*B8</f>
        <v>140000</v>
      </c>
      <c r="L10" t="s">
        <v>47</v>
      </c>
      <c r="N10" t="s">
        <v>26</v>
      </c>
      <c r="Q10" t="s">
        <v>26</v>
      </c>
      <c r="S10" t="s">
        <v>26</v>
      </c>
    </row>
    <row r="11" spans="1:39" x14ac:dyDescent="0.2">
      <c r="A11" t="s">
        <v>7</v>
      </c>
      <c r="B11">
        <f>B10*B3</f>
        <v>2800000</v>
      </c>
      <c r="L11" t="s">
        <v>48</v>
      </c>
      <c r="M11" t="s">
        <v>49</v>
      </c>
      <c r="N11" t="s">
        <v>50</v>
      </c>
      <c r="O11" t="s">
        <v>52</v>
      </c>
      <c r="P11" t="s">
        <v>53</v>
      </c>
      <c r="Q11" t="s">
        <v>51</v>
      </c>
      <c r="R11" t="s">
        <v>62</v>
      </c>
      <c r="S11">
        <v>0</v>
      </c>
      <c r="T11">
        <v>1</v>
      </c>
      <c r="U11">
        <v>2</v>
      </c>
      <c r="V11">
        <v>3</v>
      </c>
      <c r="W11">
        <v>4</v>
      </c>
      <c r="X11">
        <v>5</v>
      </c>
      <c r="Y11">
        <v>6</v>
      </c>
      <c r="Z11">
        <v>7</v>
      </c>
      <c r="AA11">
        <v>8</v>
      </c>
      <c r="AB11">
        <v>9</v>
      </c>
      <c r="AC11">
        <v>10</v>
      </c>
      <c r="AD11">
        <v>11</v>
      </c>
      <c r="AE11">
        <v>12</v>
      </c>
      <c r="AF11">
        <v>13</v>
      </c>
      <c r="AG11">
        <v>14</v>
      </c>
      <c r="AH11">
        <v>15</v>
      </c>
      <c r="AI11">
        <v>16</v>
      </c>
      <c r="AJ11">
        <v>17</v>
      </c>
      <c r="AK11">
        <v>18</v>
      </c>
      <c r="AL11">
        <v>19</v>
      </c>
      <c r="AM11">
        <v>20</v>
      </c>
    </row>
    <row r="12" spans="1:39" x14ac:dyDescent="0.2">
      <c r="A12" t="s">
        <v>16</v>
      </c>
      <c r="B12" s="7">
        <f>B22*B24+(B19*B21*(1-B25))</f>
        <v>0.10576000000000001</v>
      </c>
      <c r="K12" t="s">
        <v>23</v>
      </c>
      <c r="L12" s="3">
        <f>$L$2*SUM(L13+L15)</f>
        <v>207.83999999999997</v>
      </c>
      <c r="M12" s="3">
        <f>$L$2*SUM(M13+M15)</f>
        <v>51.959999999999994</v>
      </c>
      <c r="N12" s="3">
        <f>S12</f>
        <v>20784</v>
      </c>
      <c r="O12" s="3">
        <f t="shared" ref="O12:O22" si="0">Q12/$B$4</f>
        <v>25.379486605977846</v>
      </c>
      <c r="P12" s="3">
        <f t="shared" ref="P12:P22" si="1">Q12/$B$6</f>
        <v>6.3448716514944614</v>
      </c>
      <c r="Q12" s="3">
        <f>N12*$B$13</f>
        <v>2537.9486605977845</v>
      </c>
      <c r="R12" s="4">
        <f>Q12/$Q$23</f>
        <v>8.5913100103000586E-2</v>
      </c>
      <c r="S12" s="3">
        <f>$L$2*SUM(S13+S15)</f>
        <v>20784</v>
      </c>
    </row>
    <row r="13" spans="1:39" x14ac:dyDescent="0.2">
      <c r="A13" t="s">
        <v>17</v>
      </c>
      <c r="B13" s="6">
        <f>(B12*(1+B12)^B3)/((1+B12)^B3-1)</f>
        <v>0.1221106938316871</v>
      </c>
      <c r="K13" t="s">
        <v>39</v>
      </c>
      <c r="L13" s="3">
        <f>S13/$B$4</f>
        <v>976</v>
      </c>
      <c r="M13" s="3">
        <f>S13/$B$6</f>
        <v>244</v>
      </c>
      <c r="N13" s="3">
        <f>S13</f>
        <v>97600</v>
      </c>
      <c r="O13" s="3">
        <f t="shared" si="0"/>
        <v>119.18003717972661</v>
      </c>
      <c r="P13" s="3">
        <f t="shared" si="1"/>
        <v>29.795009294931653</v>
      </c>
      <c r="Q13" s="3">
        <f t="shared" ref="Q13:Q20" si="2">N13*$B$13</f>
        <v>11918.003717972661</v>
      </c>
      <c r="R13" s="4">
        <f t="shared" ref="R13:R24" si="3">Q13/$Q$23</f>
        <v>0.40344103974465251</v>
      </c>
      <c r="S13">
        <v>97600</v>
      </c>
    </row>
    <row r="14" spans="1:39" x14ac:dyDescent="0.2">
      <c r="C14" s="3"/>
      <c r="D14" s="3"/>
      <c r="E14" s="3"/>
      <c r="F14" s="3"/>
      <c r="G14" s="3"/>
      <c r="H14" s="3"/>
      <c r="I14" s="3"/>
      <c r="K14" t="s">
        <v>40</v>
      </c>
      <c r="L14" s="3">
        <f>S14/$B$4</f>
        <v>111.67</v>
      </c>
      <c r="M14" s="3">
        <f>S14/$B$6</f>
        <v>27.9175</v>
      </c>
      <c r="N14" s="3">
        <f>S14</f>
        <v>11167</v>
      </c>
      <c r="O14" s="3">
        <f t="shared" si="0"/>
        <v>13.636101180184498</v>
      </c>
      <c r="P14" s="3">
        <f t="shared" si="1"/>
        <v>3.4090252950461246</v>
      </c>
      <c r="Q14" s="3">
        <f t="shared" si="2"/>
        <v>1363.6101180184498</v>
      </c>
      <c r="R14" s="4">
        <f t="shared" si="3"/>
        <v>4.6160103389636623E-2</v>
      </c>
      <c r="S14">
        <v>11167</v>
      </c>
    </row>
    <row r="15" spans="1:39" x14ac:dyDescent="0.2">
      <c r="B15" t="s">
        <v>88</v>
      </c>
      <c r="D15" t="s">
        <v>87</v>
      </c>
      <c r="K15" t="s">
        <v>41</v>
      </c>
      <c r="L15" s="3">
        <f>S15/$B$4</f>
        <v>409.6</v>
      </c>
      <c r="M15" s="3">
        <f>S15/$B$6</f>
        <v>102.4</v>
      </c>
      <c r="N15" s="3">
        <f>S15</f>
        <v>40960</v>
      </c>
      <c r="O15" s="3">
        <f t="shared" si="0"/>
        <v>50.016540193459043</v>
      </c>
      <c r="P15" s="3">
        <f t="shared" si="1"/>
        <v>12.504135048364761</v>
      </c>
      <c r="Q15" s="3">
        <f t="shared" si="2"/>
        <v>5001.6540193459041</v>
      </c>
      <c r="R15" s="4">
        <f t="shared" si="3"/>
        <v>0.16931296094201811</v>
      </c>
      <c r="S15">
        <v>40960</v>
      </c>
    </row>
    <row r="16" spans="1:39" x14ac:dyDescent="0.2">
      <c r="B16" t="s">
        <v>43</v>
      </c>
      <c r="C16" s="3" t="s">
        <v>44</v>
      </c>
      <c r="D16" s="3" t="s">
        <v>69</v>
      </c>
      <c r="E16" s="3" t="s">
        <v>70</v>
      </c>
      <c r="F16" s="3" t="s">
        <v>80</v>
      </c>
      <c r="G16" s="3" t="s">
        <v>81</v>
      </c>
      <c r="H16" s="3" t="s">
        <v>82</v>
      </c>
      <c r="I16" s="3" t="s">
        <v>84</v>
      </c>
      <c r="K16" s="9" t="s">
        <v>56</v>
      </c>
      <c r="L16" s="10">
        <f>SUM(L12:L15)</f>
        <v>1705.1100000000001</v>
      </c>
      <c r="M16" s="16">
        <f>SUM(M12:M15)</f>
        <v>426.27750000000003</v>
      </c>
      <c r="N16" s="10">
        <f>S16</f>
        <v>170511</v>
      </c>
      <c r="O16" s="10">
        <f t="shared" si="0"/>
        <v>208.21216515934802</v>
      </c>
      <c r="P16" s="10">
        <f t="shared" si="1"/>
        <v>52.053041289837005</v>
      </c>
      <c r="Q16" s="10">
        <f t="shared" si="2"/>
        <v>20821.216515934801</v>
      </c>
      <c r="R16" s="4">
        <f t="shared" si="3"/>
        <v>0.70482720417930789</v>
      </c>
      <c r="S16" s="10">
        <f>SUM(S12:S15)</f>
        <v>170511</v>
      </c>
    </row>
    <row r="17" spans="1:39" x14ac:dyDescent="0.2">
      <c r="A17" t="s">
        <v>9</v>
      </c>
      <c r="B17" s="3">
        <v>385</v>
      </c>
      <c r="C17" s="3">
        <v>489</v>
      </c>
      <c r="D17" s="3">
        <v>400</v>
      </c>
      <c r="E17" s="3">
        <v>300</v>
      </c>
      <c r="F17" s="3">
        <v>250</v>
      </c>
      <c r="G17" s="3">
        <v>200</v>
      </c>
      <c r="H17" s="3">
        <v>150</v>
      </c>
      <c r="I17" s="3">
        <v>100</v>
      </c>
      <c r="K17" t="s">
        <v>19</v>
      </c>
      <c r="L17" s="3">
        <f t="shared" ref="L17:L22" si="4">N17/$B$4</f>
        <v>224.61843673841486</v>
      </c>
      <c r="M17" s="3">
        <f t="shared" ref="M17:M22" si="5">N17/$B$6</f>
        <v>56.154609184603714</v>
      </c>
      <c r="N17" s="14">
        <f t="shared" ref="N17:N22" si="6">NPV($B$12,T17:AM17)</f>
        <v>22461.843673841486</v>
      </c>
      <c r="O17" s="15">
        <f t="shared" si="0"/>
        <v>27.428313157516754</v>
      </c>
      <c r="P17" s="15">
        <f t="shared" si="1"/>
        <v>6.8570782893791886</v>
      </c>
      <c r="Q17" s="3">
        <f t="shared" si="2"/>
        <v>2742.8313157516754</v>
      </c>
      <c r="R17" s="4">
        <f t="shared" si="3"/>
        <v>9.2848663589717773E-2</v>
      </c>
      <c r="T17" s="3">
        <f>(S16-(2*V18))*L3</f>
        <v>2364.1747500000001</v>
      </c>
      <c r="U17" s="3">
        <f t="shared" ref="U17:AM17" si="7">T17*(1+$L$4)</f>
        <v>2417.3686818750002</v>
      </c>
      <c r="V17" s="3">
        <f t="shared" si="7"/>
        <v>2471.7594772171879</v>
      </c>
      <c r="W17" s="3">
        <f t="shared" si="7"/>
        <v>2527.3740654545745</v>
      </c>
      <c r="X17" s="3">
        <f t="shared" si="7"/>
        <v>2584.2399819273023</v>
      </c>
      <c r="Y17" s="3">
        <f t="shared" si="7"/>
        <v>2642.3853815206667</v>
      </c>
      <c r="Z17" s="3">
        <f t="shared" si="7"/>
        <v>2701.8390526048815</v>
      </c>
      <c r="AA17" s="3">
        <f t="shared" si="7"/>
        <v>2762.6304312884913</v>
      </c>
      <c r="AB17" s="3">
        <f t="shared" si="7"/>
        <v>2824.7896159924821</v>
      </c>
      <c r="AC17" s="3">
        <f t="shared" si="7"/>
        <v>2888.3473823523127</v>
      </c>
      <c r="AD17" s="3">
        <f t="shared" si="7"/>
        <v>2953.3351984552396</v>
      </c>
      <c r="AE17" s="3">
        <f t="shared" si="7"/>
        <v>3019.7852404204823</v>
      </c>
      <c r="AF17" s="3">
        <f t="shared" si="7"/>
        <v>3087.7304083299432</v>
      </c>
      <c r="AG17" s="3">
        <f t="shared" si="7"/>
        <v>3157.204342517367</v>
      </c>
      <c r="AH17" s="3">
        <f t="shared" si="7"/>
        <v>3228.2414402240074</v>
      </c>
      <c r="AI17" s="3">
        <f t="shared" si="7"/>
        <v>3300.8768726290473</v>
      </c>
      <c r="AJ17" s="3">
        <f t="shared" si="7"/>
        <v>3375.1466022632007</v>
      </c>
      <c r="AK17" s="3">
        <f t="shared" si="7"/>
        <v>3451.0874008141227</v>
      </c>
      <c r="AL17" s="3">
        <f t="shared" si="7"/>
        <v>3528.7368673324404</v>
      </c>
      <c r="AM17" s="3">
        <f t="shared" si="7"/>
        <v>3608.1334468474201</v>
      </c>
    </row>
    <row r="18" spans="1:39" x14ac:dyDescent="0.2">
      <c r="A18" t="s">
        <v>8</v>
      </c>
      <c r="B18">
        <f t="shared" ref="B18:I18" si="8">B17*$B$5</f>
        <v>1540</v>
      </c>
      <c r="C18">
        <f t="shared" si="8"/>
        <v>1956</v>
      </c>
      <c r="D18">
        <f t="shared" si="8"/>
        <v>1600</v>
      </c>
      <c r="E18">
        <f t="shared" si="8"/>
        <v>1200</v>
      </c>
      <c r="F18">
        <f t="shared" si="8"/>
        <v>1000</v>
      </c>
      <c r="G18">
        <f t="shared" si="8"/>
        <v>800</v>
      </c>
      <c r="H18">
        <f t="shared" si="8"/>
        <v>600</v>
      </c>
      <c r="I18">
        <f t="shared" si="8"/>
        <v>400</v>
      </c>
      <c r="K18" t="s">
        <v>20</v>
      </c>
      <c r="L18" s="3">
        <f t="shared" si="4"/>
        <v>182.0267008383988</v>
      </c>
      <c r="M18" s="3">
        <f t="shared" si="5"/>
        <v>45.506675209599699</v>
      </c>
      <c r="N18" s="14">
        <f t="shared" si="6"/>
        <v>18202.670083839879</v>
      </c>
      <c r="O18" s="15">
        <f t="shared" si="0"/>
        <v>22.227406735269813</v>
      </c>
      <c r="P18" s="15">
        <f t="shared" si="1"/>
        <v>5.5568516838174533</v>
      </c>
      <c r="Q18" s="3">
        <f t="shared" si="2"/>
        <v>2222.7406735269815</v>
      </c>
      <c r="R18" s="4">
        <f t="shared" si="3"/>
        <v>7.5242870335586493E-2</v>
      </c>
      <c r="V18">
        <v>2302</v>
      </c>
      <c r="W18">
        <v>2302</v>
      </c>
      <c r="X18">
        <v>2302</v>
      </c>
      <c r="Y18">
        <v>2302</v>
      </c>
      <c r="Z18">
        <v>2302</v>
      </c>
      <c r="AA18">
        <v>2302</v>
      </c>
      <c r="AB18">
        <v>2302</v>
      </c>
      <c r="AC18">
        <v>2302</v>
      </c>
      <c r="AD18">
        <v>2302</v>
      </c>
      <c r="AE18">
        <v>2302</v>
      </c>
      <c r="AF18">
        <v>2302</v>
      </c>
      <c r="AG18">
        <v>2302</v>
      </c>
      <c r="AH18">
        <v>2302</v>
      </c>
      <c r="AI18">
        <v>2302</v>
      </c>
      <c r="AJ18">
        <v>2302</v>
      </c>
      <c r="AK18">
        <v>2302</v>
      </c>
      <c r="AL18">
        <v>2302</v>
      </c>
      <c r="AM18">
        <v>2302</v>
      </c>
    </row>
    <row r="19" spans="1:39" x14ac:dyDescent="0.2">
      <c r="A19" t="s">
        <v>10</v>
      </c>
      <c r="B19" s="4">
        <v>0.2</v>
      </c>
      <c r="C19" s="4">
        <f>B19</f>
        <v>0.2</v>
      </c>
      <c r="D19" s="4">
        <f>C19</f>
        <v>0.2</v>
      </c>
      <c r="E19" s="4">
        <f>C19</f>
        <v>0.2</v>
      </c>
      <c r="F19" s="4">
        <f>E19</f>
        <v>0.2</v>
      </c>
      <c r="G19" s="4">
        <f>F19</f>
        <v>0.2</v>
      </c>
      <c r="H19" s="4">
        <f>G19</f>
        <v>0.2</v>
      </c>
      <c r="I19" s="4">
        <f>H19</f>
        <v>0.2</v>
      </c>
      <c r="K19" t="s">
        <v>21</v>
      </c>
      <c r="L19" s="3">
        <f t="shared" si="4"/>
        <v>263.77525281669443</v>
      </c>
      <c r="M19" s="3">
        <f t="shared" si="5"/>
        <v>65.943813204173608</v>
      </c>
      <c r="N19" s="14">
        <f t="shared" si="6"/>
        <v>26377.525281669445</v>
      </c>
      <c r="O19" s="15">
        <f t="shared" si="0"/>
        <v>32.20977913707523</v>
      </c>
      <c r="P19" s="15">
        <f t="shared" si="1"/>
        <v>8.0524447842688076</v>
      </c>
      <c r="Q19" s="3">
        <f t="shared" si="2"/>
        <v>3220.9779137075234</v>
      </c>
      <c r="R19" s="4">
        <f t="shared" si="3"/>
        <v>0.1090345924746678</v>
      </c>
      <c r="T19" s="3">
        <f>($S$13)*$L$6</f>
        <v>3220.8</v>
      </c>
      <c r="U19">
        <v>3221</v>
      </c>
      <c r="V19">
        <v>3221</v>
      </c>
      <c r="W19">
        <v>3221</v>
      </c>
      <c r="X19">
        <v>3221</v>
      </c>
      <c r="Y19">
        <v>3221</v>
      </c>
      <c r="Z19">
        <v>3221</v>
      </c>
      <c r="AA19">
        <v>3221</v>
      </c>
      <c r="AB19">
        <v>3221</v>
      </c>
      <c r="AC19">
        <v>3221</v>
      </c>
      <c r="AD19">
        <v>3221</v>
      </c>
      <c r="AE19">
        <v>3221</v>
      </c>
      <c r="AF19">
        <v>3221</v>
      </c>
      <c r="AG19">
        <v>3221</v>
      </c>
      <c r="AH19">
        <v>3221</v>
      </c>
      <c r="AI19">
        <v>3221</v>
      </c>
      <c r="AJ19">
        <v>3221</v>
      </c>
      <c r="AK19">
        <v>3221</v>
      </c>
      <c r="AL19">
        <v>3221</v>
      </c>
      <c r="AM19">
        <v>3221</v>
      </c>
    </row>
    <row r="20" spans="1:39" x14ac:dyDescent="0.2">
      <c r="A20" t="s">
        <v>11</v>
      </c>
      <c r="B20" s="3">
        <f t="shared" ref="B20:I20" si="9">B19*B18</f>
        <v>308</v>
      </c>
      <c r="C20" s="3">
        <f t="shared" si="9"/>
        <v>391.20000000000005</v>
      </c>
      <c r="D20" s="3">
        <f t="shared" si="9"/>
        <v>320</v>
      </c>
      <c r="E20" s="3">
        <f t="shared" si="9"/>
        <v>240</v>
      </c>
      <c r="F20" s="3">
        <f t="shared" si="9"/>
        <v>200</v>
      </c>
      <c r="G20" s="3">
        <f t="shared" si="9"/>
        <v>160</v>
      </c>
      <c r="H20" s="3">
        <f t="shared" si="9"/>
        <v>120</v>
      </c>
      <c r="I20" s="3">
        <f t="shared" si="9"/>
        <v>80</v>
      </c>
      <c r="K20" t="s">
        <v>27</v>
      </c>
      <c r="L20" s="3">
        <f t="shared" si="4"/>
        <v>76.812888440535787</v>
      </c>
      <c r="M20" s="3">
        <f t="shared" si="5"/>
        <v>19.203222110133947</v>
      </c>
      <c r="N20" s="14">
        <f t="shared" si="6"/>
        <v>7681.2888440535789</v>
      </c>
      <c r="O20" s="15">
        <f t="shared" si="0"/>
        <v>9.3796751026898022</v>
      </c>
      <c r="P20" s="15">
        <f t="shared" si="1"/>
        <v>2.3449187756724506</v>
      </c>
      <c r="Q20" s="3">
        <f t="shared" si="2"/>
        <v>937.96751026898028</v>
      </c>
      <c r="R20" s="4">
        <f t="shared" si="3"/>
        <v>3.1751507764589917E-2</v>
      </c>
      <c r="T20">
        <v>885</v>
      </c>
      <c r="U20" s="3">
        <f t="shared" ref="U20:AM20" si="10">T20*(1+$L$5)</f>
        <v>892.96499999999992</v>
      </c>
      <c r="V20" s="3">
        <f t="shared" si="10"/>
        <v>901.00168499999984</v>
      </c>
      <c r="W20" s="3">
        <f t="shared" si="10"/>
        <v>909.1107001649998</v>
      </c>
      <c r="X20" s="3">
        <f t="shared" si="10"/>
        <v>917.2926964664847</v>
      </c>
      <c r="Y20" s="3">
        <f t="shared" si="10"/>
        <v>925.54833073468296</v>
      </c>
      <c r="Z20" s="3">
        <f t="shared" si="10"/>
        <v>933.87826571129506</v>
      </c>
      <c r="AA20" s="3">
        <f t="shared" si="10"/>
        <v>942.28317010269666</v>
      </c>
      <c r="AB20" s="3">
        <f t="shared" si="10"/>
        <v>950.76371863362078</v>
      </c>
      <c r="AC20" s="3">
        <f t="shared" si="10"/>
        <v>959.32059210132331</v>
      </c>
      <c r="AD20" s="3">
        <f t="shared" si="10"/>
        <v>967.9544774302351</v>
      </c>
      <c r="AE20" s="3">
        <f t="shared" si="10"/>
        <v>976.66606772710713</v>
      </c>
      <c r="AF20" s="3">
        <f t="shared" si="10"/>
        <v>985.45606233665103</v>
      </c>
      <c r="AG20" s="3">
        <f t="shared" si="10"/>
        <v>994.32516689768079</v>
      </c>
      <c r="AH20" s="3">
        <f t="shared" si="10"/>
        <v>1003.2740933997599</v>
      </c>
      <c r="AI20" s="3">
        <f t="shared" si="10"/>
        <v>1012.3035602403576</v>
      </c>
      <c r="AJ20" s="3">
        <f t="shared" si="10"/>
        <v>1021.4142922825207</v>
      </c>
      <c r="AK20" s="3">
        <f t="shared" si="10"/>
        <v>1030.6070209130633</v>
      </c>
      <c r="AL20" s="3">
        <f t="shared" si="10"/>
        <v>1039.8824841012806</v>
      </c>
      <c r="AM20" s="3">
        <f t="shared" si="10"/>
        <v>1049.2414264581921</v>
      </c>
    </row>
    <row r="21" spans="1:39" x14ac:dyDescent="0.2">
      <c r="A21" t="s">
        <v>12</v>
      </c>
      <c r="B21" s="4">
        <v>0.08</v>
      </c>
      <c r="C21" s="4">
        <f>B21</f>
        <v>0.08</v>
      </c>
      <c r="D21" s="4">
        <f>C21</f>
        <v>0.08</v>
      </c>
      <c r="E21" s="4">
        <f>C21</f>
        <v>0.08</v>
      </c>
      <c r="F21" s="4">
        <f>E21</f>
        <v>0.08</v>
      </c>
      <c r="G21" s="4">
        <f>F21</f>
        <v>0.08</v>
      </c>
      <c r="H21" s="4">
        <f>G21</f>
        <v>0.08</v>
      </c>
      <c r="I21" s="4">
        <f>H21</f>
        <v>0.08</v>
      </c>
      <c r="K21" s="9" t="s">
        <v>28</v>
      </c>
      <c r="L21" s="10">
        <f t="shared" si="4"/>
        <v>714.07868892895419</v>
      </c>
      <c r="M21" s="10">
        <f t="shared" si="5"/>
        <v>178.51967223223855</v>
      </c>
      <c r="N21" s="13">
        <f t="shared" si="6"/>
        <v>71407.868892895422</v>
      </c>
      <c r="O21" s="10">
        <f t="shared" si="0"/>
        <v>87.196644155536063</v>
      </c>
      <c r="P21" s="10">
        <f t="shared" si="1"/>
        <v>21.799161038884016</v>
      </c>
      <c r="Q21" s="10">
        <f>N21*$B$13</f>
        <v>8719.6644155536069</v>
      </c>
      <c r="R21" s="4">
        <f t="shared" si="3"/>
        <v>0.29517279582069222</v>
      </c>
      <c r="T21" s="10">
        <f>SUM(T17:T20)</f>
        <v>6469.9747500000003</v>
      </c>
      <c r="U21" s="10">
        <f t="shared" ref="U21:AM21" si="11">SUM(U17:U20)</f>
        <v>6531.3336818750004</v>
      </c>
      <c r="V21" s="10">
        <f t="shared" si="11"/>
        <v>8895.761162217188</v>
      </c>
      <c r="W21" s="10">
        <f t="shared" si="11"/>
        <v>8959.4847656195743</v>
      </c>
      <c r="X21" s="10">
        <f t="shared" si="11"/>
        <v>9024.5326783937871</v>
      </c>
      <c r="Y21" s="10">
        <f t="shared" si="11"/>
        <v>9090.9337122553497</v>
      </c>
      <c r="Z21" s="10">
        <f t="shared" si="11"/>
        <v>9158.7173183161776</v>
      </c>
      <c r="AA21" s="10">
        <f t="shared" si="11"/>
        <v>9227.9136013911884</v>
      </c>
      <c r="AB21" s="10">
        <f t="shared" si="11"/>
        <v>9298.5533346261036</v>
      </c>
      <c r="AC21" s="10">
        <f t="shared" si="11"/>
        <v>9370.6679744536359</v>
      </c>
      <c r="AD21" s="10">
        <f t="shared" si="11"/>
        <v>9444.2896758854749</v>
      </c>
      <c r="AE21" s="10">
        <f t="shared" si="11"/>
        <v>9519.4513081475889</v>
      </c>
      <c r="AF21" s="10">
        <f t="shared" si="11"/>
        <v>9596.1864706665929</v>
      </c>
      <c r="AG21" s="10">
        <f t="shared" si="11"/>
        <v>9674.5295094150479</v>
      </c>
      <c r="AH21" s="10">
        <f t="shared" si="11"/>
        <v>9754.5155336237658</v>
      </c>
      <c r="AI21" s="10">
        <f t="shared" si="11"/>
        <v>9836.1804328694052</v>
      </c>
      <c r="AJ21" s="10">
        <f t="shared" si="11"/>
        <v>9919.5608945457225</v>
      </c>
      <c r="AK21" s="10">
        <f t="shared" si="11"/>
        <v>10004.694421727185</v>
      </c>
      <c r="AL21" s="10">
        <f t="shared" si="11"/>
        <v>10091.619351433721</v>
      </c>
      <c r="AM21" s="10">
        <f t="shared" si="11"/>
        <v>10180.374873305613</v>
      </c>
    </row>
    <row r="22" spans="1:39" x14ac:dyDescent="0.2">
      <c r="A22" t="s">
        <v>13</v>
      </c>
      <c r="B22" s="4">
        <f t="shared" ref="B22:I22" si="12">1-B19</f>
        <v>0.8</v>
      </c>
      <c r="C22" s="4">
        <f t="shared" si="12"/>
        <v>0.8</v>
      </c>
      <c r="D22" s="4">
        <f t="shared" si="12"/>
        <v>0.8</v>
      </c>
      <c r="E22" s="4">
        <f t="shared" si="12"/>
        <v>0.8</v>
      </c>
      <c r="F22" s="4">
        <f t="shared" si="12"/>
        <v>0.8</v>
      </c>
      <c r="G22" s="4">
        <f t="shared" si="12"/>
        <v>0.8</v>
      </c>
      <c r="H22" s="4">
        <f t="shared" si="12"/>
        <v>0.8</v>
      </c>
      <c r="I22" s="4">
        <f t="shared" si="12"/>
        <v>0.8</v>
      </c>
      <c r="K22" t="s">
        <v>33</v>
      </c>
      <c r="L22" s="3">
        <f t="shared" si="4"/>
        <v>637.26580048841868</v>
      </c>
      <c r="M22" s="3">
        <f t="shared" si="5"/>
        <v>159.31645012210467</v>
      </c>
      <c r="N22" s="14">
        <f t="shared" si="6"/>
        <v>63726.580048841868</v>
      </c>
      <c r="O22" s="15">
        <f t="shared" si="0"/>
        <v>77.816969052846289</v>
      </c>
      <c r="P22" s="15">
        <f t="shared" si="1"/>
        <v>19.454242263211572</v>
      </c>
      <c r="Q22" s="3">
        <f>N22*$B$13</f>
        <v>7781.6969052846289</v>
      </c>
      <c r="R22" s="4">
        <f t="shared" si="3"/>
        <v>0.26342128805610238</v>
      </c>
      <c r="T22" s="3">
        <f>SUM(T17:T19)</f>
        <v>5584.9747500000003</v>
      </c>
      <c r="U22" s="3">
        <f t="shared" ref="U22:AM22" si="13">SUM(U17:U19)</f>
        <v>5638.3686818750002</v>
      </c>
      <c r="V22" s="3">
        <f t="shared" si="13"/>
        <v>7994.7594772171879</v>
      </c>
      <c r="W22" s="3">
        <f t="shared" si="13"/>
        <v>8050.3740654545745</v>
      </c>
      <c r="X22" s="3">
        <f t="shared" si="13"/>
        <v>8107.2399819273023</v>
      </c>
      <c r="Y22" s="3">
        <f t="shared" si="13"/>
        <v>8165.3853815206667</v>
      </c>
      <c r="Z22" s="3">
        <f t="shared" si="13"/>
        <v>8224.8390526048825</v>
      </c>
      <c r="AA22" s="3">
        <f t="shared" si="13"/>
        <v>8285.6304312884913</v>
      </c>
      <c r="AB22" s="3">
        <f t="shared" si="13"/>
        <v>8347.7896159924821</v>
      </c>
      <c r="AC22" s="3">
        <f t="shared" si="13"/>
        <v>8411.3473823523127</v>
      </c>
      <c r="AD22" s="3">
        <f t="shared" si="13"/>
        <v>8476.3351984552392</v>
      </c>
      <c r="AE22" s="3">
        <f t="shared" si="13"/>
        <v>8542.7852404204823</v>
      </c>
      <c r="AF22" s="3">
        <f t="shared" si="13"/>
        <v>8610.7304083299423</v>
      </c>
      <c r="AG22" s="3">
        <f t="shared" si="13"/>
        <v>8680.204342517367</v>
      </c>
      <c r="AH22" s="3">
        <f t="shared" si="13"/>
        <v>8751.2414402240065</v>
      </c>
      <c r="AI22" s="3">
        <f t="shared" si="13"/>
        <v>8823.8768726290473</v>
      </c>
      <c r="AJ22" s="3">
        <f t="shared" si="13"/>
        <v>8898.1466022632012</v>
      </c>
      <c r="AK22" s="3">
        <f t="shared" si="13"/>
        <v>8974.0874008141218</v>
      </c>
      <c r="AL22" s="3">
        <f t="shared" si="13"/>
        <v>9051.7368673324399</v>
      </c>
      <c r="AM22" s="3">
        <f t="shared" si="13"/>
        <v>9131.1334468474197</v>
      </c>
    </row>
    <row r="23" spans="1:39" x14ac:dyDescent="0.2">
      <c r="A23" t="s">
        <v>14</v>
      </c>
      <c r="B23" s="3">
        <f t="shared" ref="B23:I23" si="14">B22*B18</f>
        <v>1232</v>
      </c>
      <c r="C23" s="3">
        <f t="shared" si="14"/>
        <v>1564.8000000000002</v>
      </c>
      <c r="D23" s="3">
        <f t="shared" si="14"/>
        <v>1280</v>
      </c>
      <c r="E23" s="3">
        <f t="shared" si="14"/>
        <v>960</v>
      </c>
      <c r="F23" s="3">
        <f t="shared" si="14"/>
        <v>800</v>
      </c>
      <c r="G23" s="3">
        <f t="shared" si="14"/>
        <v>640</v>
      </c>
      <c r="H23" s="3">
        <f t="shared" si="14"/>
        <v>480</v>
      </c>
      <c r="I23" s="3">
        <f t="shared" si="14"/>
        <v>320</v>
      </c>
      <c r="K23" s="9" t="s">
        <v>54</v>
      </c>
      <c r="L23" s="10">
        <f t="shared" ref="L23:Q23" si="15">L21+L16</f>
        <v>2419.1886889289544</v>
      </c>
      <c r="M23" s="10">
        <f t="shared" si="15"/>
        <v>604.79717223223861</v>
      </c>
      <c r="N23" s="10">
        <f t="shared" si="15"/>
        <v>241918.86889289541</v>
      </c>
      <c r="O23" s="10">
        <f t="shared" si="15"/>
        <v>295.40880931488408</v>
      </c>
      <c r="P23" s="10">
        <f t="shared" si="15"/>
        <v>73.85220232872102</v>
      </c>
      <c r="Q23" s="10">
        <f t="shared" si="15"/>
        <v>29540.880931488406</v>
      </c>
      <c r="R23" s="4">
        <f t="shared" si="3"/>
        <v>1</v>
      </c>
    </row>
    <row r="24" spans="1:39" x14ac:dyDescent="0.2">
      <c r="A24" t="s">
        <v>15</v>
      </c>
      <c r="B24" s="4">
        <v>0.12</v>
      </c>
      <c r="C24" s="4">
        <v>0.12</v>
      </c>
      <c r="D24" s="4">
        <v>0.12</v>
      </c>
      <c r="E24" s="4">
        <v>0.12</v>
      </c>
      <c r="F24" s="4">
        <v>0.12</v>
      </c>
      <c r="G24" s="4">
        <v>0.12</v>
      </c>
      <c r="H24" s="4">
        <v>0.12</v>
      </c>
      <c r="I24" s="4">
        <v>0.12</v>
      </c>
      <c r="K24" t="s">
        <v>55</v>
      </c>
      <c r="L24" s="10">
        <f t="shared" ref="L24:Q24" si="16">L22+L16</f>
        <v>2342.3758004884189</v>
      </c>
      <c r="M24" s="10">
        <f t="shared" si="16"/>
        <v>585.59395012210473</v>
      </c>
      <c r="N24" s="10">
        <f t="shared" si="16"/>
        <v>234237.58004884186</v>
      </c>
      <c r="O24" s="10">
        <f t="shared" si="16"/>
        <v>286.02913421219432</v>
      </c>
      <c r="P24" s="10">
        <f t="shared" si="16"/>
        <v>71.50728355304858</v>
      </c>
      <c r="Q24" s="10">
        <f t="shared" si="16"/>
        <v>28602.913421219429</v>
      </c>
      <c r="R24" s="4">
        <f t="shared" si="3"/>
        <v>0.96824849223541021</v>
      </c>
    </row>
    <row r="25" spans="1:39" x14ac:dyDescent="0.2">
      <c r="A25" t="s">
        <v>18</v>
      </c>
      <c r="B25" s="5">
        <v>0.39</v>
      </c>
      <c r="C25" s="5">
        <v>0.39</v>
      </c>
      <c r="D25" s="5">
        <v>0.39</v>
      </c>
      <c r="E25" s="5">
        <v>0.39</v>
      </c>
      <c r="F25" s="5">
        <v>0.39</v>
      </c>
      <c r="G25" s="5">
        <v>0.39</v>
      </c>
      <c r="H25" s="5">
        <v>0.39</v>
      </c>
      <c r="I25" s="5">
        <v>0.39</v>
      </c>
    </row>
    <row r="26" spans="1:39" x14ac:dyDescent="0.2">
      <c r="A26" t="s">
        <v>45</v>
      </c>
      <c r="B26" s="8">
        <v>6.3E-3</v>
      </c>
      <c r="C26" s="8">
        <v>6.3E-3</v>
      </c>
      <c r="D26" s="8">
        <v>1.4999999999999999E-2</v>
      </c>
      <c r="E26" s="8">
        <v>1.4999999999999999E-2</v>
      </c>
      <c r="F26" s="8">
        <v>1.4999999999999999E-2</v>
      </c>
      <c r="G26" s="8">
        <v>1.4999999999999999E-2</v>
      </c>
      <c r="H26" s="8">
        <v>1.4999999999999999E-2</v>
      </c>
      <c r="I26" s="8">
        <v>1.4999999999999999E-2</v>
      </c>
    </row>
    <row r="27" spans="1:39" x14ac:dyDescent="0.2">
      <c r="A27" t="s">
        <v>46</v>
      </c>
      <c r="B27" s="1">
        <f t="shared" ref="B27:I27" si="17">B26*B17</f>
        <v>2.4255</v>
      </c>
      <c r="C27" s="1">
        <f t="shared" si="17"/>
        <v>3.0807000000000002</v>
      </c>
      <c r="D27" s="1">
        <f t="shared" si="17"/>
        <v>6</v>
      </c>
      <c r="E27" s="1">
        <f t="shared" si="17"/>
        <v>4.5</v>
      </c>
      <c r="F27" s="1">
        <f t="shared" si="17"/>
        <v>3.75</v>
      </c>
      <c r="G27" s="1">
        <f t="shared" si="17"/>
        <v>3</v>
      </c>
      <c r="H27" s="1">
        <f t="shared" si="17"/>
        <v>2.25</v>
      </c>
      <c r="I27" s="1">
        <f t="shared" si="17"/>
        <v>1.5</v>
      </c>
    </row>
    <row r="28" spans="1:39" x14ac:dyDescent="0.2">
      <c r="A28" t="s">
        <v>58</v>
      </c>
      <c r="B28">
        <v>2676</v>
      </c>
      <c r="C28">
        <v>2676</v>
      </c>
      <c r="D28" s="3">
        <f>D29*$B$6</f>
        <v>2400</v>
      </c>
      <c r="E28" s="3">
        <f>E29*$B$6</f>
        <v>1800</v>
      </c>
      <c r="F28" s="3">
        <f t="shared" ref="F28:I28" si="18">F29*$B$6</f>
        <v>1500</v>
      </c>
      <c r="G28" s="3">
        <f t="shared" si="18"/>
        <v>1200</v>
      </c>
      <c r="H28" s="3">
        <f t="shared" si="18"/>
        <v>900</v>
      </c>
      <c r="I28" s="3">
        <f t="shared" si="18"/>
        <v>600</v>
      </c>
      <c r="Q28">
        <f>(Q16+Q22+350*400*30/1000)/(400*350*0.86)*1000</f>
        <v>272.44944702009496</v>
      </c>
    </row>
    <row r="29" spans="1:39" x14ac:dyDescent="0.2">
      <c r="A29" t="s">
        <v>59</v>
      </c>
      <c r="B29" s="2">
        <f>B28/B6</f>
        <v>6.69</v>
      </c>
      <c r="C29" s="2">
        <f>C28/B6</f>
        <v>6.69</v>
      </c>
      <c r="D29">
        <f t="shared" ref="D29:I29" si="19">D17*$L$7</f>
        <v>6</v>
      </c>
      <c r="E29">
        <f t="shared" si="19"/>
        <v>4.5</v>
      </c>
      <c r="F29">
        <f t="shared" si="19"/>
        <v>3.75</v>
      </c>
      <c r="G29">
        <f t="shared" si="19"/>
        <v>3</v>
      </c>
      <c r="H29">
        <f t="shared" si="19"/>
        <v>2.25</v>
      </c>
      <c r="I29">
        <f t="shared" si="19"/>
        <v>1.5</v>
      </c>
      <c r="L29" t="s">
        <v>63</v>
      </c>
    </row>
    <row r="30" spans="1:39" x14ac:dyDescent="0.2">
      <c r="A30" t="s">
        <v>57</v>
      </c>
      <c r="B30">
        <v>8029</v>
      </c>
      <c r="C30">
        <v>8029</v>
      </c>
      <c r="D30" s="3">
        <f>D31*$B$6</f>
        <v>5280</v>
      </c>
      <c r="E30" s="3">
        <f>E31*$B$6</f>
        <v>3960</v>
      </c>
      <c r="F30" s="3">
        <f>F31*$B$6</f>
        <v>3300</v>
      </c>
      <c r="G30" s="3">
        <f>G31*$B$6</f>
        <v>2640</v>
      </c>
      <c r="H30" s="3">
        <f>H31*$B$6</f>
        <v>1980</v>
      </c>
      <c r="I30" s="3">
        <f>I31*$B$6</f>
        <v>1320</v>
      </c>
      <c r="L30" t="s">
        <v>43</v>
      </c>
      <c r="M30" t="s">
        <v>44</v>
      </c>
    </row>
    <row r="31" spans="1:39" x14ac:dyDescent="0.2">
      <c r="A31" t="s">
        <v>60</v>
      </c>
      <c r="B31" s="2">
        <f>B30/B6</f>
        <v>20.072500000000002</v>
      </c>
      <c r="C31" s="2">
        <f>C30/B6</f>
        <v>20.072500000000002</v>
      </c>
      <c r="D31" s="2">
        <f t="shared" ref="D31:I31" si="20">$L$6*D17</f>
        <v>13.200000000000001</v>
      </c>
      <c r="E31" s="2">
        <f t="shared" si="20"/>
        <v>9.9</v>
      </c>
      <c r="F31" s="2">
        <f t="shared" si="20"/>
        <v>8.25</v>
      </c>
      <c r="G31" s="2">
        <f t="shared" si="20"/>
        <v>6.6000000000000005</v>
      </c>
      <c r="H31" s="2">
        <f t="shared" si="20"/>
        <v>4.95</v>
      </c>
      <c r="I31" s="2">
        <f t="shared" si="20"/>
        <v>3.3000000000000003</v>
      </c>
      <c r="K31" t="s">
        <v>65</v>
      </c>
      <c r="L31" s="17">
        <v>189</v>
      </c>
      <c r="M31" s="17">
        <v>338</v>
      </c>
    </row>
    <row r="32" spans="1:39" x14ac:dyDescent="0.2">
      <c r="A32" t="s">
        <v>61</v>
      </c>
      <c r="B32" s="2">
        <v>30</v>
      </c>
      <c r="C32" s="2">
        <v>30</v>
      </c>
      <c r="D32" s="2">
        <v>30</v>
      </c>
      <c r="E32" s="2">
        <v>30</v>
      </c>
      <c r="F32" s="2">
        <v>30</v>
      </c>
      <c r="G32" s="2">
        <v>30</v>
      </c>
      <c r="H32" s="2">
        <v>30</v>
      </c>
      <c r="I32" s="2">
        <v>30</v>
      </c>
      <c r="K32" t="s">
        <v>64</v>
      </c>
      <c r="L32" s="11">
        <f>-PV(B12,10,,L31)</f>
        <v>69.159691591009818</v>
      </c>
      <c r="M32" s="11">
        <f>-PV(C12,10,,M31)</f>
        <v>338</v>
      </c>
    </row>
    <row r="33" spans="1:14" x14ac:dyDescent="0.2">
      <c r="K33" t="s">
        <v>66</v>
      </c>
      <c r="L33" s="11">
        <f>L32*B13</f>
        <v>8.4451379253637047</v>
      </c>
      <c r="M33" s="11">
        <f>M32*B13</f>
        <v>41.27341451511024</v>
      </c>
      <c r="N33" t="s">
        <v>67</v>
      </c>
    </row>
    <row r="34" spans="1:14" x14ac:dyDescent="0.2">
      <c r="A34" t="s">
        <v>71</v>
      </c>
      <c r="B34" s="3">
        <v>350</v>
      </c>
      <c r="C34">
        <v>350</v>
      </c>
      <c r="D34">
        <v>350</v>
      </c>
      <c r="E34">
        <v>350</v>
      </c>
      <c r="F34">
        <v>350</v>
      </c>
      <c r="G34">
        <v>350</v>
      </c>
      <c r="H34">
        <v>350</v>
      </c>
      <c r="I34">
        <v>350</v>
      </c>
      <c r="K34" t="s">
        <v>76</v>
      </c>
      <c r="L34" s="17">
        <v>6</v>
      </c>
      <c r="M34" s="17">
        <v>12</v>
      </c>
      <c r="N34" t="s">
        <v>77</v>
      </c>
    </row>
    <row r="35" spans="1:14" x14ac:dyDescent="0.2">
      <c r="A35" t="s">
        <v>68</v>
      </c>
      <c r="B35" s="2">
        <f>B17*B13+(B27+B29+B31)</f>
        <v>76.200617125199528</v>
      </c>
      <c r="C35" s="2">
        <f>C17*B13+(C27+C29+C31)</f>
        <v>89.555329283694988</v>
      </c>
      <c r="D35" s="2">
        <f t="shared" ref="D35:I35" si="21">D17*$B$13+(D27+D29+D31)</f>
        <v>74.04427753267484</v>
      </c>
      <c r="E35" s="2">
        <f t="shared" si="21"/>
        <v>55.53320814950613</v>
      </c>
      <c r="F35" s="2">
        <f t="shared" si="21"/>
        <v>46.277673457921779</v>
      </c>
      <c r="G35" s="2">
        <f t="shared" si="21"/>
        <v>37.02213876633742</v>
      </c>
      <c r="H35" s="2">
        <f t="shared" si="21"/>
        <v>27.766604074753065</v>
      </c>
      <c r="I35" s="2">
        <f t="shared" si="21"/>
        <v>18.51106938316871</v>
      </c>
      <c r="K35" t="s">
        <v>78</v>
      </c>
      <c r="L35">
        <v>0</v>
      </c>
      <c r="M35">
        <v>0</v>
      </c>
      <c r="N35" t="s">
        <v>79</v>
      </c>
    </row>
    <row r="36" spans="1:14" x14ac:dyDescent="0.2">
      <c r="A36" t="s">
        <v>72</v>
      </c>
      <c r="B36" s="2">
        <f t="shared" ref="B36:I36" si="22">B35+B34*B32/1000</f>
        <v>86.700617125199528</v>
      </c>
      <c r="C36" s="2">
        <f t="shared" si="22"/>
        <v>100.05532928369499</v>
      </c>
      <c r="D36" s="2">
        <f t="shared" si="22"/>
        <v>84.54427753267484</v>
      </c>
      <c r="E36" s="2">
        <f t="shared" si="22"/>
        <v>66.033208149506123</v>
      </c>
      <c r="F36" s="2">
        <f t="shared" si="22"/>
        <v>56.777673457921779</v>
      </c>
      <c r="G36" s="2">
        <f t="shared" si="22"/>
        <v>47.52213876633742</v>
      </c>
      <c r="H36" s="2">
        <f t="shared" si="22"/>
        <v>38.266604074753062</v>
      </c>
      <c r="I36" s="2">
        <f t="shared" si="22"/>
        <v>29.01106938316871</v>
      </c>
    </row>
    <row r="37" spans="1:14" x14ac:dyDescent="0.2">
      <c r="A37" t="s">
        <v>85</v>
      </c>
      <c r="B37" s="2">
        <f>B35*$B$5</f>
        <v>304.80246850079811</v>
      </c>
      <c r="C37" s="2">
        <f t="shared" ref="C37:I37" si="23">C35*$B$5</f>
        <v>358.22131713477995</v>
      </c>
      <c r="D37" s="2">
        <f t="shared" si="23"/>
        <v>296.17711013069936</v>
      </c>
      <c r="E37" s="2">
        <f t="shared" si="23"/>
        <v>222.13283259802452</v>
      </c>
      <c r="F37" s="2">
        <f t="shared" si="23"/>
        <v>185.11069383168712</v>
      </c>
      <c r="G37" s="2">
        <f t="shared" si="23"/>
        <v>148.08855506534968</v>
      </c>
      <c r="H37" s="2">
        <f t="shared" si="23"/>
        <v>111.06641629901226</v>
      </c>
      <c r="I37" s="2">
        <f t="shared" si="23"/>
        <v>74.04427753267484</v>
      </c>
    </row>
    <row r="38" spans="1:14" x14ac:dyDescent="0.2">
      <c r="A38" t="s">
        <v>86</v>
      </c>
      <c r="B38" s="2">
        <f>B36*$B$5</f>
        <v>346.80246850079811</v>
      </c>
      <c r="C38" s="2">
        <f t="shared" ref="C38:I38" si="24">C36*$B$5</f>
        <v>400.22131713477995</v>
      </c>
      <c r="D38" s="2">
        <f t="shared" si="24"/>
        <v>338.17711013069936</v>
      </c>
      <c r="E38" s="2">
        <f t="shared" si="24"/>
        <v>264.13283259802449</v>
      </c>
      <c r="F38" s="2">
        <f t="shared" si="24"/>
        <v>227.11069383168712</v>
      </c>
      <c r="G38" s="2">
        <f t="shared" si="24"/>
        <v>190.08855506534968</v>
      </c>
      <c r="H38" s="2">
        <f t="shared" si="24"/>
        <v>153.06641629901225</v>
      </c>
      <c r="I38" s="2">
        <f t="shared" si="24"/>
        <v>116.04427753267484</v>
      </c>
    </row>
    <row r="40" spans="1:14" x14ac:dyDescent="0.2">
      <c r="A40" t="s">
        <v>73</v>
      </c>
      <c r="B40" s="3">
        <f>B35/(B34*B9)*1000</f>
        <v>256.13652815193115</v>
      </c>
      <c r="C40" s="3">
        <f>C35/(C34*B9)*1000</f>
        <v>301.02631691998317</v>
      </c>
      <c r="D40" s="3">
        <f t="shared" ref="D40:I40" si="25">D35/(D34*$B$9)*1000</f>
        <v>248.88832784092384</v>
      </c>
      <c r="E40" s="3">
        <f t="shared" si="25"/>
        <v>186.66624588069288</v>
      </c>
      <c r="F40" s="3">
        <f t="shared" si="25"/>
        <v>155.55520490057742</v>
      </c>
      <c r="G40" s="3">
        <f t="shared" si="25"/>
        <v>124.44416392046192</v>
      </c>
      <c r="H40" s="3">
        <f t="shared" si="25"/>
        <v>93.333122940346442</v>
      </c>
      <c r="I40" s="3">
        <f t="shared" si="25"/>
        <v>62.222081960230959</v>
      </c>
    </row>
    <row r="41" spans="1:14" x14ac:dyDescent="0.2">
      <c r="A41" t="s">
        <v>74</v>
      </c>
      <c r="B41" s="3">
        <f>B36/(B34*B9)*1000</f>
        <v>291.43064579899004</v>
      </c>
      <c r="C41" s="3">
        <f>C36/(C34*B9)*1000</f>
        <v>336.32043456704196</v>
      </c>
      <c r="D41" s="3">
        <f t="shared" ref="D41:I41" si="26">D36/(D34*$B$9)*1000</f>
        <v>284.18244548798265</v>
      </c>
      <c r="E41" s="3">
        <f t="shared" si="26"/>
        <v>221.96036352775167</v>
      </c>
      <c r="F41" s="3">
        <f t="shared" si="26"/>
        <v>190.84932254763623</v>
      </c>
      <c r="G41" s="3">
        <f t="shared" si="26"/>
        <v>159.73828156752074</v>
      </c>
      <c r="H41" s="3">
        <f t="shared" si="26"/>
        <v>128.62724058740523</v>
      </c>
      <c r="I41" s="3">
        <f t="shared" si="26"/>
        <v>97.516199607289792</v>
      </c>
    </row>
    <row r="42" spans="1:14" x14ac:dyDescent="0.2">
      <c r="A42" s="11"/>
      <c r="C42" s="11"/>
      <c r="D42" s="11"/>
    </row>
    <row r="44" spans="1:14" ht="30" x14ac:dyDescent="0.2">
      <c r="A44" s="12" t="s">
        <v>32</v>
      </c>
      <c r="B44" s="11">
        <v>29.5</v>
      </c>
    </row>
    <row r="46" spans="1:14" x14ac:dyDescent="0.2">
      <c r="A46" s="9" t="s">
        <v>95</v>
      </c>
    </row>
    <row r="47" spans="1:14" x14ac:dyDescent="0.2">
      <c r="A47" s="18" t="s">
        <v>89</v>
      </c>
    </row>
    <row r="48" spans="1:14" x14ac:dyDescent="0.2">
      <c r="A48" t="s">
        <v>90</v>
      </c>
      <c r="B48" s="5">
        <v>7.0000000000000007E-2</v>
      </c>
      <c r="D48" s="5"/>
      <c r="E48" s="5"/>
      <c r="F48" s="5"/>
      <c r="G48" s="5"/>
      <c r="H48" s="5"/>
      <c r="I48" s="5"/>
    </row>
    <row r="49" spans="1:9" x14ac:dyDescent="0.2">
      <c r="A49" t="s">
        <v>17</v>
      </c>
      <c r="B49">
        <f>($B$48*(1+$B$48)^$B$3)/((1+$B$48)^$B$3-1)</f>
        <v>9.4392925743255696E-2</v>
      </c>
    </row>
    <row r="50" spans="1:9" x14ac:dyDescent="0.2">
      <c r="A50" t="str">
        <f>A27</f>
        <v>O&amp;M annual cost ($/kWh-y)</v>
      </c>
      <c r="D50" s="1">
        <f t="shared" ref="D50:I50" si="27">D27</f>
        <v>6</v>
      </c>
      <c r="E50" s="1">
        <f t="shared" si="27"/>
        <v>4.5</v>
      </c>
      <c r="F50" s="1">
        <f t="shared" si="27"/>
        <v>3.75</v>
      </c>
      <c r="G50" s="1">
        <f t="shared" si="27"/>
        <v>3</v>
      </c>
      <c r="H50" s="1">
        <f t="shared" si="27"/>
        <v>2.25</v>
      </c>
      <c r="I50" s="1">
        <f t="shared" si="27"/>
        <v>1.5</v>
      </c>
    </row>
    <row r="51" spans="1:9" x14ac:dyDescent="0.2">
      <c r="A51" t="s">
        <v>100</v>
      </c>
      <c r="D51" s="3">
        <f t="shared" ref="D51:I51" si="28">D35</f>
        <v>74.04427753267484</v>
      </c>
      <c r="E51" s="3">
        <f t="shared" si="28"/>
        <v>55.53320814950613</v>
      </c>
      <c r="F51" s="3">
        <f t="shared" si="28"/>
        <v>46.277673457921779</v>
      </c>
      <c r="G51" s="3">
        <f t="shared" si="28"/>
        <v>37.02213876633742</v>
      </c>
      <c r="H51" s="3">
        <f t="shared" si="28"/>
        <v>27.766604074753065</v>
      </c>
      <c r="I51" s="3">
        <f t="shared" si="28"/>
        <v>18.51106938316871</v>
      </c>
    </row>
    <row r="52" spans="1:9" x14ac:dyDescent="0.2">
      <c r="A52" t="s">
        <v>92</v>
      </c>
      <c r="D52" s="3">
        <f t="shared" ref="D52:I52" si="29">(D51-D50)/$B$49</f>
        <v>720.86204550701257</v>
      </c>
      <c r="E52" s="3">
        <f t="shared" si="29"/>
        <v>540.6465341302594</v>
      </c>
      <c r="F52" s="3">
        <f t="shared" si="29"/>
        <v>450.53877844188287</v>
      </c>
      <c r="G52" s="3">
        <f t="shared" si="29"/>
        <v>360.43102275350628</v>
      </c>
      <c r="H52" s="3">
        <f t="shared" si="29"/>
        <v>270.3232670651297</v>
      </c>
      <c r="I52" s="3">
        <f t="shared" si="29"/>
        <v>180.21551137675314</v>
      </c>
    </row>
    <row r="53" spans="1:9" x14ac:dyDescent="0.2">
      <c r="A53" t="s">
        <v>93</v>
      </c>
      <c r="D53" s="3">
        <f t="shared" ref="D53:I53" si="30">D52*$B$5</f>
        <v>2883.4481820280503</v>
      </c>
      <c r="E53" s="3">
        <f t="shared" si="30"/>
        <v>2162.5861365210376</v>
      </c>
      <c r="F53" s="3">
        <f t="shared" si="30"/>
        <v>1802.1551137675315</v>
      </c>
      <c r="G53" s="3">
        <f t="shared" si="30"/>
        <v>1441.7240910140251</v>
      </c>
      <c r="H53" s="3">
        <f t="shared" si="30"/>
        <v>1081.2930682605188</v>
      </c>
      <c r="I53" s="3">
        <f t="shared" si="30"/>
        <v>720.86204550701257</v>
      </c>
    </row>
    <row r="54" spans="1:9" x14ac:dyDescent="0.2">
      <c r="A54" t="s">
        <v>91</v>
      </c>
      <c r="D54">
        <f t="shared" ref="D54:I54" si="31">D50*$B$5</f>
        <v>24</v>
      </c>
      <c r="E54">
        <f t="shared" si="31"/>
        <v>18</v>
      </c>
      <c r="F54">
        <f t="shared" si="31"/>
        <v>15</v>
      </c>
      <c r="G54">
        <f t="shared" si="31"/>
        <v>12</v>
      </c>
      <c r="H54">
        <f t="shared" si="31"/>
        <v>9</v>
      </c>
      <c r="I54">
        <f t="shared" si="31"/>
        <v>6</v>
      </c>
    </row>
    <row r="55" spans="1:9" x14ac:dyDescent="0.2">
      <c r="A55" t="s">
        <v>85</v>
      </c>
      <c r="D55" s="3">
        <f>D53*$B$49+D54</f>
        <v>296.17711013069936</v>
      </c>
      <c r="E55" s="3">
        <f t="shared" ref="E55:I55" si="32">E53*$B$49+E54</f>
        <v>222.13283259802452</v>
      </c>
      <c r="F55" s="3">
        <f t="shared" si="32"/>
        <v>185.11069383168712</v>
      </c>
      <c r="G55" s="3">
        <f t="shared" si="32"/>
        <v>148.08855506534968</v>
      </c>
      <c r="H55" s="3">
        <f t="shared" si="32"/>
        <v>111.06641629901226</v>
      </c>
      <c r="I55" s="3">
        <f t="shared" si="32"/>
        <v>74.04427753267484</v>
      </c>
    </row>
    <row r="57" spans="1:9" x14ac:dyDescent="0.2">
      <c r="A57" s="9" t="s">
        <v>94</v>
      </c>
    </row>
    <row r="58" spans="1:9" x14ac:dyDescent="0.2">
      <c r="A58" s="18" t="str">
        <f>A17</f>
        <v>Capital Cost $/kWh</v>
      </c>
      <c r="D58" s="3">
        <f>D17</f>
        <v>400</v>
      </c>
      <c r="E58" s="3">
        <f t="shared" ref="E58:I59" si="33">E17</f>
        <v>300</v>
      </c>
      <c r="F58" s="3">
        <f t="shared" si="33"/>
        <v>250</v>
      </c>
      <c r="G58" s="3">
        <f t="shared" si="33"/>
        <v>200</v>
      </c>
      <c r="H58" s="3">
        <f t="shared" si="33"/>
        <v>150</v>
      </c>
      <c r="I58" s="3">
        <f t="shared" si="33"/>
        <v>100</v>
      </c>
    </row>
    <row r="59" spans="1:9" x14ac:dyDescent="0.2">
      <c r="A59" s="9" t="str">
        <f>A18</f>
        <v>Capital Cost $/kW</v>
      </c>
      <c r="D59" s="3">
        <f>D18</f>
        <v>1600</v>
      </c>
      <c r="E59" s="3">
        <f t="shared" si="33"/>
        <v>1200</v>
      </c>
      <c r="F59" s="3">
        <f t="shared" si="33"/>
        <v>1000</v>
      </c>
      <c r="G59" s="3">
        <f t="shared" si="33"/>
        <v>800</v>
      </c>
      <c r="H59" s="3">
        <f t="shared" si="33"/>
        <v>600</v>
      </c>
      <c r="I59" s="3">
        <f t="shared" si="33"/>
        <v>400</v>
      </c>
    </row>
    <row r="60" spans="1:9" x14ac:dyDescent="0.2">
      <c r="A60" s="18" t="str">
        <f>A26</f>
        <v>O&amp;M annual cost %</v>
      </c>
      <c r="D60" s="7">
        <f>D26</f>
        <v>1.4999999999999999E-2</v>
      </c>
      <c r="E60" s="7">
        <f t="shared" ref="E60:I60" si="34">E26</f>
        <v>1.4999999999999999E-2</v>
      </c>
      <c r="F60" s="7">
        <f t="shared" si="34"/>
        <v>1.4999999999999999E-2</v>
      </c>
      <c r="G60" s="7">
        <f t="shared" si="34"/>
        <v>1.4999999999999999E-2</v>
      </c>
      <c r="H60" s="7">
        <f t="shared" si="34"/>
        <v>1.4999999999999999E-2</v>
      </c>
      <c r="I60" s="7">
        <f t="shared" si="34"/>
        <v>1.4999999999999999E-2</v>
      </c>
    </row>
    <row r="61" spans="1:9" x14ac:dyDescent="0.2">
      <c r="A61" t="str">
        <f>A27</f>
        <v>O&amp;M annual cost ($/kWh-y)</v>
      </c>
      <c r="D61" s="2">
        <f>D58*D60</f>
        <v>6</v>
      </c>
      <c r="E61" s="2">
        <f t="shared" ref="E61:I61" si="35">E58*E60</f>
        <v>4.5</v>
      </c>
      <c r="F61" s="2">
        <f t="shared" si="35"/>
        <v>3.75</v>
      </c>
      <c r="G61" s="2">
        <f t="shared" si="35"/>
        <v>3</v>
      </c>
      <c r="H61" s="2">
        <f t="shared" si="35"/>
        <v>2.25</v>
      </c>
      <c r="I61" s="2">
        <f t="shared" si="35"/>
        <v>1.5</v>
      </c>
    </row>
    <row r="62" spans="1:9" x14ac:dyDescent="0.2">
      <c r="A62" t="s">
        <v>91</v>
      </c>
      <c r="D62" s="3">
        <f>D61*$B$5</f>
        <v>24</v>
      </c>
      <c r="E62" s="3">
        <f t="shared" ref="E62:I62" si="36">E61*$B$5</f>
        <v>18</v>
      </c>
      <c r="F62" s="3">
        <f t="shared" si="36"/>
        <v>15</v>
      </c>
      <c r="G62" s="3">
        <f t="shared" si="36"/>
        <v>12</v>
      </c>
      <c r="H62" s="3">
        <f t="shared" si="36"/>
        <v>9</v>
      </c>
      <c r="I62" s="3">
        <f t="shared" si="36"/>
        <v>6</v>
      </c>
    </row>
    <row r="63" spans="1:9" x14ac:dyDescent="0.2">
      <c r="A63" t="str">
        <f>K7</f>
        <v>Extended warranty % of BESS</v>
      </c>
      <c r="D63" s="19">
        <f>$L$7</f>
        <v>1.4999999999999999E-2</v>
      </c>
      <c r="E63" s="19">
        <f t="shared" ref="E63:I63" si="37">$L$7</f>
        <v>1.4999999999999999E-2</v>
      </c>
      <c r="F63" s="19">
        <f t="shared" si="37"/>
        <v>1.4999999999999999E-2</v>
      </c>
      <c r="G63" s="19">
        <f t="shared" si="37"/>
        <v>1.4999999999999999E-2</v>
      </c>
      <c r="H63" s="19">
        <f t="shared" si="37"/>
        <v>1.4999999999999999E-2</v>
      </c>
      <c r="I63" s="19">
        <f t="shared" si="37"/>
        <v>1.4999999999999999E-2</v>
      </c>
    </row>
    <row r="64" spans="1:9" x14ac:dyDescent="0.2">
      <c r="A64" t="str">
        <f>A29</f>
        <v>Warranty expense ($/kWh-y)</v>
      </c>
      <c r="D64" s="1">
        <f>D63*D58</f>
        <v>6</v>
      </c>
      <c r="E64" s="1">
        <f t="shared" ref="E64:I64" si="38">E63*E58</f>
        <v>4.5</v>
      </c>
      <c r="F64" s="1">
        <f t="shared" si="38"/>
        <v>3.75</v>
      </c>
      <c r="G64" s="1">
        <f t="shared" si="38"/>
        <v>3</v>
      </c>
      <c r="H64" s="1">
        <f t="shared" si="38"/>
        <v>2.25</v>
      </c>
      <c r="I64" s="1">
        <f t="shared" si="38"/>
        <v>1.5</v>
      </c>
    </row>
    <row r="65" spans="1:9" x14ac:dyDescent="0.2">
      <c r="A65" t="s">
        <v>96</v>
      </c>
      <c r="D65" s="3">
        <f>D64*$B$5</f>
        <v>24</v>
      </c>
      <c r="E65" s="3">
        <f t="shared" ref="E65:I65" si="39">E64*$B$5</f>
        <v>18</v>
      </c>
      <c r="F65" s="3">
        <f t="shared" si="39"/>
        <v>15</v>
      </c>
      <c r="G65" s="3">
        <f t="shared" si="39"/>
        <v>12</v>
      </c>
      <c r="H65" s="3">
        <f t="shared" si="39"/>
        <v>9</v>
      </c>
      <c r="I65" s="3">
        <f t="shared" si="39"/>
        <v>6</v>
      </c>
    </row>
    <row r="66" spans="1:9" x14ac:dyDescent="0.2">
      <c r="A66" t="str">
        <f>K6</f>
        <v>Augmentation cost % of BESS</v>
      </c>
      <c r="D66" s="19">
        <f>$L$6</f>
        <v>3.3000000000000002E-2</v>
      </c>
      <c r="E66" s="19">
        <f t="shared" ref="E66:I66" si="40">$L$6</f>
        <v>3.3000000000000002E-2</v>
      </c>
      <c r="F66" s="19">
        <f t="shared" si="40"/>
        <v>3.3000000000000002E-2</v>
      </c>
      <c r="G66" s="19">
        <f t="shared" si="40"/>
        <v>3.3000000000000002E-2</v>
      </c>
      <c r="H66" s="19">
        <f t="shared" si="40"/>
        <v>3.3000000000000002E-2</v>
      </c>
      <c r="I66" s="19">
        <f t="shared" si="40"/>
        <v>3.3000000000000002E-2</v>
      </c>
    </row>
    <row r="67" spans="1:9" x14ac:dyDescent="0.2">
      <c r="A67" t="str">
        <f>A31</f>
        <v>Augmentation charge ($/kWh-y)</v>
      </c>
      <c r="D67" s="1">
        <f>D66*D58</f>
        <v>13.200000000000001</v>
      </c>
      <c r="E67" s="1">
        <f t="shared" ref="E67:I67" si="41">E66*E58</f>
        <v>9.9</v>
      </c>
      <c r="F67" s="1">
        <f t="shared" si="41"/>
        <v>8.25</v>
      </c>
      <c r="G67" s="1">
        <f t="shared" si="41"/>
        <v>6.6000000000000005</v>
      </c>
      <c r="H67" s="1">
        <f t="shared" si="41"/>
        <v>4.95</v>
      </c>
      <c r="I67" s="1">
        <f t="shared" si="41"/>
        <v>3.3000000000000003</v>
      </c>
    </row>
    <row r="68" spans="1:9" x14ac:dyDescent="0.2">
      <c r="A68" t="s">
        <v>97</v>
      </c>
      <c r="D68" s="3">
        <f>D67*$B$5</f>
        <v>52.800000000000004</v>
      </c>
      <c r="E68" s="3">
        <f t="shared" ref="E68:I68" si="42">E67*$B$5</f>
        <v>39.6</v>
      </c>
      <c r="F68" s="3">
        <f t="shared" si="42"/>
        <v>33</v>
      </c>
      <c r="G68" s="3">
        <f t="shared" si="42"/>
        <v>26.400000000000002</v>
      </c>
      <c r="H68" s="3">
        <f t="shared" si="42"/>
        <v>19.8</v>
      </c>
      <c r="I68" s="3">
        <f t="shared" si="42"/>
        <v>13.200000000000001</v>
      </c>
    </row>
    <row r="69" spans="1:9" x14ac:dyDescent="0.2">
      <c r="A69" t="s">
        <v>98</v>
      </c>
      <c r="D69" s="3">
        <f>D61+D64+D67</f>
        <v>25.200000000000003</v>
      </c>
      <c r="E69" s="3">
        <f t="shared" ref="E69:I70" si="43">E61+E64+E67</f>
        <v>18.899999999999999</v>
      </c>
      <c r="F69" s="3">
        <f t="shared" si="43"/>
        <v>15.75</v>
      </c>
      <c r="G69" s="3">
        <f t="shared" si="43"/>
        <v>12.600000000000001</v>
      </c>
      <c r="H69" s="3">
        <f t="shared" si="43"/>
        <v>9.4499999999999993</v>
      </c>
      <c r="I69" s="3">
        <f t="shared" si="43"/>
        <v>6.3000000000000007</v>
      </c>
    </row>
    <row r="70" spans="1:9" x14ac:dyDescent="0.2">
      <c r="A70" s="9" t="s">
        <v>99</v>
      </c>
      <c r="D70" s="3">
        <f>D62+D65+D68</f>
        <v>100.80000000000001</v>
      </c>
      <c r="E70" s="3">
        <f t="shared" si="43"/>
        <v>75.599999999999994</v>
      </c>
      <c r="F70" s="3">
        <f t="shared" si="43"/>
        <v>63</v>
      </c>
      <c r="G70" s="3">
        <f t="shared" si="43"/>
        <v>50.400000000000006</v>
      </c>
      <c r="H70" s="3">
        <f t="shared" si="43"/>
        <v>37.799999999999997</v>
      </c>
      <c r="I70" s="3">
        <f t="shared" si="43"/>
        <v>25.200000000000003</v>
      </c>
    </row>
    <row r="71" spans="1:9" x14ac:dyDescent="0.2">
      <c r="A71" t="s">
        <v>68</v>
      </c>
      <c r="D71" s="3">
        <f>D58*$B$49+D69</f>
        <v>62.957170297302284</v>
      </c>
      <c r="E71" s="3">
        <f t="shared" ref="E71:I72" si="44">E58*$B$49+E69</f>
        <v>47.217877722976709</v>
      </c>
      <c r="F71" s="3">
        <f t="shared" si="44"/>
        <v>39.348231435813929</v>
      </c>
      <c r="G71" s="3">
        <f t="shared" si="44"/>
        <v>31.478585148651142</v>
      </c>
      <c r="H71" s="3">
        <f t="shared" si="44"/>
        <v>23.608938861488355</v>
      </c>
      <c r="I71" s="3">
        <f t="shared" si="44"/>
        <v>15.739292574325571</v>
      </c>
    </row>
    <row r="72" spans="1:9" x14ac:dyDescent="0.2">
      <c r="A72" t="s">
        <v>85</v>
      </c>
      <c r="D72" s="3">
        <f>D59*$B$49+D70</f>
        <v>251.82868118920914</v>
      </c>
      <c r="E72" s="3">
        <f t="shared" si="44"/>
        <v>188.87151089190684</v>
      </c>
      <c r="F72" s="3">
        <f t="shared" si="44"/>
        <v>157.39292574325572</v>
      </c>
      <c r="G72" s="3">
        <f t="shared" si="44"/>
        <v>125.91434059460457</v>
      </c>
      <c r="H72" s="3">
        <f t="shared" si="44"/>
        <v>94.435755445953419</v>
      </c>
      <c r="I72" s="3">
        <f t="shared" si="44"/>
        <v>62.957170297302284</v>
      </c>
    </row>
    <row r="73" spans="1:9" x14ac:dyDescent="0.2">
      <c r="D73" s="1"/>
      <c r="E73" s="1"/>
      <c r="F73" s="1"/>
      <c r="G73" s="1"/>
      <c r="H73" s="1"/>
      <c r="I73" s="1"/>
    </row>
    <row r="74" spans="1:9" x14ac:dyDescent="0.2">
      <c r="D74" s="3"/>
      <c r="E74" s="3"/>
      <c r="F74" s="3"/>
      <c r="G74" s="3"/>
      <c r="H74" s="3"/>
      <c r="I74" s="3"/>
    </row>
    <row r="75" spans="1:9" x14ac:dyDescent="0.2">
      <c r="D75" s="3"/>
      <c r="E75" s="3"/>
      <c r="F75" s="3"/>
      <c r="G75" s="3"/>
      <c r="H75" s="3"/>
      <c r="I75" s="3"/>
    </row>
    <row r="76" spans="1:9" x14ac:dyDescent="0.2">
      <c r="D76" s="3"/>
      <c r="E76" s="3"/>
      <c r="F76" s="3"/>
      <c r="G76" s="3"/>
      <c r="H76" s="3"/>
      <c r="I76" s="3"/>
    </row>
    <row r="77" spans="1:9" x14ac:dyDescent="0.2">
      <c r="D77" s="3"/>
      <c r="E77" s="3"/>
      <c r="F77" s="3"/>
      <c r="G77" s="3"/>
      <c r="H77" s="3"/>
      <c r="I77" s="3"/>
    </row>
    <row r="80" spans="1:9" x14ac:dyDescent="0.2">
      <c r="D80" s="3"/>
      <c r="E80" s="3"/>
      <c r="F80" s="3"/>
      <c r="G80" s="3"/>
      <c r="H80" s="3"/>
      <c r="I80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ColWidth="8.83203125" defaultRowHeight="15" x14ac:dyDescent="0.2"/>
  <sheetData>
    <row r="1" spans="1:1" x14ac:dyDescent="0.2">
      <c r="A1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Lazard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2018-01-18T20:02:08Z</dcterms:created>
  <dcterms:modified xsi:type="dcterms:W3CDTF">2019-01-20T19:28:40Z</dcterms:modified>
</cp:coreProperties>
</file>