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F6777C76-B8D1-4DF3-9F65-23C8750A746E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SelfDiscounting" sheetId="1" r:id="rId1"/>
    <sheet name="OisDiscounting" sheetId="2" r:id="rId2"/>
    <sheet name="ComplexBuild" sheetId="3" r:id="rId3"/>
    <sheet name="CPI" sheetId="4" r:id="rId4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4" l="1"/>
  <c r="B5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B20" i="4"/>
  <c r="B13" i="4"/>
  <c r="B14" i="4" s="1"/>
  <c r="B15" i="4" s="1"/>
  <c r="B16" i="4" s="1"/>
  <c r="J8" i="3"/>
  <c r="J9" i="3"/>
  <c r="J10" i="3"/>
  <c r="J11" i="3"/>
  <c r="J7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F10" i="4" a="1"/>
  <c r="B2" i="4" a="1"/>
  <c r="C3" i="3"/>
  <c r="J3" i="3"/>
  <c r="C2" i="3"/>
  <c r="J27" i="3"/>
  <c r="J2" i="3"/>
  <c r="F10" i="4" l="1"/>
  <c r="B2" i="4"/>
  <c r="M27" i="3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C2" i="2"/>
  <c r="C3" i="2"/>
  <c r="C18" i="4" a="1"/>
  <c r="C16" i="4" a="1"/>
  <c r="C17" i="4" a="1"/>
  <c r="C14" i="4" a="1"/>
  <c r="C15" i="4" a="1"/>
  <c r="C12" i="4" a="1"/>
  <c r="C13" i="4" a="1"/>
  <c r="F14" i="3"/>
  <c r="F25" i="3"/>
  <c r="F8" i="3"/>
  <c r="M17" i="3"/>
  <c r="F7" i="3"/>
  <c r="F16" i="3"/>
  <c r="F18" i="3"/>
  <c r="M8" i="3"/>
  <c r="F17" i="3"/>
  <c r="F12" i="3"/>
  <c r="F19" i="3"/>
  <c r="F10" i="3"/>
  <c r="F6" i="3"/>
  <c r="F15" i="3"/>
  <c r="J28" i="3"/>
  <c r="F24" i="3"/>
  <c r="F13" i="3"/>
  <c r="M23" i="3"/>
  <c r="M10" i="3"/>
  <c r="F9" i="3"/>
  <c r="M21" i="3"/>
  <c r="M12" i="3"/>
  <c r="M20" i="3"/>
  <c r="R5" i="3"/>
  <c r="M6" i="3"/>
  <c r="M24" i="3"/>
  <c r="O10" i="3"/>
  <c r="M13" i="3"/>
  <c r="M19" i="3"/>
  <c r="F20" i="3"/>
  <c r="M14" i="3"/>
  <c r="M25" i="3"/>
  <c r="M15" i="3"/>
  <c r="F11" i="3"/>
  <c r="O7" i="3"/>
  <c r="O12" i="3"/>
  <c r="M16" i="3"/>
  <c r="M18" i="3"/>
  <c r="O18" i="3"/>
  <c r="M22" i="3"/>
  <c r="M7" i="3"/>
  <c r="O8" i="3"/>
  <c r="O9" i="3"/>
  <c r="M11" i="3"/>
  <c r="F21" i="3"/>
  <c r="M9" i="3"/>
  <c r="F23" i="3"/>
  <c r="F22" i="3"/>
  <c r="O17" i="3"/>
  <c r="O11" i="3"/>
  <c r="O6" i="3"/>
  <c r="O15" i="3"/>
  <c r="C18" i="4" l="1"/>
  <c r="C13" i="4"/>
  <c r="C15" i="4"/>
  <c r="C14" i="4"/>
  <c r="C12" i="4"/>
  <c r="C16" i="4"/>
  <c r="C17" i="4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8" i="2"/>
  <c r="E12" i="2"/>
  <c r="E16" i="2"/>
  <c r="E7" i="2"/>
  <c r="E11" i="2"/>
  <c r="E15" i="2"/>
  <c r="E6" i="2"/>
  <c r="E10" i="2"/>
  <c r="E14" i="2"/>
  <c r="E9" i="2"/>
  <c r="E13" i="2"/>
  <c r="E17" i="2"/>
  <c r="F19" i="2"/>
  <c r="F21" i="2"/>
  <c r="F16" i="2"/>
  <c r="F10" i="2"/>
  <c r="F17" i="2"/>
  <c r="F20" i="2"/>
  <c r="F18" i="2"/>
  <c r="F12" i="2"/>
  <c r="F9" i="2"/>
  <c r="F15" i="2"/>
  <c r="F8" i="2"/>
  <c r="F25" i="2"/>
  <c r="F24" i="2"/>
  <c r="F11" i="2"/>
  <c r="F14" i="2"/>
  <c r="F13" i="2"/>
  <c r="F6" i="2"/>
  <c r="F22" i="2"/>
  <c r="F23" i="2"/>
  <c r="F7" i="2"/>
  <c r="C2" i="1"/>
  <c r="B34" i="4" a="1"/>
  <c r="B21" i="4" a="1"/>
  <c r="S11" i="3"/>
  <c r="S6" i="3"/>
  <c r="S12" i="3"/>
  <c r="S9" i="3"/>
  <c r="O14" i="3"/>
  <c r="S18" i="3"/>
  <c r="S17" i="3"/>
  <c r="O16" i="3"/>
  <c r="S15" i="3"/>
  <c r="S7" i="3"/>
  <c r="S10" i="3"/>
  <c r="O13" i="3"/>
  <c r="S8" i="3"/>
  <c r="B34" i="4" l="1"/>
  <c r="B21" i="4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C29" i="2"/>
  <c r="C31" i="2"/>
  <c r="B22" i="4"/>
  <c r="B25" i="4" s="1" a="1"/>
  <c r="S13" i="3"/>
  <c r="S14" i="3"/>
  <c r="S16" i="3"/>
  <c r="B25" i="4" l="1"/>
  <c r="E6" i="1"/>
  <c r="E5" i="1"/>
  <c r="E4" i="1"/>
  <c r="E11" i="1"/>
  <c r="E15" i="1"/>
  <c r="E7" i="1"/>
  <c r="E14" i="1"/>
  <c r="E10" i="1"/>
  <c r="E9" i="1"/>
  <c r="E13" i="1"/>
  <c r="E8" i="1"/>
  <c r="E12" i="1"/>
  <c r="F6" i="1"/>
  <c r="F15" i="1"/>
  <c r="F14" i="1"/>
  <c r="F10" i="1"/>
  <c r="F12" i="1"/>
  <c r="F5" i="1"/>
  <c r="F9" i="1"/>
  <c r="F11" i="1"/>
  <c r="F8" i="1"/>
  <c r="F13" i="1"/>
  <c r="F4" i="1"/>
  <c r="F7" i="1"/>
  <c r="C33" i="2"/>
  <c r="K16" i="2"/>
  <c r="K7" i="2"/>
  <c r="C32" i="2"/>
  <c r="J10" i="2"/>
  <c r="I29" i="2"/>
  <c r="I35" i="2"/>
  <c r="K13" i="2"/>
  <c r="I8" i="2"/>
  <c r="K24" i="2"/>
  <c r="J14" i="2"/>
  <c r="J28" i="2"/>
  <c r="I23" i="2"/>
  <c r="I6" i="2"/>
  <c r="I34" i="2"/>
  <c r="K5" i="2"/>
  <c r="J12" i="2"/>
  <c r="K17" i="2"/>
  <c r="I4" i="2"/>
  <c r="J36" i="2"/>
  <c r="K28" i="2"/>
  <c r="J5" i="2"/>
  <c r="J16" i="2"/>
  <c r="J4" i="2"/>
  <c r="K4" i="2"/>
  <c r="J19" i="2"/>
  <c r="K21" i="2"/>
  <c r="K12" i="2"/>
  <c r="I25" i="2"/>
  <c r="J30" i="2"/>
  <c r="I30" i="2"/>
  <c r="J15" i="2"/>
  <c r="I22" i="2"/>
  <c r="I10" i="2"/>
  <c r="I27" i="2"/>
  <c r="K22" i="2"/>
  <c r="K32" i="2"/>
  <c r="I19" i="2"/>
  <c r="I24" i="2"/>
  <c r="K31" i="2"/>
  <c r="J22" i="2"/>
  <c r="J33" i="2"/>
  <c r="K20" i="2"/>
  <c r="I28" i="2"/>
  <c r="J27" i="2"/>
  <c r="C18" i="1"/>
  <c r="C20" i="1"/>
  <c r="C21" i="1"/>
  <c r="J16" i="1"/>
  <c r="I7" i="1"/>
  <c r="I24" i="1"/>
  <c r="J23" i="1"/>
  <c r="I20" i="1"/>
  <c r="I16" i="1"/>
  <c r="J26" i="1"/>
  <c r="I32" i="1"/>
  <c r="J5" i="1"/>
  <c r="I35" i="1"/>
  <c r="I11" i="1"/>
  <c r="J36" i="1"/>
  <c r="I26" i="1"/>
  <c r="I34" i="1"/>
  <c r="I13" i="1"/>
  <c r="J13" i="1"/>
  <c r="J35" i="1"/>
  <c r="I18" i="1"/>
  <c r="J21" i="1"/>
  <c r="I22" i="1"/>
  <c r="I21" i="1"/>
  <c r="J27" i="1"/>
  <c r="J6" i="1"/>
  <c r="J31" i="1"/>
  <c r="J14" i="1"/>
  <c r="J22" i="1"/>
  <c r="J4" i="1"/>
  <c r="J20" i="1"/>
  <c r="J7" i="1"/>
  <c r="I14" i="1"/>
  <c r="J15" i="1"/>
  <c r="J17" i="1"/>
  <c r="J11" i="1"/>
  <c r="J32" i="1"/>
  <c r="J19" i="1"/>
  <c r="I17" i="1"/>
  <c r="J8" i="1"/>
  <c r="I15" i="1"/>
  <c r="J29" i="1"/>
  <c r="I25" i="1"/>
  <c r="I29" i="1"/>
  <c r="I6" i="1"/>
  <c r="J9" i="1"/>
  <c r="J34" i="1"/>
  <c r="I31" i="1"/>
  <c r="I8" i="1"/>
  <c r="J18" i="1"/>
  <c r="J12" i="1"/>
  <c r="I28" i="1"/>
  <c r="I19" i="1"/>
  <c r="I5" i="1"/>
  <c r="I12" i="1"/>
  <c r="J28" i="1"/>
  <c r="J30" i="1"/>
  <c r="I30" i="1"/>
  <c r="I36" i="1"/>
  <c r="J24" i="1"/>
  <c r="J10" i="1"/>
  <c r="J25" i="1"/>
  <c r="I27" i="1"/>
  <c r="J33" i="1"/>
  <c r="I4" i="1"/>
  <c r="I33" i="1"/>
  <c r="I23" i="1"/>
  <c r="I9" i="1"/>
  <c r="I10" i="1"/>
  <c r="K29" i="2"/>
  <c r="K26" i="2"/>
  <c r="K30" i="2"/>
  <c r="K34" i="2"/>
  <c r="K19" i="2"/>
  <c r="K9" i="2"/>
  <c r="K14" i="2"/>
  <c r="K33" i="2"/>
  <c r="K27" i="2"/>
  <c r="K25" i="2"/>
  <c r="K36" i="2"/>
  <c r="K11" i="2"/>
  <c r="K15" i="2"/>
  <c r="K35" i="2"/>
  <c r="K8" i="2"/>
  <c r="K23" i="2"/>
  <c r="K18" i="2"/>
  <c r="K6" i="2"/>
  <c r="K10" i="2"/>
  <c r="I26" i="2"/>
  <c r="J21" i="2"/>
  <c r="I14" i="2"/>
  <c r="J18" i="2"/>
  <c r="I11" i="2"/>
  <c r="I5" i="2"/>
  <c r="J31" i="2"/>
  <c r="I18" i="2"/>
  <c r="J9" i="2"/>
  <c r="J11" i="2"/>
  <c r="I12" i="2"/>
  <c r="J23" i="2"/>
  <c r="I36" i="2"/>
  <c r="I13" i="2"/>
  <c r="J26" i="2"/>
  <c r="I32" i="2"/>
  <c r="J24" i="2"/>
  <c r="I15" i="2"/>
  <c r="I33" i="2"/>
  <c r="J13" i="2"/>
  <c r="I7" i="2"/>
  <c r="I16" i="2"/>
  <c r="J7" i="2"/>
  <c r="I17" i="2"/>
  <c r="J17" i="2"/>
  <c r="I20" i="2"/>
  <c r="J25" i="2"/>
  <c r="I31" i="2"/>
  <c r="J32" i="2"/>
  <c r="J20" i="2"/>
  <c r="I21" i="2"/>
  <c r="J34" i="2"/>
  <c r="J35" i="2"/>
  <c r="J29" i="2"/>
  <c r="I9" i="2"/>
  <c r="J8" i="2"/>
  <c r="J6" i="2"/>
  <c r="C27" i="3"/>
  <c r="C28" i="3"/>
  <c r="C29" i="3"/>
  <c r="B43" i="2" l="1"/>
  <c r="B33" i="4" a="1"/>
  <c r="A28" i="4" a="1"/>
  <c r="C30" i="3"/>
  <c r="C32" i="3"/>
  <c r="C33" i="3" a="1"/>
  <c r="B33" i="4" l="1"/>
  <c r="A28" i="4"/>
  <c r="A29" i="4"/>
  <c r="A30" i="4"/>
  <c r="C33" i="3"/>
  <c r="C34" i="3"/>
  <c r="C36" i="3"/>
  <c r="C35" i="3"/>
  <c r="C37" i="3"/>
  <c r="C38" i="3"/>
  <c r="P24" i="4" a="1"/>
  <c r="B30" i="4"/>
  <c r="B28" i="4"/>
  <c r="B29" i="4"/>
  <c r="D34" i="3"/>
  <c r="X34" i="3"/>
  <c r="X31" i="3"/>
  <c r="X32" i="3"/>
  <c r="D33" i="3"/>
  <c r="X20" i="3"/>
  <c r="W28" i="3"/>
  <c r="W18" i="3"/>
  <c r="W19" i="3"/>
  <c r="V9" i="3"/>
  <c r="W33" i="3"/>
  <c r="X6" i="3"/>
  <c r="X26" i="3"/>
  <c r="V28" i="3"/>
  <c r="W4" i="3"/>
  <c r="V15" i="3"/>
  <c r="X13" i="3"/>
  <c r="W15" i="3"/>
  <c r="V30" i="3"/>
  <c r="X11" i="3"/>
  <c r="X15" i="3"/>
  <c r="X28" i="3"/>
  <c r="X10" i="3"/>
  <c r="V19" i="3"/>
  <c r="V18" i="3"/>
  <c r="X9" i="3"/>
  <c r="W26" i="3"/>
  <c r="V24" i="3"/>
  <c r="V35" i="3"/>
  <c r="V5" i="3"/>
  <c r="V29" i="3"/>
  <c r="V16" i="3"/>
  <c r="V7" i="3"/>
  <c r="X18" i="3"/>
  <c r="W14" i="3"/>
  <c r="X8" i="3"/>
  <c r="X30" i="3"/>
  <c r="V31" i="3"/>
  <c r="X21" i="3"/>
  <c r="W35" i="3"/>
  <c r="V6" i="3"/>
  <c r="X29" i="3"/>
  <c r="W21" i="3"/>
  <c r="V32" i="3"/>
  <c r="D36" i="3"/>
  <c r="D37" i="3"/>
  <c r="W17" i="3"/>
  <c r="W36" i="3"/>
  <c r="W29" i="3"/>
  <c r="V12" i="3"/>
  <c r="W24" i="3"/>
  <c r="X35" i="3"/>
  <c r="V36" i="3"/>
  <c r="V8" i="3"/>
  <c r="W10" i="3"/>
  <c r="W8" i="3"/>
  <c r="W20" i="3"/>
  <c r="V20" i="3"/>
  <c r="V22" i="3"/>
  <c r="W12" i="3"/>
  <c r="V26" i="3"/>
  <c r="W9" i="3"/>
  <c r="X12" i="3"/>
  <c r="D35" i="3"/>
  <c r="X23" i="3"/>
  <c r="Y19" i="3"/>
  <c r="X5" i="3"/>
  <c r="Y17" i="3"/>
  <c r="W30" i="3"/>
  <c r="Y5" i="3"/>
  <c r="V25" i="3"/>
  <c r="V23" i="3"/>
  <c r="X14" i="3"/>
  <c r="X19" i="3"/>
  <c r="X16" i="3"/>
  <c r="X33" i="3"/>
  <c r="X25" i="3"/>
  <c r="X7" i="3"/>
  <c r="X27" i="3"/>
  <c r="X22" i="3"/>
  <c r="X17" i="3"/>
  <c r="X24" i="3"/>
  <c r="X4" i="3"/>
  <c r="X36" i="3"/>
  <c r="V21" i="3"/>
  <c r="V10" i="3"/>
  <c r="W27" i="3"/>
  <c r="W16" i="3"/>
  <c r="W25" i="3"/>
  <c r="W6" i="3"/>
  <c r="W34" i="3"/>
  <c r="W23" i="3"/>
  <c r="V11" i="3"/>
  <c r="V4" i="3"/>
  <c r="W11" i="3"/>
  <c r="V34" i="3"/>
  <c r="V13" i="3"/>
  <c r="V17" i="3"/>
  <c r="W31" i="3"/>
  <c r="V33" i="3"/>
  <c r="W32" i="3"/>
  <c r="W7" i="3"/>
  <c r="V14" i="3"/>
  <c r="W22" i="3"/>
  <c r="V27" i="3"/>
  <c r="W13" i="3"/>
  <c r="W5" i="3"/>
  <c r="Y11" i="3"/>
  <c r="Y10" i="3"/>
  <c r="Y31" i="3"/>
  <c r="Y20" i="3"/>
  <c r="Y26" i="3"/>
  <c r="Y25" i="3"/>
  <c r="Y8" i="3"/>
  <c r="Y35" i="3"/>
  <c r="Y15" i="3"/>
  <c r="Y32" i="3"/>
  <c r="Y23" i="3"/>
  <c r="Y36" i="3"/>
  <c r="Y16" i="3"/>
  <c r="Y22" i="3"/>
  <c r="Y9" i="3"/>
  <c r="Y14" i="3"/>
  <c r="Y6" i="3"/>
  <c r="Y27" i="3"/>
  <c r="Y4" i="3"/>
  <c r="Y33" i="3"/>
  <c r="Y12" i="3"/>
  <c r="Y29" i="3"/>
  <c r="Y28" i="3"/>
  <c r="Y13" i="3"/>
  <c r="Y34" i="3"/>
  <c r="Y7" i="3"/>
  <c r="Y18" i="3"/>
  <c r="Y30" i="3"/>
  <c r="Y24" i="3"/>
  <c r="Y21" i="3"/>
  <c r="K13" i="4"/>
  <c r="L23" i="4"/>
  <c r="K27" i="4"/>
  <c r="L27" i="4"/>
  <c r="L14" i="4"/>
  <c r="L17" i="4"/>
  <c r="L20" i="4"/>
  <c r="L26" i="4"/>
  <c r="L7" i="4"/>
  <c r="L19" i="4"/>
  <c r="K32" i="4"/>
  <c r="K24" i="4"/>
  <c r="K15" i="4"/>
  <c r="K25" i="4"/>
  <c r="L13" i="4"/>
  <c r="K26" i="4"/>
  <c r="K19" i="4"/>
  <c r="L8" i="4"/>
  <c r="L29" i="4"/>
  <c r="K21" i="4"/>
  <c r="K3" i="4"/>
  <c r="K29" i="4"/>
  <c r="K14" i="4"/>
  <c r="K20" i="4"/>
  <c r="L30" i="4"/>
  <c r="K23" i="4"/>
  <c r="K8" i="4"/>
  <c r="L33" i="4"/>
  <c r="K22" i="4"/>
  <c r="K31" i="4"/>
  <c r="L32" i="4"/>
  <c r="K35" i="4"/>
  <c r="L6" i="4"/>
  <c r="K34" i="4"/>
  <c r="K10" i="4"/>
  <c r="K18" i="4"/>
  <c r="K30" i="4"/>
  <c r="K17" i="4"/>
  <c r="K33" i="4"/>
  <c r="L28" i="4"/>
  <c r="L9" i="4"/>
  <c r="L24" i="4"/>
  <c r="K16" i="4"/>
  <c r="K4" i="4"/>
  <c r="L3" i="4"/>
  <c r="L11" i="4"/>
  <c r="L5" i="4"/>
  <c r="L10" i="4"/>
  <c r="K5" i="4"/>
  <c r="L15" i="4"/>
  <c r="L18" i="4"/>
  <c r="L22" i="4"/>
  <c r="K7" i="4"/>
  <c r="L16" i="4"/>
  <c r="L21" i="4"/>
  <c r="L25" i="4"/>
  <c r="K9" i="4"/>
  <c r="K28" i="4"/>
  <c r="L34" i="4"/>
  <c r="L4" i="4"/>
  <c r="K11" i="4"/>
  <c r="K12" i="4"/>
  <c r="L31" i="4"/>
  <c r="L12" i="4"/>
  <c r="K6" i="4"/>
  <c r="M35" i="4" a="1"/>
  <c r="M14" i="4" a="1"/>
  <c r="M34" i="4" a="1"/>
  <c r="M17" i="4" a="1"/>
  <c r="M30" i="4" a="1"/>
  <c r="M28" i="4" a="1"/>
  <c r="M6" i="4" a="1"/>
  <c r="M18" i="4" a="1"/>
  <c r="M33" i="4" a="1"/>
  <c r="M31" i="4" a="1"/>
  <c r="M13" i="4" a="1"/>
  <c r="M11" i="4" a="1"/>
  <c r="M10" i="4" a="1"/>
  <c r="M5" i="4" a="1"/>
  <c r="M16" i="4" a="1"/>
  <c r="M15" i="4" a="1"/>
  <c r="M29" i="4" a="1"/>
  <c r="M12" i="4" a="1"/>
  <c r="M27" i="4" a="1"/>
  <c r="M26" i="4" a="1"/>
  <c r="M25" i="4" a="1"/>
  <c r="M8" i="4" a="1"/>
  <c r="M23" i="4" a="1"/>
  <c r="M22" i="4" a="1"/>
  <c r="M21" i="4" a="1"/>
  <c r="M19" i="4" a="1"/>
  <c r="M32" i="4" a="1"/>
  <c r="M9" i="4" a="1"/>
  <c r="M24" i="4" a="1"/>
  <c r="M7" i="4" a="1"/>
  <c r="M3" i="4" a="1"/>
  <c r="M20" i="4" a="1"/>
  <c r="M4" i="4" a="1"/>
  <c r="P24" i="4" l="1"/>
  <c r="O26" i="4" s="1" a="1"/>
  <c r="M4" i="4"/>
  <c r="M20" i="4"/>
  <c r="M3" i="4"/>
  <c r="M7" i="4"/>
  <c r="M24" i="4"/>
  <c r="M9" i="4"/>
  <c r="M32" i="4"/>
  <c r="M19" i="4"/>
  <c r="M21" i="4"/>
  <c r="M22" i="4"/>
  <c r="M23" i="4"/>
  <c r="M8" i="4"/>
  <c r="M25" i="4"/>
  <c r="M26" i="4"/>
  <c r="M27" i="4"/>
  <c r="M12" i="4"/>
  <c r="M29" i="4"/>
  <c r="M15" i="4"/>
  <c r="M16" i="4"/>
  <c r="M5" i="4"/>
  <c r="M10" i="4"/>
  <c r="M11" i="4"/>
  <c r="M13" i="4"/>
  <c r="M31" i="4"/>
  <c r="M33" i="4"/>
  <c r="M18" i="4"/>
  <c r="M6" i="4"/>
  <c r="M28" i="4"/>
  <c r="M30" i="4"/>
  <c r="M17" i="4"/>
  <c r="M34" i="4"/>
  <c r="M14" i="4"/>
  <c r="M35" i="4"/>
  <c r="P32" i="4" l="1"/>
  <c r="R38" i="4"/>
  <c r="R35" i="4"/>
  <c r="S35" i="4"/>
  <c r="O36" i="4"/>
  <c r="P36" i="4"/>
  <c r="Q36" i="4"/>
  <c r="R36" i="4"/>
  <c r="Q30" i="4"/>
  <c r="S36" i="4"/>
  <c r="R30" i="4"/>
  <c r="S30" i="4"/>
  <c r="Q37" i="4"/>
  <c r="R37" i="4"/>
  <c r="S37" i="4"/>
  <c r="R31" i="4"/>
  <c r="P38" i="4"/>
  <c r="O26" i="4"/>
  <c r="Q32" i="4"/>
  <c r="S38" i="4"/>
  <c r="Q26" i="4"/>
  <c r="S32" i="4"/>
  <c r="P39" i="4"/>
  <c r="O33" i="4"/>
  <c r="Q39" i="4"/>
  <c r="S26" i="4"/>
  <c r="R39" i="4"/>
  <c r="O27" i="4"/>
  <c r="S39" i="4"/>
  <c r="P27" i="4"/>
  <c r="O40" i="4"/>
  <c r="Q27" i="4"/>
  <c r="P40" i="4"/>
  <c r="Q40" i="4"/>
  <c r="S27" i="4"/>
  <c r="R40" i="4"/>
  <c r="Q34" i="4"/>
  <c r="S40" i="4"/>
  <c r="P28" i="4"/>
  <c r="P29" i="4"/>
  <c r="Q29" i="4"/>
  <c r="R29" i="4"/>
  <c r="S29" i="4"/>
  <c r="O30" i="4"/>
  <c r="P30" i="4"/>
  <c r="P26" i="4"/>
  <c r="R32" i="4"/>
  <c r="O39" i="4"/>
  <c r="R26" i="4"/>
  <c r="P33" i="4"/>
  <c r="Q33" i="4"/>
  <c r="R33" i="4"/>
  <c r="S33" i="4"/>
  <c r="O34" i="4"/>
  <c r="P34" i="4"/>
  <c r="O28" i="4"/>
  <c r="R34" i="4"/>
  <c r="Q28" i="4"/>
  <c r="S34" i="4"/>
  <c r="O29" i="4"/>
  <c r="Q35" i="4"/>
  <c r="O37" i="4"/>
  <c r="P37" i="4"/>
  <c r="O31" i="4"/>
  <c r="P31" i="4"/>
  <c r="Q31" i="4"/>
  <c r="O38" i="4"/>
  <c r="S31" i="4"/>
  <c r="Q38" i="4"/>
  <c r="R27" i="4"/>
  <c r="O35" i="4"/>
  <c r="R28" i="4"/>
  <c r="S28" i="4"/>
  <c r="P35" i="4"/>
  <c r="O3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<sst xmlns="http://schemas.openxmlformats.org/spreadsheetml/2006/main" count="219" uniqueCount="92">
  <si>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</si>
  <si>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</si>
  <si>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</si>
  <si>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</si>
  <si>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</si>
  <si>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</si>
  <si>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</si>
  <si>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</si>
  <si>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</si>
  <si>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</si>
  <si>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</si>
  <si>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</si>
  <si>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</si>
  <si>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</si>
  <si>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</si>
  <si>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</si>
  <si>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</si>
  <si>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</si>
  <si>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</si>
  <si>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</si>
  <si>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</si>
  <si>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</si>
  <si>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</si>
  <si>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</si>
  <si>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</si>
  <si>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</si>
  <si>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</si>
  <si>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</si>
  <si>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</si>
  <si>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</si>
  <si>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</si>
  <si>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</si>
  <si>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</si>
  <si>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</si>
  <si>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</si>
  <si>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</si>
  <si>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</si>
  <si>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</si>
  <si>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</si>
  <si>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</si>
  <si>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</si>
  <si>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</si>
  <si>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</si>
  <si>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</si>
  <si>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</si>
  <si>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</si>
  <si>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</si>
  <si>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</si>
  <si>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</si>
  <si>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</si>
  <si>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</si>
  <si>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</si>
  <si>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</si>
  <si>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</si>
  <si>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</si>
  <si>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</si>
  <si>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</si>
  <si>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</si>
  <si>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</si>
  <si>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</si>
  <si>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</si>
  <si>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</si>
  <si>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</si>
  <si>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</si>
  <si>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</si>
  <si>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</si>
  <si>
    <t>Infation Index</t>
  </si>
  <si>
    <t>Name</t>
  </si>
  <si>
    <t>Day Count</t>
  </si>
  <si>
    <t>Fixed Day Count</t>
  </si>
  <si>
    <t>Ccy</t>
  </si>
  <si>
    <t>Act360</t>
  </si>
  <si>
    <t>Act365</t>
  </si>
  <si>
    <t>Inflation Swaps</t>
  </si>
  <si>
    <t>Object</t>
  </si>
  <si>
    <t>Tenor</t>
  </si>
  <si>
    <t>Rate</t>
  </si>
  <si>
    <t>USD.CPI</t>
  </si>
  <si>
    <t>Funding Instrument Collection</t>
  </si>
  <si>
    <t>CPI</t>
  </si>
  <si>
    <t>ModelCPI</t>
  </si>
  <si>
    <t>FicCPI</t>
  </si>
  <si>
    <t>Solve Stages</t>
  </si>
  <si>
    <t>CPI Fixings</t>
  </si>
  <si>
    <t>Month</t>
  </si>
  <si>
    <t>Curves</t>
  </si>
  <si>
    <t>USD Libor</t>
  </si>
  <si>
    <t>Lag</t>
  </si>
  <si>
    <t>Date</t>
  </si>
  <si>
    <t>AssetFxModel</t>
  </si>
  <si>
    <t>Porfolio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</si>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</sst>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2" fillId="0" borderId="0" xfId="0" applyFont="1"/>
    <xf numFmtId="0" fontId="0" fillId="3" borderId="0" xfId="0" applyFill="1"/>
    <xf numFmtId="10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43" fontId="0" fillId="2" borderId="0" xfId="2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CPI!$M$2</c:f>
              <c:strCache>
                <c:ptCount val="1"/>
                <c:pt idx="0">
                  <c:v>CPI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CPI!$J$3:$J$35</c:f>
              <c:numCache>
                <c:formatCode>d\-mmm\-yy</c:formatCode>
                <c:ptCount val="33"/>
                <c:pt idx="0">
                  <c:v>43930</c:v>
                </c:pt>
                <c:pt idx="1">
                  <c:v>44021</c:v>
                </c:pt>
                <c:pt idx="2">
                  <c:v>44113</c:v>
                </c:pt>
                <c:pt idx="3">
                  <c:v>44205</c:v>
                </c:pt>
                <c:pt idx="4">
                  <c:v>44295</c:v>
                </c:pt>
                <c:pt idx="5">
                  <c:v>44386</c:v>
                </c:pt>
                <c:pt idx="6">
                  <c:v>44478</c:v>
                </c:pt>
                <c:pt idx="7">
                  <c:v>44570</c:v>
                </c:pt>
                <c:pt idx="8">
                  <c:v>44660</c:v>
                </c:pt>
                <c:pt idx="9">
                  <c:v>44751</c:v>
                </c:pt>
                <c:pt idx="10">
                  <c:v>44843</c:v>
                </c:pt>
                <c:pt idx="11">
                  <c:v>44935</c:v>
                </c:pt>
                <c:pt idx="12">
                  <c:v>45025</c:v>
                </c:pt>
                <c:pt idx="13">
                  <c:v>45116</c:v>
                </c:pt>
                <c:pt idx="14">
                  <c:v>45208</c:v>
                </c:pt>
                <c:pt idx="15">
                  <c:v>45300</c:v>
                </c:pt>
                <c:pt idx="16">
                  <c:v>45391</c:v>
                </c:pt>
                <c:pt idx="17">
                  <c:v>45482</c:v>
                </c:pt>
                <c:pt idx="18">
                  <c:v>45574</c:v>
                </c:pt>
                <c:pt idx="19">
                  <c:v>45666</c:v>
                </c:pt>
                <c:pt idx="20">
                  <c:v>45756</c:v>
                </c:pt>
                <c:pt idx="21">
                  <c:v>45847</c:v>
                </c:pt>
                <c:pt idx="22">
                  <c:v>45939</c:v>
                </c:pt>
                <c:pt idx="23">
                  <c:v>46031</c:v>
                </c:pt>
                <c:pt idx="24">
                  <c:v>46121</c:v>
                </c:pt>
                <c:pt idx="25">
                  <c:v>46212</c:v>
                </c:pt>
                <c:pt idx="26">
                  <c:v>46304</c:v>
                </c:pt>
                <c:pt idx="27">
                  <c:v>46396</c:v>
                </c:pt>
                <c:pt idx="28">
                  <c:v>46486</c:v>
                </c:pt>
                <c:pt idx="29">
                  <c:v>46577</c:v>
                </c:pt>
                <c:pt idx="30">
                  <c:v>46669</c:v>
                </c:pt>
                <c:pt idx="31">
                  <c:v>46761</c:v>
                </c:pt>
                <c:pt idx="32">
                  <c:v>46852</c:v>
                </c:pt>
              </c:numCache>
            </c:numRef>
          </c:xVal>
          <c:yVal>
            <c:numRef>
              <c:f>CPI!$M$3:$M$35</c:f>
              <c:numCache>
                <c:formatCode>General</c:formatCode>
                <c:ptCount val="33"/>
                <c:pt idx="0">
                  <c:v>100.05308829634575</c:v>
                </c:pt>
                <c:pt idx="1">
                  <c:v>101.56136075610513</c:v>
                </c:pt>
                <c:pt idx="2">
                  <c:v>103.08432470555356</c:v>
                </c:pt>
                <c:pt idx="3">
                  <c:v>104.61791490204203</c:v>
                </c:pt>
                <c:pt idx="4">
                  <c:v>106.12168591165967</c:v>
                </c:pt>
                <c:pt idx="5">
                  <c:v>107.65295686520498</c:v>
                </c:pt>
                <c:pt idx="6">
                  <c:v>109.35558564506148</c:v>
                </c:pt>
                <c:pt idx="7">
                  <c:v>111.14293781232169</c:v>
                </c:pt>
                <c:pt idx="8">
                  <c:v>113.02471112207618</c:v>
                </c:pt>
                <c:pt idx="9">
                  <c:v>114.94820586348568</c:v>
                </c:pt>
                <c:pt idx="10">
                  <c:v>117.02564362611034</c:v>
                </c:pt>
                <c:pt idx="11">
                  <c:v>119.22338337900035</c:v>
                </c:pt>
                <c:pt idx="12">
                  <c:v>121.51481631861036</c:v>
                </c:pt>
                <c:pt idx="13">
                  <c:v>123.79859320175402</c:v>
                </c:pt>
                <c:pt idx="14">
                  <c:v>126.14512285807679</c:v>
                </c:pt>
                <c:pt idx="15">
                  <c:v>128.50509420877495</c:v>
                </c:pt>
                <c:pt idx="16">
                  <c:v>130.89357541207272</c:v>
                </c:pt>
                <c:pt idx="17">
                  <c:v>133.27823562988155</c:v>
                </c:pt>
                <c:pt idx="18">
                  <c:v>135.75660866681818</c:v>
                </c:pt>
                <c:pt idx="19">
                  <c:v>138.35111982193467</c:v>
                </c:pt>
                <c:pt idx="20">
                  <c:v>141.07769688759015</c:v>
                </c:pt>
                <c:pt idx="21">
                  <c:v>143.86042465357392</c:v>
                </c:pt>
                <c:pt idx="22">
                  <c:v>146.82167910410232</c:v>
                </c:pt>
                <c:pt idx="23">
                  <c:v>149.88392218361739</c:v>
                </c:pt>
                <c:pt idx="24">
                  <c:v>153.02823461613627</c:v>
                </c:pt>
                <c:pt idx="25">
                  <c:v>156.13676504321063</c:v>
                </c:pt>
                <c:pt idx="26">
                  <c:v>159.36834522746165</c:v>
                </c:pt>
                <c:pt idx="27">
                  <c:v>162.6775589612019</c:v>
                </c:pt>
                <c:pt idx="28">
                  <c:v>166.04418259794028</c:v>
                </c:pt>
                <c:pt idx="29">
                  <c:v>169.34377748516795</c:v>
                </c:pt>
                <c:pt idx="30">
                  <c:v>172.74570841995714</c:v>
                </c:pt>
                <c:pt idx="31">
                  <c:v>176.20137882673822</c:v>
                </c:pt>
                <c:pt idx="32">
                  <c:v>179.68947192352954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1-43AC-B153-E5E80956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8319"/>
        <c:axId val="296822159"/>
      </c:scatterChart>
      <c:valAx>
        <c:axId val="296818319"/>
        <c:scaling>
          <c:orientation val="minMax"/>
          <c:max val="47100"/>
          <c:min val="43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22159"/>
        <c:crosses val="autoZero"/>
        <c:crossBetween val="midCat"/>
      </c:valAx>
      <c:valAx>
        <c:axId val="296822159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1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6</xdr:row>
      <xdr:rowOff>33337</xdr:rowOff>
    </xdr:from>
    <xdr:to>
      <xdr:col>21</xdr:col>
      <xdr:colOff>476250</xdr:colOff>
      <xdr:row>20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86967-DE07-7DB8-FDF2-B622829D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workbookViewId="0">
      <selection activeCell="I21" sqref="I21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7">
        <v>43930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ZAR.JIBAR.3M¬10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 s="6">
        <v>5.6</v>
      </c>
      <c r="E4" s="1">
        <f ca="1">D4/100</f>
        <v>5.5999999999999994E-2</v>
      </c>
      <c r="F4" t="str">
        <f ca="1">_xll.QIns_CreateFRA(B4,valDate,"0x3",index,"ZAR",E4,1,"ZAR.JIBAR.3M","ZAR.JIBAR.3M",,,"ZAR.JIBAR.3M")</f>
        <v>3m¬4</v>
      </c>
      <c r="H4" s="2">
        <f ca="1">valDate</f>
        <v>43930</v>
      </c>
      <c r="I4" s="1">
        <f ca="1">_xll.QCurves_GetDF($C$21,valDate,H4)</f>
        <v>1</v>
      </c>
      <c r="J4" s="1">
        <f ca="1">_xll.QCurves_GetForwardRate($C$21,H4,H5,"Linear","Act365F")</f>
        <v>5.6000000000000202E-2</v>
      </c>
    </row>
    <row r="5" spans="2:10" x14ac:dyDescent="0.25">
      <c r="B5" t="s">
        <v>2</v>
      </c>
      <c r="C5" t="s">
        <v>3</v>
      </c>
      <c r="D5" s="6">
        <v>4.8250000000000002</v>
      </c>
      <c r="E5" s="1">
        <f t="shared" ref="E5:E15" ca="1" si="0">D5/100</f>
        <v>4.8250000000000001E-2</v>
      </c>
      <c r="F5" t="str">
        <f ca="1">_xll.QIns_CreateFRA(B5,valDate,B5,index,"ZAR",E5,1,"ZAR.JIBAR.3M","ZAR.JIBAR.3M",,,"ZAR.JIBAR.3M")</f>
        <v>3x6¬4</v>
      </c>
      <c r="H5" s="2">
        <f ca="1">EDATE(H4,3)</f>
        <v>44021</v>
      </c>
      <c r="I5" s="1">
        <f ca="1">_xll.QCurves_GetDF($C$21,valDate,H5)</f>
        <v>0.98623059962820459</v>
      </c>
      <c r="J5" s="1">
        <f ca="1">_xll.QCurves_GetForwardRate($C$21,H5,H6,"Linear","Act365F")</f>
        <v>4.8250000000000098E-2</v>
      </c>
    </row>
    <row r="6" spans="2:10" x14ac:dyDescent="0.25">
      <c r="B6" t="s">
        <v>4</v>
      </c>
      <c r="C6" t="s">
        <v>5</v>
      </c>
      <c r="D6" s="6">
        <v>4.7850000000000001</v>
      </c>
      <c r="E6" s="1">
        <f t="shared" ca="1" si="0"/>
        <v>4.7850000000000004E-2</v>
      </c>
      <c r="F6" t="str">
        <f ca="1">_xll.QIns_CreateFRA(B6,valDate,B6,index,"ZAR",E6,1,"ZAR.JIBAR.3M","ZAR.JIBAR.3M",,,"ZAR.JIBAR.3M")</f>
        <v>6x9¬4</v>
      </c>
      <c r="H6" s="2">
        <f t="shared" ref="H6:H37" ca="1" si="1">EDATE(H5,3)</f>
        <v>44113</v>
      </c>
      <c r="I6" s="1">
        <f ca="1">_xll.QCurves_GetDF($C$21,valDate,H6)</f>
        <v>0.9743805306540313</v>
      </c>
      <c r="J6" s="1">
        <f ca="1">_xll.QCurves_GetForwardRate($C$21,H6,H7,"Linear","Act365F")</f>
        <v>4.787449751931195E-2</v>
      </c>
    </row>
    <row r="7" spans="2:10" x14ac:dyDescent="0.25">
      <c r="B7" t="s">
        <v>6</v>
      </c>
      <c r="C7" t="s">
        <v>7</v>
      </c>
      <c r="D7" s="6">
        <v>4.9000000000000004</v>
      </c>
      <c r="E7" s="1">
        <f t="shared" ca="1" si="0"/>
        <v>4.9000000000000002E-2</v>
      </c>
      <c r="F7" t="str">
        <f ca="1">_xll.QIns_CreateFRA(B7,valDate,B7,index,"ZAR",E7,1,"ZAR.JIBAR.3M","ZAR.JIBAR.3M",,,"ZAR.JIBAR.3M")</f>
        <v>9x12¬4</v>
      </c>
      <c r="H7" s="2">
        <f t="shared" ca="1" si="1"/>
        <v>44205</v>
      </c>
      <c r="I7" s="1">
        <f ca="1">_xll.QCurves_GetDF($C$21,valDate,H7)</f>
        <v>0.96276287428967056</v>
      </c>
      <c r="J7" s="1">
        <f ca="1">_xll.QCurves_GetForwardRate($C$21,H7,H8,"Linear","Act365F")</f>
        <v>4.8952714816994258E-2</v>
      </c>
    </row>
    <row r="8" spans="2:10" x14ac:dyDescent="0.25">
      <c r="B8" t="s">
        <v>8</v>
      </c>
      <c r="C8" t="s">
        <v>9</v>
      </c>
      <c r="D8" s="6">
        <v>5.37</v>
      </c>
      <c r="E8" s="1">
        <f t="shared" ca="1" si="0"/>
        <v>5.3699999999999998E-2</v>
      </c>
      <c r="F8" t="str">
        <f ca="1">_xll.QIns_CreateFRA(B8,valDate,B8,index,"ZAR",E8,1,"ZAR.JIBAR.3M","ZAR.JIBAR.3M",,,"ZAR.JIBAR.3M")</f>
        <v>12x15¬4</v>
      </c>
      <c r="H8" s="2">
        <f t="shared" ca="1" si="1"/>
        <v>44295</v>
      </c>
      <c r="I8" s="1">
        <f ca="1">_xll.QCurves_GetDF($C$21,valDate,H8)</f>
        <v>0.95128041322078016</v>
      </c>
      <c r="J8" s="1">
        <f ca="1">_xll.QCurves_GetForwardRate($C$21,H8,H9,"Linear","Act365F")</f>
        <v>5.3700000000000456E-2</v>
      </c>
    </row>
    <row r="9" spans="2:10" x14ac:dyDescent="0.25">
      <c r="B9" t="s">
        <v>10</v>
      </c>
      <c r="C9" t="s">
        <v>11</v>
      </c>
      <c r="D9" s="6">
        <v>5.62</v>
      </c>
      <c r="E9" s="1">
        <f t="shared" ca="1" si="0"/>
        <v>5.62E-2</v>
      </c>
      <c r="F9" t="str">
        <f ca="1">_xll.QIns_CreateFRA(B9,valDate,B9,index,"ZAR",E9,1,"ZAR.JIBAR.3M","ZAR.JIBAR.3M",,,"ZAR.JIBAR.3M")</f>
        <v>15x18¬4</v>
      </c>
      <c r="H9" s="2">
        <f t="shared" ca="1" si="1"/>
        <v>44386</v>
      </c>
      <c r="I9" s="1">
        <f ca="1">_xll.QCurves_GetDF($C$21,valDate,H9)</f>
        <v>0.93871272155929031</v>
      </c>
      <c r="J9" s="1">
        <f ca="1">_xll.QCurves_GetForwardRate($C$21,H9,H10,"Linear","Act365F")</f>
        <v>5.6172312479854318E-2</v>
      </c>
    </row>
    <row r="10" spans="2:10" x14ac:dyDescent="0.25">
      <c r="B10" t="s">
        <v>12</v>
      </c>
      <c r="C10" t="s">
        <v>18</v>
      </c>
      <c r="D10" s="6">
        <v>5.4275000000000002</v>
      </c>
      <c r="E10" s="1">
        <f t="shared" ca="1" si="0"/>
        <v>5.4275000000000004E-2</v>
      </c>
      <c r="F10" t="str">
        <f ca="1">_xll.QIns_CreateIRS(B10,valDate,B10,index,E10,1,"ZAR.JIBAR.3M","ZAR.JIBAR.3M","Pay","ZAR.JIBAR.3M")</f>
        <v>2y¬4</v>
      </c>
      <c r="H10" s="2">
        <f t="shared" ca="1" si="1"/>
        <v>44478</v>
      </c>
      <c r="I10" s="1">
        <f ca="1">_xll.QCurves_GetDF($C$21,valDate,H10)</f>
        <v>0.92560750704156458</v>
      </c>
      <c r="J10" s="1">
        <f ca="1">_xll.QCurves_GetForwardRate($C$21,H10,H11,"Linear","Act365F")</f>
        <v>6.0745627121553118E-2</v>
      </c>
    </row>
    <row r="11" spans="2:10" x14ac:dyDescent="0.25">
      <c r="B11" t="s">
        <v>13</v>
      </c>
      <c r="C11" t="s">
        <v>19</v>
      </c>
      <c r="D11" s="6">
        <v>5.9175000000000004</v>
      </c>
      <c r="E11" s="1">
        <f t="shared" ca="1" si="0"/>
        <v>5.9175000000000005E-2</v>
      </c>
      <c r="F11" t="str">
        <f ca="1">_xll.QIns_CreateIRS(B11,valDate,B11,index,E11,1,"ZAR.JIBAR.3M","ZAR.JIBAR.3M","Pay","ZAR.JIBAR.3M")</f>
        <v>3y¬4</v>
      </c>
      <c r="H11" s="2">
        <f t="shared" ca="1" si="1"/>
        <v>44570</v>
      </c>
      <c r="I11" s="1">
        <f ca="1">_xll.QCurves_GetDF($C$21,valDate,H11)</f>
        <v>0.911649042014124</v>
      </c>
      <c r="J11" s="1">
        <f ca="1">_xll.QCurves_GetForwardRate($C$21,H11,H12,"Linear","Act365F")</f>
        <v>6.3346542112462656E-2</v>
      </c>
    </row>
    <row r="12" spans="2:10" x14ac:dyDescent="0.25">
      <c r="B12" t="s">
        <v>14</v>
      </c>
      <c r="C12" t="s">
        <v>20</v>
      </c>
      <c r="D12" s="6">
        <v>6.4550000000000001</v>
      </c>
      <c r="E12" s="1">
        <f t="shared" ca="1" si="0"/>
        <v>6.4549999999999996E-2</v>
      </c>
      <c r="F12" t="str">
        <f ca="1">_xll.QIns_CreateIRS(B12,valDate,B12,index,E12,1,"ZAR.JIBAR.3M","ZAR.JIBAR.3M","Pay","ZAR.JIBAR.3M")</f>
        <v>4y¬4</v>
      </c>
      <c r="H12" s="2">
        <f t="shared" ca="1" si="1"/>
        <v>44660</v>
      </c>
      <c r="I12" s="1">
        <f ca="1">_xll.QCurves_GetDF($C$21,valDate,H12)</f>
        <v>0.89762836051639427</v>
      </c>
      <c r="J12" s="1">
        <f ca="1">_xll.QCurves_GetForwardRate($C$21,H12,H13,"Linear","Act365F")</f>
        <v>6.6064480834296058E-2</v>
      </c>
    </row>
    <row r="13" spans="2:10" x14ac:dyDescent="0.25">
      <c r="B13" t="s">
        <v>15</v>
      </c>
      <c r="C13" t="s">
        <v>21</v>
      </c>
      <c r="D13" s="6">
        <v>7.0625</v>
      </c>
      <c r="E13" s="1">
        <f t="shared" ca="1" si="0"/>
        <v>7.0624999999999993E-2</v>
      </c>
      <c r="F13" t="str">
        <f ca="1">_xll.QIns_CreateIRS(B13,valDate,B13,index,E13,1,"ZAR.JIBAR.3M","ZAR.JIBAR.3M","Pay","ZAR.JIBAR.3M")</f>
        <v>5y¬4</v>
      </c>
      <c r="H13" s="2">
        <f t="shared" ca="1" si="1"/>
        <v>44751</v>
      </c>
      <c r="I13" s="1">
        <f ca="1">_xll.QCurves_GetDF($C$21,valDate,H13)</f>
        <v>0.88308321124656319</v>
      </c>
      <c r="J13" s="1">
        <f ca="1">_xll.QCurves_GetForwardRate($C$21,H13,H14,"Linear","Act365F")</f>
        <v>6.868753865951642E-2</v>
      </c>
    </row>
    <row r="14" spans="2:10" x14ac:dyDescent="0.25">
      <c r="B14" t="s">
        <v>16</v>
      </c>
      <c r="C14" t="s">
        <v>22</v>
      </c>
      <c r="D14" s="6">
        <v>8.0924999999999994</v>
      </c>
      <c r="E14" s="1">
        <f t="shared" ca="1" si="0"/>
        <v>8.0924999999999997E-2</v>
      </c>
      <c r="F14" t="str">
        <f ca="1">_xll.QIns_CreateIRS(B14,valDate,B14,index,E14,1,"ZAR.JIBAR.3M","ZAR.JIBAR.3M","Pay","ZAR.JIBAR.3M")</f>
        <v>7y¬4</v>
      </c>
      <c r="H14" s="2">
        <f t="shared" ca="1" si="1"/>
        <v>44843</v>
      </c>
      <c r="I14" s="1">
        <f ca="1">_xll.QCurves_GetDF($C$21,valDate,H14)</f>
        <v>0.86805456226039224</v>
      </c>
      <c r="J14" s="1">
        <f ca="1">_xll.QCurves_GetForwardRate($C$21,H14,H15,"Linear","Act365F")</f>
        <v>7.1317300060843886E-2</v>
      </c>
    </row>
    <row r="15" spans="2:10" x14ac:dyDescent="0.25">
      <c r="B15" t="s">
        <v>17</v>
      </c>
      <c r="C15" t="s">
        <v>23</v>
      </c>
      <c r="D15" s="6">
        <v>8.9600000000000009</v>
      </c>
      <c r="E15" s="1">
        <f t="shared" ca="1" si="0"/>
        <v>8.9600000000000013E-2</v>
      </c>
      <c r="F15" t="str">
        <f ca="1">_xll.QIns_CreateIRS(B15,valDate,B15,index,E15,1,"ZAR.JIBAR.3M","ZAR.JIBAR.3M","Pay","ZAR.JIBAR.3M")</f>
        <v>10y¬4</v>
      </c>
      <c r="H15" s="2">
        <f t="shared" ca="1" si="1"/>
        <v>44935</v>
      </c>
      <c r="I15" s="1">
        <f ca="1">_xll.QCurves_GetDF($C$21,valDate,H15)</f>
        <v>0.85272607146055324</v>
      </c>
      <c r="J15" s="1">
        <f ca="1">_xll.QCurves_GetForwardRate($C$21,H15,H16,"Linear","Act365F")</f>
        <v>7.3905286443411974E-2</v>
      </c>
    </row>
    <row r="16" spans="2:10" x14ac:dyDescent="0.25">
      <c r="H16" s="2">
        <f t="shared" ca="1" si="1"/>
        <v>45025</v>
      </c>
      <c r="I16" s="1">
        <f ca="1">_xll.QCurves_GetDF($C$21,valDate,H16)</f>
        <v>0.83746476569198924</v>
      </c>
      <c r="J16" s="1">
        <f ca="1">_xll.QCurves_GetForwardRate($C$21,H16,H17,"Linear","Act365F")</f>
        <v>7.8661980007314503E-2</v>
      </c>
    </row>
    <row r="17" spans="2:10" x14ac:dyDescent="0.25">
      <c r="H17" s="2">
        <f t="shared" ca="1" si="1"/>
        <v>45116</v>
      </c>
      <c r="I17" s="1">
        <f ca="1">_xll.QCurves_GetDF($C$21,valDate,H17)</f>
        <v>0.82135663401994041</v>
      </c>
      <c r="J17" s="1">
        <f ca="1">_xll.QCurves_GetForwardRate($C$21,H17,H18,"Linear","Act365F")</f>
        <v>8.1678302583325479E-2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FundingInstruments¬6</v>
      </c>
      <c r="H18" s="2">
        <f t="shared" ca="1" si="1"/>
        <v>45208</v>
      </c>
      <c r="I18" s="1">
        <f ca="1">_xll.QCurves_GetDF($C$21,valDate,H18)</f>
        <v>0.8047881325628492</v>
      </c>
      <c r="J18" s="1">
        <f ca="1">_xll.QCurves_GetForwardRate($C$21,H18,H19,"Linear","Act365F")</f>
        <v>8.4659755047945914E-2</v>
      </c>
    </row>
    <row r="19" spans="2:10" x14ac:dyDescent="0.25">
      <c r="H19" s="2">
        <f t="shared" ca="1" si="1"/>
        <v>45300</v>
      </c>
      <c r="I19" s="1">
        <f ca="1">_xll.QCurves_GetDF($C$21,valDate,H19)</f>
        <v>0.78797364400642311</v>
      </c>
      <c r="J19" s="1">
        <f ca="1">_xll.QCurves_GetForwardRate($C$21,H19,H20,"Linear","Act365F")</f>
        <v>8.7616740332739224E-2</v>
      </c>
    </row>
    <row r="20" spans="2:10" x14ac:dyDescent="0.25">
      <c r="B20" t="s">
        <v>27</v>
      </c>
      <c r="C20" t="str">
        <f ca="1">_xll.QCurves_CreateFundingModel("Model",valDate,C18)</f>
        <v>Model¬4</v>
      </c>
      <c r="H20" s="2">
        <f t="shared" ca="1" si="1"/>
        <v>45391</v>
      </c>
      <c r="I20" s="1">
        <f ca="1">_xll.QCurves_GetDF($C$21,valDate,H20)</f>
        <v>0.77112896892790683</v>
      </c>
      <c r="J20" s="1">
        <f ca="1">_xll.QCurves_GetForwardRate($C$21,H20,H21,"Linear","Act365F")</f>
        <v>9.5214525382017495E-2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curve.ZAR.JIBAR.3M¬4</v>
      </c>
      <c r="H21" s="2">
        <f t="shared" ca="1" si="1"/>
        <v>45482</v>
      </c>
      <c r="I21" s="1">
        <f ca="1">_xll.QCurves_GetDF($C$21,valDate,H21)</f>
        <v>0.75324805334872325</v>
      </c>
      <c r="J21" s="1">
        <f ca="1">_xll.QCurves_GetForwardRate($C$21,H21,H22,"Linear","Act365F")</f>
        <v>9.8750621474272507E-2</v>
      </c>
    </row>
    <row r="22" spans="2:10" x14ac:dyDescent="0.25">
      <c r="H22" s="2">
        <f t="shared" ca="1" si="1"/>
        <v>45574</v>
      </c>
      <c r="I22" s="1">
        <f ca="1">_xll.QCurves_GetDF($C$21,valDate,H22)</f>
        <v>0.73495461579798316</v>
      </c>
      <c r="J22" s="1">
        <f ca="1">_xll.QCurves_GetForwardRate($C$21,H22,H23,"Linear","Act365F")</f>
        <v>0.10229673180415129</v>
      </c>
    </row>
    <row r="23" spans="2:10" x14ac:dyDescent="0.25">
      <c r="H23" s="2">
        <f t="shared" ca="1" si="1"/>
        <v>45666</v>
      </c>
      <c r="I23" s="1">
        <f ca="1">_xll.QCurves_GetDF($C$21,valDate,H23)</f>
        <v>0.71648060635238509</v>
      </c>
      <c r="J23" s="1">
        <f ca="1">_xll.QCurves_GetForwardRate($C$21,H23,H24,"Linear","Act365F")</f>
        <v>0.1057769429280481</v>
      </c>
    </row>
    <row r="24" spans="2:10" x14ac:dyDescent="0.25">
      <c r="H24" s="2">
        <f t="shared" ca="1" si="1"/>
        <v>45756</v>
      </c>
      <c r="I24" s="1">
        <f ca="1">_xll.QCurves_GetDF($C$21,valDate,H24)</f>
        <v>0.69826838028421911</v>
      </c>
      <c r="J24" s="1">
        <f ca="1">_xll.QCurves_GetForwardRate($C$21,H24,H25,"Linear","Act365F")</f>
        <v>0.10565970450408878</v>
      </c>
    </row>
    <row r="25" spans="2:10" x14ac:dyDescent="0.25">
      <c r="H25" s="2">
        <f t="shared" ca="1" si="1"/>
        <v>45847</v>
      </c>
      <c r="I25" s="1">
        <f ca="1">_xll.QCurves_GetDF($C$21,valDate,H25)</f>
        <v>0.68034631896096098</v>
      </c>
      <c r="J25" s="1">
        <f ca="1">_xll.QCurves_GetForwardRate($C$21,H25,H26,"Linear","Act365F")</f>
        <v>0.10886135067736374</v>
      </c>
    </row>
    <row r="26" spans="2:10" x14ac:dyDescent="0.25">
      <c r="H26" s="2">
        <f t="shared" ca="1" si="1"/>
        <v>45939</v>
      </c>
      <c r="I26" s="1">
        <f ca="1">_xll.QCurves_GetDF($C$21,valDate,H26)</f>
        <v>0.66217683206245936</v>
      </c>
      <c r="J26" s="1">
        <f ca="1">_xll.QCurves_GetForwardRate($C$21,H26,H27,"Linear","Act365F")</f>
        <v>0.11206776067482987</v>
      </c>
    </row>
    <row r="27" spans="2:10" x14ac:dyDescent="0.25">
      <c r="H27" s="2">
        <f t="shared" ca="1" si="1"/>
        <v>46031</v>
      </c>
      <c r="I27" s="1">
        <f ca="1">_xll.QCurves_GetDF($C$21,valDate,H27)</f>
        <v>0.64398601961473578</v>
      </c>
      <c r="J27" s="1">
        <f ca="1">_xll.QCurves_GetForwardRate($C$21,H27,H28,"Linear","Act365F")</f>
        <v>0.11520576895429746</v>
      </c>
    </row>
    <row r="28" spans="2:10" x14ac:dyDescent="0.25">
      <c r="H28" s="2">
        <f t="shared" ca="1" si="1"/>
        <v>46121</v>
      </c>
      <c r="I28" s="1">
        <f ca="1">_xll.QCurves_GetDF($C$21,valDate,H28)</f>
        <v>0.62619768343027393</v>
      </c>
      <c r="J28" s="1">
        <f ca="1">_xll.QCurves_GetForwardRate($C$21,H28,H29,"Linear","Act365F")</f>
        <v>0.11838183447768585</v>
      </c>
    </row>
    <row r="29" spans="2:10" x14ac:dyDescent="0.25">
      <c r="H29" s="2">
        <f t="shared" ca="1" si="1"/>
        <v>46212</v>
      </c>
      <c r="I29" s="1">
        <f ca="1">_xll.QCurves_GetDF($C$21,valDate,H29)</f>
        <v>0.60824569188378086</v>
      </c>
      <c r="J29" s="1">
        <f ca="1">_xll.QCurves_GetForwardRate($C$21,H29,H30,"Linear","Act365F")</f>
        <v>0.1215972880750683</v>
      </c>
    </row>
    <row r="30" spans="2:10" x14ac:dyDescent="0.25">
      <c r="H30" s="2">
        <f t="shared" ca="1" si="1"/>
        <v>46304</v>
      </c>
      <c r="I30" s="1">
        <f ca="1">_xll.QCurves_GetDF($C$21,valDate,H30)</f>
        <v>0.59015783838537172</v>
      </c>
      <c r="J30" s="1">
        <f ca="1">_xll.QCurves_GetForwardRate($C$21,H30,H31,"Linear","Act365F")</f>
        <v>0.12481371625355868</v>
      </c>
    </row>
    <row r="31" spans="2:10" x14ac:dyDescent="0.25">
      <c r="H31" s="2">
        <f t="shared" ca="1" si="1"/>
        <v>46396</v>
      </c>
      <c r="I31" s="1">
        <f ca="1">_xll.QCurves_GetDF($C$21,valDate,H31)</f>
        <v>0.57215781330983917</v>
      </c>
      <c r="J31" s="1">
        <f ca="1">_xll.QCurves_GetForwardRate($C$21,H31,H32,"Linear","Act365F")</f>
        <v>0.12795327149028263</v>
      </c>
    </row>
    <row r="32" spans="2:10" x14ac:dyDescent="0.25">
      <c r="H32" s="2">
        <f t="shared" ca="1" si="1"/>
        <v>46486</v>
      </c>
      <c r="I32" s="1">
        <f ca="1">_xll.QCurves_GetDF($C$21,valDate,H32)</f>
        <v>0.55465827714334881</v>
      </c>
      <c r="J32" s="1">
        <f ca="1">_xll.QCurves_GetForwardRate($C$21,H32,H33,"Linear","Act365F")</f>
        <v>0.1140754343407147</v>
      </c>
    </row>
    <row r="33" spans="8:10" x14ac:dyDescent="0.25">
      <c r="H33" s="2">
        <f t="shared" ca="1" si="1"/>
        <v>46577</v>
      </c>
      <c r="I33" s="1">
        <f ca="1">_xll.QCurves_GetDF($C$21,valDate,H33)</f>
        <v>0.53931963584104481</v>
      </c>
      <c r="J33" s="1">
        <f ca="1">_xll.QCurves_GetForwardRate($C$21,H33,H34,"Linear","Act365F")</f>
        <v>0.11610750253143677</v>
      </c>
    </row>
    <row r="34" spans="8:10" x14ac:dyDescent="0.25">
      <c r="H34" s="2">
        <f t="shared" ca="1" si="1"/>
        <v>46669</v>
      </c>
      <c r="I34" s="1">
        <f ca="1">_xll.QCurves_GetDF($C$21,valDate,H34)</f>
        <v>0.52398497824835089</v>
      </c>
      <c r="J34" s="1">
        <f ca="1">_xll.QCurves_GetForwardRate($C$21,H34,H35,"Linear","Act365F")</f>
        <v>0.11813391928799184</v>
      </c>
    </row>
    <row r="35" spans="8:10" x14ac:dyDescent="0.25">
      <c r="H35" s="2">
        <f t="shared" ca="1" si="1"/>
        <v>46761</v>
      </c>
      <c r="I35" s="1">
        <f ca="1">_xll.QCurves_GetDF($C$21,valDate,H35)</f>
        <v>0.50883382980594227</v>
      </c>
      <c r="J35" s="1">
        <f ca="1">_xll.QCurves_GetForwardRate($C$21,H35,H36,"Linear","Act365F")</f>
        <v>0.12013074362945345</v>
      </c>
    </row>
    <row r="36" spans="8:10" x14ac:dyDescent="0.25">
      <c r="H36" s="2">
        <f t="shared" ca="1" si="1"/>
        <v>46852</v>
      </c>
      <c r="I36" s="1">
        <f ca="1">_xll.QCurves_GetDF($C$21,valDate,H36)</f>
        <v>0.49403721533112033</v>
      </c>
      <c r="J36" s="1">
        <f ca="1">_xll.QCurves_GetForwardRate($C$21,H36,H37,"Linear","Act365F")</f>
        <v>0.12213645723330883</v>
      </c>
    </row>
    <row r="37" spans="8:10" x14ac:dyDescent="0.25">
      <c r="H37" s="2">
        <f t="shared" ca="1" si="1"/>
        <v>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3"/>
  <sheetViews>
    <sheetView workbookViewId="0">
      <selection activeCell="G41" sqref="G41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7">
        <v>43930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ZAR.JIBAR.3M¬12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ZAR.OIS.1B¬5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43930</v>
      </c>
      <c r="I4" s="1">
        <f ca="1">_xll.QCurves_GetDF($C$32,valDate,H4)</f>
        <v>1</v>
      </c>
      <c r="J4" s="1">
        <f ca="1">_xll.QCurves_GetForwardRate($C$32,H4,H5,"Linear","Act365F")</f>
        <v>5.6000000000000202E-2</v>
      </c>
      <c r="K4" s="1">
        <f ca="1">_xll.QCurves_GetDF($C$33,valDate,H4)</f>
        <v>1</v>
      </c>
    </row>
    <row r="5" spans="2:11" x14ac:dyDescent="0.25">
      <c r="H5" s="2">
        <f ca="1">EDATE(H4,3)</f>
        <v>44021</v>
      </c>
      <c r="I5" s="1">
        <f ca="1">_xll.QCurves_GetDF($C$32,valDate,H5)</f>
        <v>0.98623059962820459</v>
      </c>
      <c r="J5" s="1">
        <f ca="1">_xll.QCurves_GetForwardRate($C$32,H5,H6,"Linear","Act365F")</f>
        <v>4.8250000000000098E-2</v>
      </c>
      <c r="K5" s="1">
        <f ca="1">_xll.QCurves_GetDF($C$33,valDate,H5)</f>
        <v>0.9872015405753356</v>
      </c>
    </row>
    <row r="6" spans="2:11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44113</v>
      </c>
      <c r="I6" s="1">
        <f ca="1">_xll.QCurves_GetDF($C$32,valDate,H6)</f>
        <v>0.9743805306540313</v>
      </c>
      <c r="J6" s="1">
        <f ca="1">_xll.QCurves_GetForwardRate($C$32,H6,H7,"Linear","Act365F")</f>
        <v>4.7874497519312831E-2</v>
      </c>
      <c r="K6" s="1">
        <f ca="1">_xll.QCurves_GetDF($C$33,valDate,H6)</f>
        <v>0.97631231473076319</v>
      </c>
    </row>
    <row r="7" spans="2:11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44205</v>
      </c>
      <c r="I7" s="1">
        <f ca="1">_xll.QCurves_GetDF($C$32,valDate,H7)</f>
        <v>0.96276287428967033</v>
      </c>
      <c r="J7" s="1">
        <f ca="1">_xll.QCurves_GetForwardRate($C$32,H7,H8,"Linear","Act365F")</f>
        <v>4.8952714816993363E-2</v>
      </c>
      <c r="K7" s="1">
        <f ca="1">_xll.QCurves_GetDF($C$33,valDate,H7)</f>
        <v>0.9656327019227805</v>
      </c>
    </row>
    <row r="8" spans="2:11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44295</v>
      </c>
      <c r="I8" s="1">
        <f ca="1">_xll.QCurves_GetDF($C$32,valDate,H8)</f>
        <v>0.95128041322078005</v>
      </c>
      <c r="J8" s="1">
        <f ca="1">_xll.QCurves_GetForwardRate($C$32,H8,H9,"Linear","Act365F")</f>
        <v>5.3699999999999568E-2</v>
      </c>
      <c r="K8" s="1">
        <f ca="1">_xll.QCurves_GetDF($C$33,valDate,H8)</f>
        <v>0.95508414419060306</v>
      </c>
    </row>
    <row r="9" spans="2:11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44386</v>
      </c>
      <c r="I9" s="1">
        <f ca="1">_xll.QCurves_GetDF($C$32,valDate,H9)</f>
        <v>0.93871272155929031</v>
      </c>
      <c r="J9" s="1">
        <f ca="1">_xll.QCurves_GetForwardRate($C$32,H9,H10,"Linear","Act365F")</f>
        <v>5.6172312479854318E-2</v>
      </c>
      <c r="K9" s="1">
        <f ca="1">_xll.QCurves_GetDF($C$33,valDate,H9)</f>
        <v>0.94327489164363509</v>
      </c>
    </row>
    <row r="10" spans="2:11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44478</v>
      </c>
      <c r="I10" s="1">
        <f ca="1">_xll.QCurves_GetDF($C$32,valDate,H10)</f>
        <v>0.92560750704156458</v>
      </c>
      <c r="J10" s="1">
        <f ca="1">_xll.QCurves_GetForwardRate($C$32,H10,H11,"Linear","Act365F")</f>
        <v>6.0714308999312856E-2</v>
      </c>
      <c r="K10" s="1">
        <f ca="1">_xll.QCurves_GetDF($C$33,valDate,H10)</f>
        <v>0.9311124050637537</v>
      </c>
    </row>
    <row r="11" spans="2:11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44570</v>
      </c>
      <c r="I11" s="1">
        <f ca="1">_xll.QCurves_GetDF($C$32,valDate,H11)</f>
        <v>0.91165612999514489</v>
      </c>
      <c r="J11" s="1">
        <f ca="1">_xll.QCurves_GetForwardRate($C$32,H11,H12,"Linear","Act365F")</f>
        <v>6.3305511654691615E-2</v>
      </c>
      <c r="K11" s="1">
        <f ca="1">_xll.QCurves_GetDF($C$33,valDate,H11)</f>
        <v>0.91799187684709571</v>
      </c>
    </row>
    <row r="12" spans="2:11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44660</v>
      </c>
      <c r="I12" s="1">
        <f ca="1">_xll.QCurves_GetDF($C$32,valDate,H12)</f>
        <v>0.89764428137467944</v>
      </c>
      <c r="J12" s="1">
        <f ca="1">_xll.QCurves_GetForwardRate($C$32,H12,H13,"Linear","Act365F")</f>
        <v>6.6022872672555147E-2</v>
      </c>
      <c r="K12" s="1">
        <f ca="1">_xll.QCurves_GetDF($C$33,valDate,H12)</f>
        <v>0.90476115186497996</v>
      </c>
    </row>
    <row r="13" spans="2:11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44751</v>
      </c>
      <c r="I13" s="1">
        <f ca="1">_xll.QCurves_GetDF($C$32,valDate,H13)</f>
        <v>0.88310788663618245</v>
      </c>
      <c r="J13" s="1">
        <f ca="1">_xll.QCurves_GetForwardRate($C$32,H13,H14,"Linear","Act365F")</f>
        <v>6.8638838016895798E-2</v>
      </c>
      <c r="K13" s="1">
        <f ca="1">_xll.QCurves_GetDF($C$33,valDate,H13)</f>
        <v>0.89061526662429957</v>
      </c>
    </row>
    <row r="14" spans="2:11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44843</v>
      </c>
      <c r="I14" s="1">
        <f ca="1">_xll.QCurves_GetDF($C$32,valDate,H14)</f>
        <v>0.86808929236306109</v>
      </c>
      <c r="J14" s="1">
        <f ca="1">_xll.QCurves_GetForwardRate($C$32,H14,H15,"Linear","Act365F")</f>
        <v>7.126129505508913E-2</v>
      </c>
      <c r="K14" s="1">
        <f ca="1">_xll.QCurves_GetDF($C$33,valDate,H14)</f>
        <v>0.87588056205160736</v>
      </c>
    </row>
    <row r="15" spans="2:11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44935</v>
      </c>
      <c r="I15" s="1">
        <f ca="1">_xll.QCurves_GetDF($C$32,valDate,H15)</f>
        <v>0.85277201372255773</v>
      </c>
      <c r="J15" s="1">
        <f ca="1">_xll.QCurves_GetForwardRate($C$32,H15,H16,"Linear","Act365F")</f>
        <v>7.3842072502186704E-2</v>
      </c>
      <c r="K15" s="1">
        <f ca="1">_xll.QCurves_GetDF($C$33,valDate,H15)</f>
        <v>0.86074727431237563</v>
      </c>
    </row>
    <row r="16" spans="2:11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45025</v>
      </c>
      <c r="I16" s="1">
        <f ca="1">_xll.QCurves_GetDF($C$32,valDate,H16)</f>
        <v>0.83752270655066519</v>
      </c>
      <c r="J16" s="1">
        <f ca="1">_xll.QCurves_GetForwardRate($C$32,H16,H17,"Linear","Act365F")</f>
        <v>7.857175418754106E-2</v>
      </c>
      <c r="K16" s="1">
        <f ca="1">_xll.QCurves_GetDF($C$33,valDate,H16)</f>
        <v>0.84558539907893437</v>
      </c>
    </row>
    <row r="17" spans="2:11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45116</v>
      </c>
      <c r="I17" s="1">
        <f ca="1">_xll.QCurves_GetDF($C$32,valDate,H17)</f>
        <v>0.82143158283245765</v>
      </c>
      <c r="J17" s="1">
        <f ca="1">_xll.QCurves_GetForwardRate($C$32,H17,H18,"Linear","Act365F")</f>
        <v>8.1577207989190395E-2</v>
      </c>
      <c r="K17" s="1">
        <f ca="1">_xll.QCurves_GetDF($C$33,valDate,H17)</f>
        <v>0.82992395098678051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OIS_3m¬3</v>
      </c>
      <c r="H18" s="2">
        <f t="shared" ca="1" si="0"/>
        <v>45208</v>
      </c>
      <c r="I18" s="1">
        <f ca="1">_xll.QCurves_GetDF($C$32,valDate,H18)</f>
        <v>0.80488166527260585</v>
      </c>
      <c r="J18" s="1">
        <f ca="1">_xll.QCurves_GetForwardRate($C$32,H18,H19,"Linear","Act365F")</f>
        <v>8.4548149616066187E-2</v>
      </c>
      <c r="K18" s="1">
        <f ca="1">_xll.QCurves_GetDF($C$33,valDate,H18)</f>
        <v>0.81378124182284473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OIS_6m¬3</v>
      </c>
      <c r="H19" s="2">
        <f t="shared" ca="1" si="0"/>
        <v>45300</v>
      </c>
      <c r="I19" s="1">
        <f ca="1">_xll.QCurves_GetDF($C$32,valDate,H19)</f>
        <v>0.78808692876880038</v>
      </c>
      <c r="J19" s="1">
        <f ca="1">_xll.QCurves_GetForwardRate($C$32,H19,H20,"Linear","Act365F")</f>
        <v>8.7494694879952345E-2</v>
      </c>
      <c r="K19" s="1">
        <f ca="1">_xll.QCurves_GetDF($C$33,valDate,H19)</f>
        <v>0.79735746824190035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OIS_9m¬3</v>
      </c>
      <c r="H20" s="2">
        <f t="shared" ca="1" si="0"/>
        <v>45391</v>
      </c>
      <c r="I20" s="1">
        <f ca="1">_xll.QCurves_GetDF($C$32,valDate,H20)</f>
        <v>0.77126279810975573</v>
      </c>
      <c r="J20" s="1">
        <f ca="1">_xll.QCurves_GetForwardRate($C$32,H20,H21,"Linear","Act365F")</f>
        <v>9.4941632972784462E-2</v>
      </c>
      <c r="K20" s="1">
        <f ca="1">_xll.QCurves_GetDF($C$33,valDate,H20)</f>
        <v>0.78086504341135521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OIS_1y¬3</v>
      </c>
      <c r="H21" s="2">
        <f t="shared" ca="1" si="0"/>
        <v>45482</v>
      </c>
      <c r="I21" s="1">
        <f ca="1">_xll.QCurves_GetDF($C$32,valDate,H21)</f>
        <v>0.75342885110644131</v>
      </c>
      <c r="J21" s="1">
        <f ca="1">_xll.QCurves_GetForwardRate($C$32,H21,H22,"Linear","Act365F")</f>
        <v>9.8450448476763722E-2</v>
      </c>
      <c r="K21" s="1">
        <f ca="1">_xll.QCurves_GetDF($C$33,valDate,H21)</f>
        <v>0.76415580420091456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OIS_18m¬3</v>
      </c>
      <c r="H22" s="2">
        <f t="shared" ca="1" si="0"/>
        <v>45574</v>
      </c>
      <c r="I22" s="1">
        <f ca="1">_xll.QCurves_GetDF($C$32,valDate,H22)</f>
        <v>0.73518529594711146</v>
      </c>
      <c r="J22" s="1">
        <f ca="1">_xll.QCurves_GetForwardRate($C$32,H22,H23,"Linear","Act365F")</f>
        <v>0.10196915259017414</v>
      </c>
      <c r="K22" s="1">
        <f ca="1">_xll.QCurves_GetDF($C$33,valDate,H22)</f>
        <v>0.74707188897943855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OIS_2y¬3</v>
      </c>
      <c r="H23" s="2">
        <f t="shared" ca="1" si="0"/>
        <v>45666</v>
      </c>
      <c r="I23" s="1">
        <f ca="1">_xll.QCurves_GetDF($C$32,valDate,H23)</f>
        <v>0.71676318209954837</v>
      </c>
      <c r="J23" s="1">
        <f ca="1">_xll.QCurves_GetForwardRate($C$32,H23,H24,"Linear","Act365F")</f>
        <v>0.10542241134319731</v>
      </c>
      <c r="K23" s="1">
        <f ca="1">_xll.QCurves_GetDF($C$33,valDate,H23)</f>
        <v>0.72982525635703765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OIS_5y¬3</v>
      </c>
      <c r="H24" s="2">
        <f t="shared" ca="1" si="0"/>
        <v>45756</v>
      </c>
      <c r="I24" s="1">
        <f ca="1">_xll.QCurves_GetDF($C$32,valDate,H24)</f>
        <v>0.69860329189583359</v>
      </c>
      <c r="J24" s="1">
        <f ca="1">_xll.QCurves_GetForwardRate($C$32,H24,H25,"Linear","Act365F")</f>
        <v>0.10491977430031936</v>
      </c>
      <c r="K24" s="1">
        <f ca="1">_xll.QCurves_GetDF($C$33,valDate,H24)</f>
        <v>0.7128241353515089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OIS_10y¬3</v>
      </c>
      <c r="H25" s="2">
        <f t="shared" ca="1" si="0"/>
        <v>45847</v>
      </c>
      <c r="I25" s="1">
        <f ca="1">_xll.QCurves_GetDF($C$32,valDate,H25)</f>
        <v>0.68079500130077886</v>
      </c>
      <c r="J25" s="1">
        <f ca="1">_xll.QCurves_GetForwardRate($C$32,H25,H26,"Linear","Act365F")</f>
        <v>0.1080593266864182</v>
      </c>
      <c r="K25" s="1">
        <f ca="1">_xll.QCurves_GetDF($C$33,valDate,H25)</f>
        <v>0.69644975390208053</v>
      </c>
    </row>
    <row r="26" spans="2:11" x14ac:dyDescent="0.25">
      <c r="H26" s="2">
        <f t="shared" ca="1" si="0"/>
        <v>45939</v>
      </c>
      <c r="I26" s="1">
        <f ca="1">_xll.QCurves_GetDF($C$32,valDate,H26)</f>
        <v>0.66274393011570798</v>
      </c>
      <c r="J26" s="1">
        <f ca="1">_xll.QCurves_GetForwardRate($C$32,H26,H27,"Linear","Act365F")</f>
        <v>0.11120341922427235</v>
      </c>
      <c r="K26" s="1">
        <f ca="1">_xll.QCurves_GetDF($C$33,valDate,H26)</f>
        <v>0.67985976179011709</v>
      </c>
    </row>
    <row r="27" spans="2:11" x14ac:dyDescent="0.25">
      <c r="H27" s="2">
        <f t="shared" ca="1" si="0"/>
        <v>46031</v>
      </c>
      <c r="I27" s="1">
        <f ca="1">_xll.QCurves_GetDF($C$32,valDate,H27)</f>
        <v>0.64467413007574426</v>
      </c>
      <c r="J27" s="1">
        <f ca="1">_xll.QCurves_GetForwardRate($C$32,H27,H28,"Linear","Act365F")</f>
        <v>0.11428026635733614</v>
      </c>
      <c r="K27" s="1">
        <f ca="1">_xll.QCurves_GetDF($C$33,valDate,H27)</f>
        <v>0.66325493574990402</v>
      </c>
    </row>
    <row r="28" spans="2:11" x14ac:dyDescent="0.25">
      <c r="H28" s="2">
        <f t="shared" ca="1" si="0"/>
        <v>46121</v>
      </c>
      <c r="I28" s="1">
        <f ca="1">_xll.QCurves_GetDF($C$32,valDate,H28)</f>
        <v>0.62700592095547669</v>
      </c>
      <c r="J28" s="1">
        <f ca="1">_xll.QCurves_GetForwardRate($C$32,H28,H29,"Linear","Act365F")</f>
        <v>0.11739458242899767</v>
      </c>
      <c r="K28" s="1">
        <f ca="1">_xll.QCurves_GetDF($C$33,valDate,H28)</f>
        <v>0.64701654978952006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FundingInstrumentsOis¬3</v>
      </c>
      <c r="H29" s="2">
        <f t="shared" ca="1" si="0"/>
        <v>46212</v>
      </c>
      <c r="I29" s="1">
        <f ca="1">_xll.QCurves_GetDF($C$32,valDate,H29)</f>
        <v>0.60917640085263758</v>
      </c>
      <c r="J29" s="1">
        <f ca="1">_xll.QCurves_GetForwardRate($C$32,H29,H30,"Linear","Act365F")</f>
        <v>0.12054745722348974</v>
      </c>
      <c r="K29" s="1">
        <f ca="1">_xll.QCurves_GetDF($C$33,valDate,H29)</f>
        <v>0.63062259340956817</v>
      </c>
    </row>
    <row r="30" spans="2:11" x14ac:dyDescent="0.25">
      <c r="H30" s="2">
        <f t="shared" ca="1" si="0"/>
        <v>46304</v>
      </c>
      <c r="I30" s="1">
        <f ca="1">_xll.QCurves_GetDF($C$32,valDate,H30)</f>
        <v>0.59121266156826624</v>
      </c>
      <c r="J30" s="1">
        <f ca="1">_xll.QCurves_GetForwardRate($C$32,H30,H31,"Linear","Act365F")</f>
        <v>0.12370118399362764</v>
      </c>
      <c r="K30" s="1">
        <f ca="1">_xll.QCurves_GetDF($C$33,valDate,H30)</f>
        <v>0.61409313718099956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46396</v>
      </c>
      <c r="I31" s="1">
        <f ca="1">_xll.QCurves_GetDF($C$32,valDate,H31)</f>
        <v>0.57333633478356749</v>
      </c>
      <c r="J31" s="1">
        <f ca="1">_xll.QCurves_GetForwardRate($C$32,H31,H32,"Linear","Act365F")</f>
        <v>0.12677943077668374</v>
      </c>
      <c r="K31" s="1">
        <f ca="1">_xll.QCurves_GetDF($C$33,valDate,H31)</f>
        <v>0.59762748966727686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46486</v>
      </c>
      <c r="I32" s="1">
        <f ca="1">_xll.QCurves_GetDF($C$32,valDate,H32)</f>
        <v>0.55595674792479344</v>
      </c>
      <c r="J32" s="1">
        <f ca="1">_xll.QCurves_GetForwardRate($C$32,H32,H33,"Linear","Act365F")</f>
        <v>0.11324381779953492</v>
      </c>
      <c r="K32" s="1">
        <f ca="1">_xll.QCurves_GetDF($C$33,valDate,H32)</f>
        <v>0.58159917600275446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46577</v>
      </c>
      <c r="I33" s="1">
        <f ca="1">_xll.QCurves_GetDF($C$32,valDate,H33)</f>
        <v>0.54069120223907352</v>
      </c>
      <c r="J33" s="1">
        <f ca="1">_xll.QCurves_GetForwardRate($C$32,H33,H34,"Linear","Act365F")</f>
        <v>0.11524144192979881</v>
      </c>
      <c r="K33" s="1">
        <f ca="1">_xll.QCurves_GetDF($C$33,valDate,H33)</f>
        <v>0.56548965287335351</v>
      </c>
    </row>
    <row r="34" spans="2:11" x14ac:dyDescent="0.25">
      <c r="H34" s="2">
        <f t="shared" ca="1" si="0"/>
        <v>46669</v>
      </c>
      <c r="I34" s="1">
        <f ca="1">_xll.QCurves_GetDF($C$32,valDate,H34)</f>
        <v>0.5254289835539373</v>
      </c>
      <c r="J34" s="1">
        <f ca="1">_xll.QCurves_GetForwardRate($C$32,H34,H35,"Linear","Act365F")</f>
        <v>0.11723344966439958</v>
      </c>
      <c r="K34" s="1">
        <f ca="1">_xll.QCurves_GetDF($C$33,valDate,H34)</f>
        <v>0.54931891008299771</v>
      </c>
    </row>
    <row r="35" spans="2:11" x14ac:dyDescent="0.25">
      <c r="H35" s="2">
        <f t="shared" ca="1" si="0"/>
        <v>46761</v>
      </c>
      <c r="I35" s="1">
        <f ca="1">_xll.QCurves_GetDF($C$32,valDate,H35)</f>
        <v>0.51034856466474043</v>
      </c>
      <c r="J35" s="1">
        <f ca="1">_xll.QCurves_GetForwardRate($C$32,H35,H36,"Linear","Act365F")</f>
        <v>0.11919632052293011</v>
      </c>
      <c r="K35" s="1">
        <f ca="1">_xll.QCurves_GetDF($C$33,valDate,H35)</f>
        <v>0.53328091430168234</v>
      </c>
    </row>
    <row r="36" spans="2:11" x14ac:dyDescent="0.25">
      <c r="H36" s="2">
        <f t="shared" ca="1" si="0"/>
        <v>46852</v>
      </c>
      <c r="I36" s="1">
        <f ca="1">_xll.QCurves_GetDF($C$32,valDate,H36)</f>
        <v>0.49562000741863571</v>
      </c>
      <c r="J36" s="1">
        <f ca="1">_xll.QCurves_GetForwardRate($C$32,H36,H37,"Linear","Act365F")</f>
        <v>0.12116794901357843</v>
      </c>
      <c r="K36" s="1">
        <f ca="1">_xll.QCurves_GetDF($C$33,valDate,H36)</f>
        <v>0.51756317891717318</v>
      </c>
    </row>
    <row r="37" spans="2:11" x14ac:dyDescent="0.25">
      <c r="H37" s="2">
        <f t="shared" ca="1" si="0"/>
        <v>46943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38"/>
  <sheetViews>
    <sheetView workbookViewId="0">
      <selection activeCell="K13" sqref="K13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7">
        <v>43930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ZAR.JIBAR.3M¬2</v>
      </c>
      <c r="I2" t="s">
        <v>25</v>
      </c>
      <c r="J2" t="str">
        <f ca="1">_xll.QIns_CreateRateIndex("USD.LIBOR.3M","USD","3M","Act360","Act360","6M","NYC","2b","MF")</f>
        <v>USD.LIBOR.3M¬2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ZAR.OIS.1B¬2</v>
      </c>
      <c r="I3" t="s">
        <v>31</v>
      </c>
      <c r="J3" t="str">
        <f ca="1">_xll.QIns_CreateRateIndex("USD.OIS.1B","USD","3M","Act360","Act360","3M","NYC","0b","MF")</f>
        <v>USD.OIS.1B¬2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43930</v>
      </c>
      <c r="V4" s="1">
        <f ca="1">_xll.QCurves_GetDF($D$33,valDate,U4)</f>
        <v>1</v>
      </c>
      <c r="W4" s="1">
        <f ca="1">_xll.QCurves_GetForwardRate($D$33,U4,U5,"Linear","Act365F")</f>
        <v>5.6000000000000202E-2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 s="6">
        <v>18.044499999999999</v>
      </c>
      <c r="R5" s="2">
        <f ca="1">_xll.QDates_AddPeriod(valDate,"2b","F","JHB+NYC")</f>
        <v>43936</v>
      </c>
      <c r="U5" s="2">
        <f ca="1">EDATE(U4,3)</f>
        <v>44021</v>
      </c>
      <c r="V5" s="1">
        <f ca="1">_xll.QCurves_GetDF($D$33,valDate,U5)</f>
        <v>0.98623059962820459</v>
      </c>
      <c r="W5" s="1">
        <f ca="1">_xll.QCurves_GetForwardRate($D$33,U5,U6,"Linear","Act365F")</f>
        <v>4.8250000000000098E-2</v>
      </c>
      <c r="X5" s="1">
        <f ca="1">_xll.QCurves_GetDF($D$34,valDate,U5)</f>
        <v>0.9872015405753356</v>
      </c>
      <c r="Y5" s="1">
        <f ca="1">_xll.QCurves_GetDF($D$35,valDate,U5)</f>
        <v>0.99669607488388912</v>
      </c>
    </row>
    <row r="6" spans="2:25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_xll.QIns_CreateFRA("ZAROISFra_"&amp;B6,valDate,"0x3",index,"ZAR",E6,1,"ZAR.JIBAR.3M","ZAR.OIS.1B",,,"ZAR.JIBAR.3M")</f>
        <v>ZAROISFra_3m¬2</v>
      </c>
      <c r="I6" t="s">
        <v>0</v>
      </c>
      <c r="J6" t="s">
        <v>38</v>
      </c>
      <c r="K6" s="6">
        <v>1.31138</v>
      </c>
      <c r="L6" s="1">
        <f ca="1">K6/100</f>
        <v>1.31138E-2</v>
      </c>
      <c r="M6" t="str">
        <f ca="1">_xll.QIns_CreateFRA("USDOISFra_"&amp;I6,valDate,"0x3",J2,"USD",L6,1,"USD.LIBOR.3M","USD.OIS.1B",,,"USD.LIBOR.3M")</f>
        <v>USDOISFra_3m¬2</v>
      </c>
      <c r="O6" s="2">
        <f ca="1">_xll.QDates_AddPeriod($R$5,P6,"F","JHB+NYC")</f>
        <v>43943</v>
      </c>
      <c r="P6" t="s">
        <v>57</v>
      </c>
      <c r="Q6" s="6">
        <v>152</v>
      </c>
      <c r="R6" s="5">
        <f ca="1">$Q$5+Q6/10000</f>
        <v>18.059699999999999</v>
      </c>
      <c r="S6" s="5" t="str">
        <f ca="1">_xll.QIns_CreateFxForward("ZARFwd_"&amp;P6,O6,"ZAR","USD",1000000,R6,"ZAR.DISC.[USD.OIS.1B]","ZAR.DISC.[USD.OIS.1B]")</f>
        <v>ZARFwd_1w¬2</v>
      </c>
      <c r="U6" s="2">
        <f t="shared" ref="U6:U37" ca="1" si="0">EDATE(U5,3)</f>
        <v>44113</v>
      </c>
      <c r="V6" s="1">
        <f ca="1">_xll.QCurves_GetDF($D$33,valDate,U6)</f>
        <v>0.9743805306540313</v>
      </c>
      <c r="W6" s="1">
        <f ca="1">_xll.QCurves_GetForwardRate($D$33,U6,U7,"Linear","Act365F")</f>
        <v>4.7874497519312831E-2</v>
      </c>
      <c r="X6" s="1">
        <f ca="1">_xll.QCurves_GetDF($D$34,valDate,U6)</f>
        <v>0.97631231473076319</v>
      </c>
      <c r="Y6" s="1">
        <f ca="1">_xll.QCurves_GetDF($D$35,valDate,U6)</f>
        <v>0.99397688519022931</v>
      </c>
    </row>
    <row r="7" spans="2:25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_xll.QIns_CreateFRA("ZAROISFra_"&amp;B7,valDate,B7,index,"ZAR",E7,1,"ZAR.JIBAR.3M","ZAR.OIS.1B",,,"ZAR.JIBAR.3M")</f>
        <v>ZAROISFra_3x6¬2</v>
      </c>
      <c r="I7" t="s">
        <v>39</v>
      </c>
      <c r="J7" t="str">
        <f ca="1">I7&amp;" Comdty"</f>
        <v>EDU8 Comdty</v>
      </c>
      <c r="K7" s="6">
        <v>98.655000000000001</v>
      </c>
      <c r="L7" s="4">
        <f ca="1">K7</f>
        <v>98.655000000000001</v>
      </c>
      <c r="M7" t="str">
        <f ca="1">_xll.QIns_CreateSTIRFromCode(I7,valDate,I7,$J$2,L7,1,0,"USD.LIBOR.3M","USD.LIBOR.3M")</f>
        <v>EDU8¬2</v>
      </c>
      <c r="O7" s="2">
        <f ca="1">_xll.QDates_AddPeriod($R$5,P7,"MF","JHB+NYC")</f>
        <v>43966</v>
      </c>
      <c r="P7" t="s">
        <v>58</v>
      </c>
      <c r="Q7" s="6">
        <v>670</v>
      </c>
      <c r="R7" s="5">
        <f t="shared" ref="R7:R18" ca="1" si="2">$Q$5+Q7/10000</f>
        <v>18.111499999999999</v>
      </c>
      <c r="S7" s="5" t="str">
        <f ca="1">_xll.QIns_CreateFxForward("ZARFwd_"&amp;P7,O7,"ZAR","USD",1000000,R7,"ZAR.DISC.[USD.OIS.1B]","ZAR.DISC.[USD.OIS.1B]")</f>
        <v>ZARFwd_1m¬2</v>
      </c>
      <c r="U7" s="2">
        <f t="shared" ca="1" si="0"/>
        <v>44205</v>
      </c>
      <c r="V7" s="1">
        <f ca="1">_xll.QCurves_GetDF($D$33,valDate,U7)</f>
        <v>0.96276287428967033</v>
      </c>
      <c r="W7" s="1">
        <f ca="1">_xll.QCurves_GetForwardRate($D$33,U7,U8,"Linear","Act365F")</f>
        <v>4.8952714816993363E-2</v>
      </c>
      <c r="X7" s="1">
        <f ca="1">_xll.QCurves_GetDF($D$34,valDate,U7)</f>
        <v>0.9656327019227805</v>
      </c>
      <c r="Y7" s="1">
        <f ca="1">_xll.QCurves_GetDF($D$35,valDate,U7)</f>
        <v>0.99187709636447929</v>
      </c>
    </row>
    <row r="8" spans="2:25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_xll.QIns_CreateFRA("ZAROISFra_"&amp;B8,valDate,B8,index,"ZAR",E8,1,"ZAR.JIBAR.3M","ZAR.OIS.1B",,,"ZAR.JIBAR.3M")</f>
        <v>ZAROISFra_6x9¬2</v>
      </c>
      <c r="I8" t="s">
        <v>40</v>
      </c>
      <c r="J8" t="str">
        <f t="shared" ref="J8:J11" ca="1" si="3">I8&amp;" Comdty"</f>
        <v>EDZ8 Comdty</v>
      </c>
      <c r="K8" s="6">
        <v>98.614999999999995</v>
      </c>
      <c r="L8" s="4">
        <f t="shared" ref="L8:L11" ca="1" si="4">K8</f>
        <v>98.614999999999995</v>
      </c>
      <c r="M8" t="str">
        <f ca="1">_xll.QIns_CreateSTIRFromCode(I8,valDate,I8,$J$2,L8,1,0,"USD.LIBOR.3M","USD.LIBOR.3M")</f>
        <v>EDZ8¬2</v>
      </c>
      <c r="O8" s="2">
        <f ca="1">_xll.QDates_AddPeriod($R$5,P8,"MF","JHB+NYC")</f>
        <v>43997</v>
      </c>
      <c r="P8" t="s">
        <v>59</v>
      </c>
      <c r="Q8" s="6">
        <v>1305</v>
      </c>
      <c r="R8" s="5">
        <f t="shared" ca="1" si="2"/>
        <v>18.175000000000001</v>
      </c>
      <c r="S8" s="5" t="str">
        <f ca="1">_xll.QIns_CreateFxForward("ZARFwd_"&amp;P8,O8,"ZAR","USD",1000000,R8,"ZAR.DISC.[USD.OIS.1B]","ZAR.DISC.[USD.OIS.1B]")</f>
        <v>ZARFwd_2m¬2</v>
      </c>
      <c r="U8" s="2">
        <f t="shared" ca="1" si="0"/>
        <v>44295</v>
      </c>
      <c r="V8" s="1">
        <f ca="1">_xll.QCurves_GetDF($D$33,valDate,U8)</f>
        <v>0.95128041322078005</v>
      </c>
      <c r="W8" s="1">
        <f ca="1">_xll.QCurves_GetForwardRate($D$33,U8,U9,"Linear","Act365F")</f>
        <v>5.3699999999999568E-2</v>
      </c>
      <c r="X8" s="1">
        <f ca="1">_xll.QCurves_GetDF($D$34,valDate,U8)</f>
        <v>0.95508414419060306</v>
      </c>
      <c r="Y8" s="1">
        <f ca="1">_xll.QCurves_GetDF($D$35,valDate,U8)</f>
        <v>0.99041855357294528</v>
      </c>
    </row>
    <row r="9" spans="2:25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_xll.QIns_CreateFRA("ZAROISFra_"&amp;B9,valDate,B9,index,"ZAR",E9,1,"ZAR.JIBAR.3M","ZAR.OIS.1B",,,"ZAR.JIBAR.3M")</f>
        <v>ZAROISFra_9x12¬2</v>
      </c>
      <c r="I9" t="s">
        <v>42</v>
      </c>
      <c r="J9" t="str">
        <f t="shared" ca="1" si="3"/>
        <v>EDH9 Comdty</v>
      </c>
      <c r="K9" s="6">
        <v>98.614999999999995</v>
      </c>
      <c r="L9" s="4">
        <f t="shared" ca="1" si="4"/>
        <v>98.614999999999995</v>
      </c>
      <c r="M9" t="str">
        <f ca="1">_xll.QIns_CreateSTIRFromCode(I9,valDate,I9,$J$2,L9,1,0,"USD.LIBOR.3M","USD.LIBOR.3M")</f>
        <v>EDH9¬2</v>
      </c>
      <c r="O9" s="2">
        <f ca="1">_xll.QDates_AddPeriod($R$5,P9,"MF","JHB+NYC")</f>
        <v>44027</v>
      </c>
      <c r="P9" t="s">
        <v>0</v>
      </c>
      <c r="Q9" s="6">
        <v>1951</v>
      </c>
      <c r="R9" s="5">
        <f t="shared" ca="1" si="2"/>
        <v>18.239599999999999</v>
      </c>
      <c r="S9" s="5" t="str">
        <f ca="1">_xll.QIns_CreateFxForward("ZARFwd_"&amp;P9,O9,"ZAR","USD",1000000,R9,"ZAR.DISC.[USD.OIS.1B]","ZAR.DISC.[USD.OIS.1B]")</f>
        <v>ZARFwd_3m¬2</v>
      </c>
      <c r="U9" s="2">
        <f t="shared" ca="1" si="0"/>
        <v>44386</v>
      </c>
      <c r="V9" s="1">
        <f ca="1">_xll.QCurves_GetDF($D$33,valDate,U9)</f>
        <v>0.93871272155929031</v>
      </c>
      <c r="W9" s="1">
        <f ca="1">_xll.QCurves_GetForwardRate($D$33,U9,U10,"Linear","Act365F")</f>
        <v>5.6172312479854318E-2</v>
      </c>
      <c r="X9" s="1">
        <f ca="1">_xll.QCurves_GetDF($D$34,valDate,U9)</f>
        <v>0.94327489164363509</v>
      </c>
      <c r="Y9" s="1">
        <f ca="1">_xll.QCurves_GetDF($D$35,valDate,U9)</f>
        <v>0.98954004818296748</v>
      </c>
    </row>
    <row r="10" spans="2:25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_xll.QIns_CreateFRA("ZAROISFra_"&amp;B10,valDate,B10,index,"ZAR",E10,1,"ZAR.JIBAR.3M","ZAR.OIS.1B",,,"ZAR.JIBAR.3M")</f>
        <v>ZAROISFra_12x15¬2</v>
      </c>
      <c r="I10" t="s">
        <v>41</v>
      </c>
      <c r="J10" t="str">
        <f t="shared" ca="1" si="3"/>
        <v>EDM9 Comdty</v>
      </c>
      <c r="K10" s="6">
        <v>98.605000000000004</v>
      </c>
      <c r="L10" s="4">
        <f t="shared" ca="1" si="4"/>
        <v>98.605000000000004</v>
      </c>
      <c r="M10" t="str">
        <f ca="1">_xll.QIns_CreateSTIRFromCode(I10,valDate,I10,$J$2,L10,1,0,"USD.LIBOR.3M","USD.LIBOR.3M")</f>
        <v>EDM9¬2</v>
      </c>
      <c r="O10" s="2">
        <f ca="1">_xll.QDates_AddPeriod($R$5,P10,"MF","JHB+NYC")</f>
        <v>44119</v>
      </c>
      <c r="P10" t="s">
        <v>32</v>
      </c>
      <c r="Q10" s="6">
        <v>3837</v>
      </c>
      <c r="R10" s="5">
        <f t="shared" ca="1" si="2"/>
        <v>18.4282</v>
      </c>
      <c r="S10" s="5" t="str">
        <f ca="1">_xll.QIns_CreateFxForward("ZARFwd_"&amp;P10,O10,"ZAR","USD",1000000,R10,"ZAR.DISC.[USD.OIS.1B]","ZAR.DISC.[USD.OIS.1B]")</f>
        <v>ZARFwd_6m¬2</v>
      </c>
      <c r="U10" s="2">
        <f t="shared" ca="1" si="0"/>
        <v>44478</v>
      </c>
      <c r="V10" s="1">
        <f ca="1">_xll.QCurves_GetDF($D$33,valDate,U10)</f>
        <v>0.92560750704156458</v>
      </c>
      <c r="W10" s="1">
        <f ca="1">_xll.QCurves_GetForwardRate($D$33,U10,U11,"Linear","Act365F")</f>
        <v>6.0714308999312856E-2</v>
      </c>
      <c r="X10" s="1">
        <f ca="1">_xll.QCurves_GetDF($D$34,valDate,U10)</f>
        <v>0.9311124050637537</v>
      </c>
      <c r="Y10" s="1">
        <f ca="1">_xll.QCurves_GetDF($D$35,valDate,U10)</f>
        <v>0.98925973228493413</v>
      </c>
    </row>
    <row r="11" spans="2:25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_xll.QIns_CreateFRA("ZAROISFra_"&amp;B11,valDate,B11,index,"ZAR",E11,1,"ZAR.JIBAR.3M","ZAR.OIS.1B",,,"ZAR.JIBAR.3M")</f>
        <v>ZAROISFra_15x18¬2</v>
      </c>
      <c r="I11" t="s">
        <v>43</v>
      </c>
      <c r="J11" t="str">
        <f t="shared" ca="1" si="3"/>
        <v>EDU9 Comdty</v>
      </c>
      <c r="K11" s="6">
        <v>98.594999999999999</v>
      </c>
      <c r="L11" s="4">
        <f t="shared" ca="1" si="4"/>
        <v>98.594999999999999</v>
      </c>
      <c r="M11" t="str">
        <f ca="1">_xll.QIns_CreateSTIRFromCode(I11,valDate,I11,$J$2,L11,1,0,"USD.LIBOR.3M","USD.LIBOR.3M")</f>
        <v>EDU9¬2</v>
      </c>
      <c r="O11" s="2">
        <f ca="1">_xll.QDates_AddPeriod($R$5,P11,"MF","JHB+NYC")</f>
        <v>44211</v>
      </c>
      <c r="P11" t="s">
        <v>33</v>
      </c>
      <c r="Q11" s="6">
        <v>5764</v>
      </c>
      <c r="R11" s="5">
        <f t="shared" ca="1" si="2"/>
        <v>18.620899999999999</v>
      </c>
      <c r="S11" s="5" t="str">
        <f ca="1">_xll.QIns_CreateFxForward("ZARFwd_"&amp;P11,O11,"ZAR","USD",1000000,R11,"ZAR.DISC.[USD.OIS.1B]","ZAR.DISC.[USD.OIS.1B]")</f>
        <v>ZARFwd_9m¬2</v>
      </c>
      <c r="U11" s="2">
        <f t="shared" ca="1" si="0"/>
        <v>44570</v>
      </c>
      <c r="V11" s="1">
        <f ca="1">_xll.QCurves_GetDF($D$33,valDate,U11)</f>
        <v>0.91165612999514489</v>
      </c>
      <c r="W11" s="1">
        <f ca="1">_xll.QCurves_GetForwardRate($D$33,U11,U12,"Linear","Act365F")</f>
        <v>6.3305511654691615E-2</v>
      </c>
      <c r="X11" s="1">
        <f ca="1">_xll.QCurves_GetDF($D$34,valDate,U11)</f>
        <v>0.91799187684709571</v>
      </c>
      <c r="Y11" s="1">
        <f ca="1">_xll.QCurves_GetDF($D$35,valDate,U11)</f>
        <v>0.9895900670759552</v>
      </c>
    </row>
    <row r="12" spans="2:25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_xll.QIns_CreateIRS("ZAROISSwap_"&amp;B12,valDate,B12,index,E12,1,"ZAR.JIBAR.3M","ZAR.OIS.1B","Pay","ZAR.JIBAR.3M")</f>
        <v>ZAROISSwap_2y¬2</v>
      </c>
      <c r="I12" t="s">
        <v>12</v>
      </c>
      <c r="J12" t="s">
        <v>44</v>
      </c>
      <c r="K12" s="6">
        <v>0.4677</v>
      </c>
      <c r="L12" s="1">
        <f t="shared" ref="L12:L17" ca="1" si="5">K12/100</f>
        <v>4.6769999999999997E-3</v>
      </c>
      <c r="M12" t="str">
        <f ca="1">_xll.QIns_CreateIRS("USDOISSwap_"&amp;I12,valDate,I12,$J$2,L12,1,"USD.LIBOR.3M","USD.OIS.1B","Pay","USD.LIBOR.3M")</f>
        <v>USDOISSwap_2y¬2</v>
      </c>
      <c r="O12" s="2">
        <f ca="1">_xll.QDates_AddPeriod($R$5,P12,"MF","JHB+NYC")</f>
        <v>44301</v>
      </c>
      <c r="P12" t="s">
        <v>61</v>
      </c>
      <c r="Q12" s="6">
        <v>7733</v>
      </c>
      <c r="R12" s="5">
        <f t="shared" ca="1" si="2"/>
        <v>18.817799999999998</v>
      </c>
      <c r="S12" s="5" t="str">
        <f ca="1">_xll.QIns_CreateFxForward("ZARFwd_"&amp;P12,O12,"ZAR","USD",1000000,R12,"ZAR.DISC.[USD.OIS.1B]","ZAR.DISC.[USD.OIS.1B]")</f>
        <v>ZARFwd_12m¬2</v>
      </c>
      <c r="U12" s="2">
        <f t="shared" ca="1" si="0"/>
        <v>44660</v>
      </c>
      <c r="V12" s="1">
        <f ca="1">_xll.QCurves_GetDF($D$33,valDate,U12)</f>
        <v>0.89764428137467944</v>
      </c>
      <c r="W12" s="1">
        <f ca="1">_xll.QCurves_GetForwardRate($D$33,U12,U13,"Linear","Act365F")</f>
        <v>6.6022872672555147E-2</v>
      </c>
      <c r="X12" s="1">
        <f ca="1">_xll.QCurves_GetDF($D$34,valDate,U12)</f>
        <v>0.90476115186497996</v>
      </c>
      <c r="Y12" s="1">
        <f ca="1">_xll.QCurves_GetDF($D$35,valDate,U12)</f>
        <v>0.99050468498643585</v>
      </c>
    </row>
    <row r="13" spans="2:25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_xll.QIns_CreateIRS("ZAROISSwap_"&amp;B13,valDate,B13,index,E13,1,"ZAR.JIBAR.3M","ZAR.OIS.1B","Pay","ZAR.JIBAR.3M")</f>
        <v>ZAROISSwap_3y¬2</v>
      </c>
      <c r="I13" t="s">
        <v>13</v>
      </c>
      <c r="J13" t="s">
        <v>45</v>
      </c>
      <c r="K13" s="6">
        <v>0.47160000000000002</v>
      </c>
      <c r="L13" s="1">
        <f t="shared" ca="1" si="5"/>
        <v>4.7160000000000006E-3</v>
      </c>
      <c r="M13" t="str">
        <f ca="1">_xll.QIns_CreateIRS("USDOISSwap_"&amp;I13,valDate,I13,$J$2,L13,1,"USD.LIBOR.3M","USD.OIS.1B","Pay","USD.LIBOR.3M")</f>
        <v>USDOISSwap_3y¬2</v>
      </c>
      <c r="O13" s="2">
        <f ca="1">_xll.QDates_AddPeriod($R$5,P13,"MF","JHB+NYC")</f>
        <v>44392</v>
      </c>
      <c r="P13" t="s">
        <v>60</v>
      </c>
      <c r="Q13" s="6">
        <v>9880</v>
      </c>
      <c r="R13" s="5">
        <f t="shared" ca="1" si="2"/>
        <v>19.032499999999999</v>
      </c>
      <c r="S13" s="5" t="str">
        <f ca="1">_xll.QIns_CreateFxForward("ZARFwd_"&amp;P13,O13,"ZAR","USD",1000000,R13,"ZAR.DISC.[USD.OIS.1B]","ZAR.DISC.[USD.OIS.1B]")</f>
        <v>ZARFwd_15m¬2</v>
      </c>
      <c r="U13" s="2">
        <f t="shared" ca="1" si="0"/>
        <v>44751</v>
      </c>
      <c r="V13" s="1">
        <f ca="1">_xll.QCurves_GetDF($D$33,valDate,U13)</f>
        <v>0.88310788663618245</v>
      </c>
      <c r="W13" s="1">
        <f ca="1">_xll.QCurves_GetForwardRate($D$33,U13,U14,"Linear","Act365F")</f>
        <v>6.8638838016895798E-2</v>
      </c>
      <c r="X13" s="1">
        <f ca="1">_xll.QCurves_GetDF($D$34,valDate,U13)</f>
        <v>0.89061526662429957</v>
      </c>
      <c r="Y13" s="1">
        <f ca="1">_xll.QCurves_GetDF($D$35,valDate,U13)</f>
        <v>0.98936595621968537</v>
      </c>
    </row>
    <row r="14" spans="2:25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_xll.QIns_CreateIRS("ZAROISSwap_"&amp;B14,valDate,B14,index,E14,1,"ZAR.JIBAR.3M","ZAR.OIS.1B","Pay","ZAR.JIBAR.3M")</f>
        <v>ZAROISSwap_4y¬2</v>
      </c>
      <c r="I14" t="s">
        <v>14</v>
      </c>
      <c r="J14" t="s">
        <v>48</v>
      </c>
      <c r="K14" s="6">
        <v>0.51839999999999997</v>
      </c>
      <c r="L14" s="1">
        <f t="shared" ca="1" si="5"/>
        <v>5.1839999999999994E-3</v>
      </c>
      <c r="M14" t="str">
        <f ca="1">_xll.QIns_CreateIRS("USDOISSwap_"&amp;I14,valDate,I14,$J$2,L14,1,"USD.LIBOR.3M","USD.OIS.1B","Pay","USD.LIBOR.3M")</f>
        <v>USDOISSwap_4y¬2</v>
      </c>
      <c r="O14" s="2">
        <f ca="1">_xll.QDates_AddPeriod($R$5,P14,"MF","JHB+NYC")</f>
        <v>44484</v>
      </c>
      <c r="P14" t="s">
        <v>35</v>
      </c>
      <c r="Q14" s="6">
        <v>12389</v>
      </c>
      <c r="R14" s="5">
        <f t="shared" ca="1" si="2"/>
        <v>19.2834</v>
      </c>
      <c r="S14" s="5" t="str">
        <f ca="1">_xll.QIns_CreateFxForward("ZARFwd_"&amp;P14,O14,"ZAR","USD",1000000,R14,"ZAR.DISC.[USD.OIS.1B]","ZAR.DISC.[USD.OIS.1B]")</f>
        <v>ZARFwd_18m¬2</v>
      </c>
      <c r="U14" s="2">
        <f t="shared" ca="1" si="0"/>
        <v>44843</v>
      </c>
      <c r="V14" s="1">
        <f ca="1">_xll.QCurves_GetDF($D$33,valDate,U14)</f>
        <v>0.86808929236306109</v>
      </c>
      <c r="W14" s="1">
        <f ca="1">_xll.QCurves_GetForwardRate($D$33,U14,U15,"Linear","Act365F")</f>
        <v>7.126129505508913E-2</v>
      </c>
      <c r="X14" s="1">
        <f ca="1">_xll.QCurves_GetDF($D$34,valDate,U14)</f>
        <v>0.87588056205160736</v>
      </c>
      <c r="Y14" s="1">
        <f ca="1">_xll.QCurves_GetDF($D$35,valDate,U14)</f>
        <v>0.98815770009348602</v>
      </c>
    </row>
    <row r="15" spans="2:25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_xll.QIns_CreateIRS("ZAROISSwap_"&amp;B15,valDate,B15,index,E15,1,"ZAR.JIBAR.3M","ZAR.OIS.1B","Pay","ZAR.JIBAR.3M")</f>
        <v>ZAROISSwap_5y¬2</v>
      </c>
      <c r="I15" t="s">
        <v>15</v>
      </c>
      <c r="J15" t="s">
        <v>46</v>
      </c>
      <c r="K15" s="6">
        <v>0.57820000000000005</v>
      </c>
      <c r="L15" s="1">
        <f t="shared" ca="1" si="5"/>
        <v>5.7820000000000007E-3</v>
      </c>
      <c r="M15" t="str">
        <f ca="1">_xll.QIns_CreateIRS("USDOISSwap_"&amp;I15,valDate,I15,$J$2,L15,1,"USD.LIBOR.3M","USD.OIS.1B","Pay","USD.LIBOR.3M")</f>
        <v>USDOISSwap_5y¬2</v>
      </c>
      <c r="O15" s="2">
        <f ca="1">_xll.QDates_AddPeriod($R$5,P15,"MF","JHB+NYC")</f>
        <v>44670</v>
      </c>
      <c r="P15" t="s">
        <v>12</v>
      </c>
      <c r="Q15" s="6">
        <v>18364</v>
      </c>
      <c r="R15" s="5">
        <f t="shared" ca="1" si="2"/>
        <v>19.8809</v>
      </c>
      <c r="S15" s="5" t="str">
        <f ca="1">_xll.QIns_CreateFxForward("ZARFwd_"&amp;P15,O15,"ZAR","USD",1000000,R15,"ZAR.DISC.[USD.OIS.1B]","ZAR.DISC.[USD.OIS.1B]")</f>
        <v>ZARFwd_2y¬2</v>
      </c>
      <c r="U15" s="2">
        <f t="shared" ca="1" si="0"/>
        <v>44935</v>
      </c>
      <c r="V15" s="1">
        <f ca="1">_xll.QCurves_GetDF($D$33,valDate,U15)</f>
        <v>0.85277201372255773</v>
      </c>
      <c r="W15" s="1">
        <f ca="1">_xll.QCurves_GetForwardRate($D$33,U15,U16,"Linear","Act365F")</f>
        <v>7.3842072502186704E-2</v>
      </c>
      <c r="X15" s="1">
        <f ca="1">_xll.QCurves_GetDF($D$34,valDate,U15)</f>
        <v>0.86074727431237563</v>
      </c>
      <c r="Y15" s="1">
        <f ca="1">_xll.QCurves_GetDF($D$35,valDate,U15)</f>
        <v>0.98694615116806661</v>
      </c>
    </row>
    <row r="16" spans="2:25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_xll.QIns_CreateIRS("ZAROISSwap_"&amp;B16,valDate,B16,index,E16,1,"ZAR.JIBAR.3M","ZAR.OIS.1B","Pay","ZAR.JIBAR.3M")</f>
        <v>ZAROISSwap_7y¬2</v>
      </c>
      <c r="I16" t="s">
        <v>16</v>
      </c>
      <c r="J16" t="s">
        <v>49</v>
      </c>
      <c r="K16" s="6">
        <v>0.69269999999999998</v>
      </c>
      <c r="L16" s="1">
        <f t="shared" ca="1" si="5"/>
        <v>6.927E-3</v>
      </c>
      <c r="M16" t="str">
        <f ca="1">_xll.QIns_CreateIRS("USDOISSwap_"&amp;I16,valDate,I16,$J$2,L16,1,"USD.LIBOR.3M","USD.OIS.1B","Pay","USD.LIBOR.3M")</f>
        <v>USDOISSwap_7y¬2</v>
      </c>
      <c r="O16" s="2">
        <f ca="1">_xll.QDates_AddPeriod($R$5,P16,"MF","JHB+NYC")</f>
        <v>45033</v>
      </c>
      <c r="P16" t="s">
        <v>13</v>
      </c>
      <c r="Q16" s="6">
        <v>30940</v>
      </c>
      <c r="R16" s="5">
        <f t="shared" ca="1" si="2"/>
        <v>21.138500000000001</v>
      </c>
      <c r="S16" s="5" t="str">
        <f ca="1">_xll.QIns_CreateFxForward("ZARFwd_"&amp;P16,O16,"ZAR","USD",1000000,R16,"ZAR.DISC.[USD.OIS.1B]","ZAR.DISC.[USD.OIS.1B]")</f>
        <v>ZARFwd_3y¬2</v>
      </c>
      <c r="U16" s="2">
        <f t="shared" ca="1" si="0"/>
        <v>45025</v>
      </c>
      <c r="V16" s="1">
        <f ca="1">_xll.QCurves_GetDF($D$33,valDate,U16)</f>
        <v>0.83752270655066519</v>
      </c>
      <c r="W16" s="1">
        <f ca="1">_xll.QCurves_GetForwardRate($D$33,U16,U17,"Linear","Act365F")</f>
        <v>7.857175418754106E-2</v>
      </c>
      <c r="X16" s="1">
        <f ca="1">_xll.QCurves_GetDF($D$34,valDate,U16)</f>
        <v>0.84558539907893437</v>
      </c>
      <c r="Y16" s="1">
        <f ca="1">_xll.QCurves_GetDF($D$35,valDate,U16)</f>
        <v>0.98575776917644486</v>
      </c>
    </row>
    <row r="17" spans="2:25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_xll.QIns_CreateIRS("ZAROISSwap_"&amp;B17,valDate,B17,index,E17,1,"ZAR.JIBAR.3M","ZAR.OIS.1B","Pay","ZAR.JIBAR.3M")</f>
        <v>ZAROISSwap_10y¬2</v>
      </c>
      <c r="I17" t="s">
        <v>17</v>
      </c>
      <c r="J17" t="s">
        <v>47</v>
      </c>
      <c r="K17" s="6">
        <v>0.8155</v>
      </c>
      <c r="L17" s="1">
        <f t="shared" ca="1" si="5"/>
        <v>8.1550000000000008E-3</v>
      </c>
      <c r="M17" t="str">
        <f ca="1">_xll.QIns_CreateIRS("USDOISSwap_"&amp;I17,valDate,I17,$J$2,L17,1,"USD.LIBOR.3M","USD.OIS.1B","Pay","USD.LIBOR.3M")</f>
        <v>USDOISSwap_10y¬2</v>
      </c>
      <c r="O17" s="2">
        <f ca="1">_xll.QDates_AddPeriod($R$5,P17,"MF","JHB+NYC")</f>
        <v>45397</v>
      </c>
      <c r="P17" t="s">
        <v>14</v>
      </c>
      <c r="Q17" s="6">
        <v>46326</v>
      </c>
      <c r="R17" s="5">
        <f t="shared" ca="1" si="2"/>
        <v>22.677099999999999</v>
      </c>
      <c r="S17" s="5" t="str">
        <f ca="1">_xll.QIns_CreateFxForward("ZARFwd_"&amp;P17,O17,"ZAR","USD",1000000,R17,"ZAR.DISC.[USD.OIS.1B]","ZAR.DISC.[USD.OIS.1B]")</f>
        <v>ZARFwd_4y¬2</v>
      </c>
      <c r="U17" s="2">
        <f t="shared" ca="1" si="0"/>
        <v>45116</v>
      </c>
      <c r="V17" s="1">
        <f ca="1">_xll.QCurves_GetDF($D$33,valDate,U17)</f>
        <v>0.82143158283245765</v>
      </c>
      <c r="W17" s="1">
        <f ca="1">_xll.QCurves_GetForwardRate($D$33,U17,U18,"Linear","Act365F")</f>
        <v>8.1577207989190395E-2</v>
      </c>
      <c r="X17" s="1">
        <f ca="1">_xll.QCurves_GetDF($D$34,valDate,U17)</f>
        <v>0.82992395098678051</v>
      </c>
      <c r="Y17" s="1">
        <f ca="1">_xll.QCurves_GetDF($D$35,valDate,U17)</f>
        <v>0.98420963731310829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ZAROISBasis_3m¬2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USDOISBasis_3m¬2</v>
      </c>
      <c r="O18" s="2">
        <f ca="1">_xll.QDates_AddPeriod($R$5,P18,"MF","JHB+NYC")</f>
        <v>45762</v>
      </c>
      <c r="P18" t="s">
        <v>15</v>
      </c>
      <c r="Q18" s="6">
        <v>66676</v>
      </c>
      <c r="R18" s="5">
        <f t="shared" ca="1" si="2"/>
        <v>24.7121</v>
      </c>
      <c r="S18" s="5" t="str">
        <f ca="1">_xll.QIns_CreateFxForward("ZARFwd_"&amp;P18,O18,"ZAR","USD",1000000,R18,"ZAR.DISC.[USD.OIS.1B]","ZAR.DISC.[USD.OIS.1B]")</f>
        <v>ZARFwd_5y¬2</v>
      </c>
      <c r="U18" s="2">
        <f t="shared" ca="1" si="0"/>
        <v>45208</v>
      </c>
      <c r="V18" s="1">
        <f ca="1">_xll.QCurves_GetDF($D$33,valDate,U18)</f>
        <v>0.80488166527260585</v>
      </c>
      <c r="W18" s="1">
        <f ca="1">_xll.QCurves_GetForwardRate($D$33,U18,U19,"Linear","Act365F")</f>
        <v>8.4548149616066187E-2</v>
      </c>
      <c r="X18" s="1">
        <f ca="1">_xll.QCurves_GetDF($D$34,valDate,U18)</f>
        <v>0.81378124182284473</v>
      </c>
      <c r="Y18" s="1">
        <f ca="1">_xll.QCurves_GetDF($D$35,valDate,U18)</f>
        <v>0.98258462547215442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ZAROISBasis_6m¬2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USDOISBasis_6m¬2</v>
      </c>
      <c r="R19" s="5"/>
      <c r="S19" s="5"/>
      <c r="U19" s="2">
        <f t="shared" ca="1" si="0"/>
        <v>45300</v>
      </c>
      <c r="V19" s="1">
        <f ca="1">_xll.QCurves_GetDF($D$33,valDate,U19)</f>
        <v>0.78808692876880038</v>
      </c>
      <c r="W19" s="1">
        <f ca="1">_xll.QCurves_GetForwardRate($D$33,U19,U20,"Linear","Act365F")</f>
        <v>8.7494694879952345E-2</v>
      </c>
      <c r="X19" s="1">
        <f ca="1">_xll.QCurves_GetDF($D$34,valDate,U19)</f>
        <v>0.79735746824190035</v>
      </c>
      <c r="Y19" s="1">
        <f ca="1">_xll.QCurves_GetDF($D$35,valDate,U19)</f>
        <v>0.98090329240969876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ZAROISBasis_9m¬2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USDOISBasis_9m¬2</v>
      </c>
      <c r="U20" s="2">
        <f t="shared" ca="1" si="0"/>
        <v>45391</v>
      </c>
      <c r="V20" s="1">
        <f ca="1">_xll.QCurves_GetDF($D$33,valDate,U20)</f>
        <v>0.77126279810975573</v>
      </c>
      <c r="W20" s="1">
        <f ca="1">_xll.QCurves_GetForwardRate($D$33,U20,U21,"Linear","Act365F")</f>
        <v>9.4941632972784462E-2</v>
      </c>
      <c r="X20" s="1">
        <f ca="1">_xll.QCurves_GetDF($D$34,valDate,U20)</f>
        <v>0.78086504341135521</v>
      </c>
      <c r="Y20" s="1">
        <f ca="1">_xll.QCurves_GetDF($D$35,valDate,U20)</f>
        <v>0.97918512096307153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ZAROISBasis_1y¬2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USDOISBasis_1y¬2</v>
      </c>
      <c r="U21" s="2">
        <f t="shared" ca="1" si="0"/>
        <v>45482</v>
      </c>
      <c r="V21" s="1">
        <f ca="1">_xll.QCurves_GetDF($D$33,valDate,U21)</f>
        <v>0.75342885110644131</v>
      </c>
      <c r="W21" s="1">
        <f ca="1">_xll.QCurves_GetForwardRate($D$33,U21,U22,"Linear","Act365F")</f>
        <v>9.8450448476763722E-2</v>
      </c>
      <c r="X21" s="1">
        <f ca="1">_xll.QCurves_GetDF($D$34,valDate,U21)</f>
        <v>0.76415580420091456</v>
      </c>
      <c r="Y21" s="1">
        <f ca="1">_xll.QCurves_GetDF($D$35,valDate,U21)</f>
        <v>0.97727287478823477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ZAROISBasis_18m¬2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USDOISBasis_18m¬2</v>
      </c>
      <c r="U22" s="2">
        <f t="shared" ca="1" si="0"/>
        <v>45574</v>
      </c>
      <c r="V22" s="1">
        <f ca="1">_xll.QCurves_GetDF($D$33,valDate,U22)</f>
        <v>0.73518529594711146</v>
      </c>
      <c r="W22" s="1">
        <f ca="1">_xll.QCurves_GetForwardRate($D$33,U22,U23,"Linear","Act365F")</f>
        <v>0.10196915259017414</v>
      </c>
      <c r="X22" s="1">
        <f ca="1">_xll.QCurves_GetDF($D$34,valDate,U22)</f>
        <v>0.74707188897943855</v>
      </c>
      <c r="Y22" s="1">
        <f ca="1">_xll.QCurves_GetDF($D$35,valDate,U22)</f>
        <v>0.97526846197147277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ZAROISBasis_2y¬2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USDOISBasis_2y¬2</v>
      </c>
      <c r="U23" s="2">
        <f t="shared" ca="1" si="0"/>
        <v>45666</v>
      </c>
      <c r="V23" s="1">
        <f ca="1">_xll.QCurves_GetDF($D$33,valDate,U23)</f>
        <v>0.71676318209954837</v>
      </c>
      <c r="W23" s="1">
        <f ca="1">_xll.QCurves_GetForwardRate($D$33,U23,U24,"Linear","Act365F")</f>
        <v>0.10542241134319731</v>
      </c>
      <c r="X23" s="1">
        <f ca="1">_xll.QCurves_GetDF($D$34,valDate,U23)</f>
        <v>0.72982525635703765</v>
      </c>
      <c r="Y23" s="1">
        <f ca="1">_xll.QCurves_GetDF($D$35,valDate,U23)</f>
        <v>0.97319296193923055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ZAROISBasis_5y¬2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USDOISBasis_5y¬2</v>
      </c>
      <c r="U24" s="2">
        <f t="shared" ca="1" si="0"/>
        <v>45756</v>
      </c>
      <c r="V24" s="1">
        <f ca="1">_xll.QCurves_GetDF($D$33,valDate,U24)</f>
        <v>0.69860329189583359</v>
      </c>
      <c r="W24" s="1">
        <f ca="1">_xll.QCurves_GetForwardRate($D$33,U24,U25,"Linear","Act365F")</f>
        <v>0.10491977430031936</v>
      </c>
      <c r="X24" s="1">
        <f ca="1">_xll.QCurves_GetDF($D$34,valDate,U24)</f>
        <v>0.7128241353515089</v>
      </c>
      <c r="Y24" s="1">
        <f ca="1">_xll.QCurves_GetDF($D$35,valDate,U24)</f>
        <v>0.97109424852837223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ZAROISBasis_10y¬2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USDOISBasis_10y¬2</v>
      </c>
      <c r="U25" s="2">
        <f t="shared" ca="1" si="0"/>
        <v>45847</v>
      </c>
      <c r="V25" s="1">
        <f ca="1">_xll.QCurves_GetDF($D$33,valDate,U25)</f>
        <v>0.68079500130077886</v>
      </c>
      <c r="W25" s="1">
        <f ca="1">_xll.QCurves_GetForwardRate($D$33,U25,U26,"Linear","Act365F")</f>
        <v>0.1080593266864182</v>
      </c>
      <c r="X25" s="1">
        <f ca="1">_xll.QCurves_GetDF($D$34,valDate,U25)</f>
        <v>0.69644975390208053</v>
      </c>
      <c r="Y25" s="1">
        <f ca="1">_xll.QCurves_GetDF($D$35,valDate,U25)</f>
        <v>0.9689422053326282</v>
      </c>
    </row>
    <row r="26" spans="2:25" x14ac:dyDescent="0.25">
      <c r="U26" s="2">
        <f t="shared" ca="1" si="0"/>
        <v>45939</v>
      </c>
      <c r="V26" s="1">
        <f ca="1">_xll.QCurves_GetDF($D$33,valDate,U26)</f>
        <v>0.66274393011570798</v>
      </c>
      <c r="W26" s="1">
        <f ca="1">_xll.QCurves_GetForwardRate($D$33,U26,U27,"Linear","Act365F")</f>
        <v>0.11120341922427235</v>
      </c>
      <c r="X26" s="1">
        <f ca="1">_xll.QCurves_GetDF($D$34,valDate,U26)</f>
        <v>0.67985976179011709</v>
      </c>
      <c r="Y26" s="1">
        <f ca="1">_xll.QCurves_GetDF($D$35,valDate,U26)</f>
        <v>0.96670075236166508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FundingInstruments_ZAR¬2</v>
      </c>
      <c r="G27" t="s">
        <v>53</v>
      </c>
      <c r="H27">
        <v>0</v>
      </c>
      <c r="J27" t="str">
        <f ca="1">_xll.QIns_CreateFxPair("USDZAR","ZAR","USD","NYC+JHB","2b")</f>
        <v>USDZAR¬2</v>
      </c>
      <c r="L27" t="s">
        <v>63</v>
      </c>
      <c r="M27">
        <f ca="1">1/Q5</f>
        <v>5.5418548588212477E-2</v>
      </c>
      <c r="U27" s="2">
        <f t="shared" ca="1" si="0"/>
        <v>46031</v>
      </c>
      <c r="V27" s="1">
        <f ca="1">_xll.QCurves_GetDF($D$33,valDate,U27)</f>
        <v>0.64467413007574426</v>
      </c>
      <c r="W27" s="1">
        <f ca="1">_xll.QCurves_GetForwardRate($D$33,U27,U28,"Linear","Act365F")</f>
        <v>0.11428026635733614</v>
      </c>
      <c r="X27" s="1">
        <f ca="1">_xll.QCurves_GetDF($D$34,valDate,U27)</f>
        <v>0.66325493574990402</v>
      </c>
      <c r="Y27" s="1">
        <f ca="1">_xll.QCurves_GetDF($D$35,valDate,U27)</f>
        <v>0.96439365916425557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FundingInstruments_USD¬2</v>
      </c>
      <c r="G28" t="s">
        <v>54</v>
      </c>
      <c r="H28">
        <v>0</v>
      </c>
      <c r="J28" t="str">
        <f ca="1">_xll.QIns_CreateFxMatrix("fxMatrix","USD",valDate,L27:M27,J27,L29:M30)</f>
        <v>fxMatrix¬2</v>
      </c>
      <c r="U28" s="2">
        <f t="shared" ca="1" si="0"/>
        <v>46121</v>
      </c>
      <c r="V28" s="1">
        <f ca="1">_xll.QCurves_GetDF($D$33,valDate,U28)</f>
        <v>0.62700592095547669</v>
      </c>
      <c r="W28" s="1">
        <f ca="1">_xll.QCurves_GetForwardRate($D$33,U28,U29,"Linear","Act365F")</f>
        <v>0.11739458242899767</v>
      </c>
      <c r="X28" s="1">
        <f ca="1">_xll.QCurves_GetDF($D$34,valDate,U28)</f>
        <v>0.64701654978952006</v>
      </c>
      <c r="Y28" s="1">
        <f ca="1">_xll.QCurves_GetDF($D$35,valDate,U28)</f>
        <v>0.96207368039716601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FundingInstruments_XCY¬2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46212</v>
      </c>
      <c r="V29" s="1">
        <f ca="1">_xll.QCurves_GetDF($D$33,valDate,U29)</f>
        <v>0.60917640085263758</v>
      </c>
      <c r="W29" s="1">
        <f ca="1">_xll.QCurves_GetForwardRate($D$33,U29,U30,"Linear","Act365F")</f>
        <v>0.12054745722348974</v>
      </c>
      <c r="X29" s="1">
        <f ca="1">_xll.QCurves_GetDF($D$34,valDate,U29)</f>
        <v>0.63062259340956817</v>
      </c>
      <c r="Y29" s="1">
        <f ca="1">_xll.QCurves_GetDF($D$35,valDate,U29)</f>
        <v>0.95966502305936319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FundingInstrumentsComplex¬2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46304</v>
      </c>
      <c r="V30" s="1">
        <f ca="1">_xll.QCurves_GetDF($D$33,valDate,U30)</f>
        <v>0.59121266156826624</v>
      </c>
      <c r="W30" s="1">
        <f ca="1">_xll.QCurves_GetForwardRate($D$33,U30,U31,"Linear","Act365F")</f>
        <v>0.12370118399362764</v>
      </c>
      <c r="X30" s="1">
        <f ca="1">_xll.QCurves_GetDF($D$34,valDate,U30)</f>
        <v>0.61409313718099956</v>
      </c>
      <c r="Y30" s="1">
        <f ca="1">_xll.QCurves_GetDF($D$35,valDate,U30)</f>
        <v>0.95716611447307476</v>
      </c>
    </row>
    <row r="31" spans="2:25" x14ac:dyDescent="0.25">
      <c r="G31" t="s">
        <v>65</v>
      </c>
      <c r="H31">
        <v>2</v>
      </c>
      <c r="U31" s="2">
        <f t="shared" ca="1" si="0"/>
        <v>46396</v>
      </c>
      <c r="V31" s="1">
        <f ca="1">_xll.QCurves_GetDF($D$33,valDate,U31)</f>
        <v>0.57333633478356749</v>
      </c>
      <c r="W31" s="1">
        <f ca="1">_xll.QCurves_GetForwardRate($D$33,U31,U32,"Linear","Act365F")</f>
        <v>0.12677943077668374</v>
      </c>
      <c r="X31" s="1">
        <f ca="1">_xll.QCurves_GetDF($D$34,valDate,U31)</f>
        <v>0.59762748966727686</v>
      </c>
      <c r="Y31" s="1">
        <f ca="1">_xll.QCurves_GetDF($D$35,valDate,U31)</f>
        <v>0.95460360649813214</v>
      </c>
    </row>
    <row r="32" spans="2:25" x14ac:dyDescent="0.25">
      <c r="B32" t="s">
        <v>27</v>
      </c>
      <c r="C32" t="str">
        <f ca="1">_xll.QCurves_CreateFundingModel("ModelComplex",valDate,C30,G27:H31,J28)</f>
        <v>ModelComplex¬2</v>
      </c>
      <c r="U32" s="2">
        <f t="shared" ca="1" si="0"/>
        <v>46486</v>
      </c>
      <c r="V32" s="1">
        <f ca="1">_xll.QCurves_GetDF($D$33,valDate,U32)</f>
        <v>0.55595674792479344</v>
      </c>
      <c r="W32" s="1">
        <f ca="1">_xll.QCurves_GetForwardRate($D$33,U32,U33,"Linear","Act365F")</f>
        <v>0.11324381779953492</v>
      </c>
      <c r="X32" s="1">
        <f ca="1">_xll.QCurves_GetDF($D$34,valDate,U32)</f>
        <v>0.58159917600275446</v>
      </c>
      <c r="Y32" s="1">
        <f ca="1">_xll.QCurves_GetDF($D$35,valDate,U32)</f>
        <v>0.95203578923972831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curve.complex.ZAR.JIBAR.3M¬2</v>
      </c>
      <c r="U33" s="2">
        <f t="shared" ca="1" si="0"/>
        <v>46577</v>
      </c>
      <c r="V33" s="1">
        <f ca="1">_xll.QCurves_GetDF($D$33,valDate,U33)</f>
        <v>0.54069120223907352</v>
      </c>
      <c r="W33" s="1">
        <f ca="1">_xll.QCurves_GetForwardRate($D$33,U33,U34,"Linear","Act365F")</f>
        <v>0.11524144192979881</v>
      </c>
      <c r="X33" s="1">
        <f ca="1">_xll.QCurves_GetDF($D$34,valDate,U33)</f>
        <v>0.56548965287335351</v>
      </c>
      <c r="Y33" s="1">
        <f ca="1">_xll.QCurves_GetDF($D$35,valDate,U33)</f>
        <v>0.94925613949209153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curve.complex.ZAR.OIS.1B¬2</v>
      </c>
      <c r="U34" s="2">
        <f t="shared" ca="1" si="0"/>
        <v>46669</v>
      </c>
      <c r="V34" s="1">
        <f ca="1">_xll.QCurves_GetDF($D$33,valDate,U34)</f>
        <v>0.5254289835539373</v>
      </c>
      <c r="W34" s="1">
        <f ca="1">_xll.QCurves_GetForwardRate($D$33,U34,U35,"Linear","Act365F")</f>
        <v>0.11723344966439958</v>
      </c>
      <c r="X34" s="1">
        <f ca="1">_xll.QCurves_GetDF($D$34,valDate,U34)</f>
        <v>0.54931891008299771</v>
      </c>
      <c r="Y34" s="1">
        <f ca="1">_xll.QCurves_GetDF($D$35,valDate,U34)</f>
        <v>0.94637653450372528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curve.complex.USD.LIBOR.3M¬2</v>
      </c>
      <c r="U35" s="2">
        <f t="shared" ca="1" si="0"/>
        <v>46761</v>
      </c>
      <c r="V35" s="1">
        <f ca="1">_xll.QCurves_GetDF($D$33,valDate,U35)</f>
        <v>0.51034856466474043</v>
      </c>
      <c r="W35" s="1">
        <f ca="1">_xll.QCurves_GetForwardRate($D$33,U35,U36,"Linear","Act365F")</f>
        <v>0.11919632052293011</v>
      </c>
      <c r="X35" s="1">
        <f ca="1">_xll.QCurves_GetDF($D$34,valDate,U35)</f>
        <v>0.53328091430168234</v>
      </c>
      <c r="Y35" s="1">
        <f ca="1">_xll.QCurves_GetDF($D$35,valDate,U35)</f>
        <v>0.94342782428126781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curve.complex.USD.OIS.1B¬2</v>
      </c>
      <c r="U36" s="2">
        <f t="shared" ca="1" si="0"/>
        <v>46852</v>
      </c>
      <c r="V36" s="1">
        <f ca="1">_xll.QCurves_GetDF($D$33,valDate,U36)</f>
        <v>0.49562000741863571</v>
      </c>
      <c r="W36" s="1">
        <f ca="1">_xll.QCurves_GetForwardRate($D$33,U36,U37,"Linear","Act365F")</f>
        <v>0.12116794901357843</v>
      </c>
      <c r="X36" s="1">
        <f ca="1">_xll.QCurves_GetDF($D$34,valDate,U36)</f>
        <v>0.51756317891717318</v>
      </c>
      <c r="Y36" s="1">
        <f ca="1">_xll.QCurves_GetDF($D$35,valDate,U36)</f>
        <v>0.94044386983374129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curve.complex.ZAR.DISC.[USD.OIS.1B]¬2</v>
      </c>
      <c r="U37" s="2">
        <f t="shared" ca="1" si="0"/>
        <v>46943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107-E78D-42F6-9C95-7C92D15AD2A8}">
  <dimension ref="A1:S40"/>
  <sheetViews>
    <sheetView tabSelected="1" workbookViewId="0">
      <selection activeCell="G26" sqref="G26"/>
    </sheetView>
  </sheetViews>
  <sheetFormatPr defaultRowHeight="15" x14ac:dyDescent="0.25"/>
  <cols>
    <col min="1" max="1" width="15.42578125" bestFit="1" customWidth="1"/>
    <col min="2" max="2" width="15.28515625" customWidth="1"/>
    <col min="3" max="3" width="12.85546875" bestFit="1" customWidth="1"/>
    <col min="5" max="5" width="13.7109375" bestFit="1" customWidth="1"/>
    <col min="10" max="10" width="9.5703125" bestFit="1" customWidth="1"/>
    <col min="11" max="11" width="8.140625" bestFit="1" customWidth="1"/>
    <col min="15" max="15" width="11.140625" bestFit="1" customWidth="1"/>
    <col min="17" max="17" width="11.85546875" bestFit="1" customWidth="1"/>
    <col min="18" max="18" width="11.5703125" customWidth="1"/>
    <col min="19" max="19" width="13.28515625" bestFit="1" customWidth="1"/>
  </cols>
  <sheetData>
    <row r="1" spans="1:13" x14ac:dyDescent="0.25">
      <c r="A1" s="8" t="s">
        <v>66</v>
      </c>
      <c r="K1" s="18" t="s">
        <v>86</v>
      </c>
      <c r="L1" s="18"/>
    </row>
    <row r="2" spans="1:13" x14ac:dyDescent="0.25">
      <c r="A2" s="16" t="s">
        <v>74</v>
      </c>
      <c r="B2" t="str" cm="1">
        <f t="array" aca="1" ref="B2" ca="1">_xll.QIns_CreateInflationIndex(B3,B4,"Linear",B6,B7,"1y","USD",B5,"P")</f>
        <v>USD.CPI¬30</v>
      </c>
      <c r="J2" s="14" t="s">
        <v>88</v>
      </c>
      <c r="K2" s="14" t="s">
        <v>36</v>
      </c>
      <c r="L2" s="14" t="s">
        <v>30</v>
      </c>
      <c r="M2" s="14" t="s">
        <v>79</v>
      </c>
    </row>
    <row r="3" spans="1:13" x14ac:dyDescent="0.25">
      <c r="A3" s="16" t="s">
        <v>67</v>
      </c>
      <c r="B3" t="s">
        <v>77</v>
      </c>
      <c r="J3" s="2">
        <f ca="1">valDate</f>
        <v>43930</v>
      </c>
      <c r="K3" s="1">
        <f ca="1">_xll.QCurves_GetDF($B$28,valDate,J3)</f>
        <v>1</v>
      </c>
      <c r="L3" s="1">
        <f ca="1">_xll.QCurves_GetForwardRate($B$28,J3,J4,"Linear","Act365F")</f>
        <v>1.329593611111116E-2</v>
      </c>
      <c r="M3" cm="1">
        <f t="array" aca="1" ref="M3" ca="1">_xll.QCurves_GetCpiForecast($B$30,J3,3)</f>
        <v>100.05308829634575</v>
      </c>
    </row>
    <row r="4" spans="1:13" x14ac:dyDescent="0.25">
      <c r="A4" s="16" t="s">
        <v>70</v>
      </c>
      <c r="B4" t="s">
        <v>64</v>
      </c>
      <c r="J4" s="2">
        <f ca="1">EDATE(J3,3)</f>
        <v>44021</v>
      </c>
      <c r="K4" s="1">
        <f ca="1">_xll.QCurves_GetDF($B$28,valDate,J4)</f>
        <v>0.99669607488388912</v>
      </c>
      <c r="L4" s="1">
        <f ca="1">_xll.QCurves_GetForwardRate($B$28,J4,J5,"Linear","Act365F")</f>
        <v>1.0853461188319216E-2</v>
      </c>
      <c r="M4" cm="1">
        <f t="array" aca="1" ref="M4" ca="1">_xll.QCurves_GetCpiForecast($B$30,J4,3)</f>
        <v>101.56136075610513</v>
      </c>
    </row>
    <row r="5" spans="1:13" x14ac:dyDescent="0.25">
      <c r="A5" s="16" t="s">
        <v>87</v>
      </c>
      <c r="B5" t="str">
        <f ca="1">"-3m"</f>
        <v>-3m</v>
      </c>
      <c r="J5" s="2">
        <f t="shared" ref="J5:J35" ca="1" si="0">EDATE(J4,3)</f>
        <v>44113</v>
      </c>
      <c r="K5" s="1">
        <f ca="1">_xll.QCurves_GetDF($B$28,valDate,J5)</f>
        <v>0.99397688519022931</v>
      </c>
      <c r="L5" s="1">
        <f ca="1">_xll.QCurves_GetForwardRate($B$28,J5,J6,"Linear","Act365F")</f>
        <v>8.3989074440587643E-3</v>
      </c>
      <c r="M5" cm="1">
        <f t="array" aca="1" ref="M5" ca="1">_xll.QCurves_GetCpiForecast($B$30,J5,3)</f>
        <v>103.08432470555356</v>
      </c>
    </row>
    <row r="6" spans="1:13" x14ac:dyDescent="0.25">
      <c r="A6" s="16" t="s">
        <v>68</v>
      </c>
      <c r="B6" s="9" t="s">
        <v>71</v>
      </c>
      <c r="J6" s="2">
        <f t="shared" ca="1" si="0"/>
        <v>44205</v>
      </c>
      <c r="K6" s="1">
        <f ca="1">_xll.QCurves_GetDF($B$28,valDate,J6)</f>
        <v>0.99187709636447929</v>
      </c>
      <c r="L6" s="1">
        <f ca="1">_xll.QCurves_GetForwardRate($B$28,J6,J7,"Linear","Act365F")</f>
        <v>5.9724257990548448E-3</v>
      </c>
      <c r="M6" cm="1">
        <f t="array" aca="1" ref="M6" ca="1">_xll.QCurves_GetCpiForecast($B$30,J6,3)</f>
        <v>104.61791490204203</v>
      </c>
    </row>
    <row r="7" spans="1:13" x14ac:dyDescent="0.25">
      <c r="A7" s="16" t="s">
        <v>69</v>
      </c>
      <c r="B7" s="9" t="s">
        <v>72</v>
      </c>
      <c r="J7" s="2">
        <f t="shared" ca="1" si="0"/>
        <v>44295</v>
      </c>
      <c r="K7" s="1">
        <f ca="1">_xll.QCurves_GetDF($B$28,valDate,J7)</f>
        <v>0.99041855357294528</v>
      </c>
      <c r="L7" s="1">
        <f ca="1">_xll.QCurves_GetForwardRate($B$28,J7,J8,"Linear","Act365F")</f>
        <v>3.5609225435252819E-3</v>
      </c>
      <c r="M7" cm="1">
        <f t="array" aca="1" ref="M7" ca="1">_xll.QCurves_GetCpiForecast($B$30,J7,3)</f>
        <v>106.12168591165967</v>
      </c>
    </row>
    <row r="8" spans="1:13" x14ac:dyDescent="0.25">
      <c r="J8" s="2">
        <f t="shared" ca="1" si="0"/>
        <v>44386</v>
      </c>
      <c r="K8" s="1">
        <f ca="1">_xll.QCurves_GetDF($B$28,valDate,J8)</f>
        <v>0.98954004818296748</v>
      </c>
      <c r="L8" s="1">
        <f ca="1">_xll.QCurves_GetForwardRate($B$28,J8,J9,"Linear","Act365F")</f>
        <v>1.1241970334315312E-3</v>
      </c>
      <c r="M8" cm="1">
        <f t="array" aca="1" ref="M8" ca="1">_xll.QCurves_GetCpiForecast($B$30,J8,3)</f>
        <v>107.65295686520498</v>
      </c>
    </row>
    <row r="9" spans="1:13" x14ac:dyDescent="0.25">
      <c r="J9" s="2">
        <f t="shared" ca="1" si="0"/>
        <v>44478</v>
      </c>
      <c r="K9" s="1">
        <f ca="1">_xll.QCurves_GetDF($B$28,valDate,J9)</f>
        <v>0.98925973228493413</v>
      </c>
      <c r="L9" s="1">
        <f ca="1">_xll.QCurves_GetForwardRate($B$28,J9,J10,"Linear","Act365F")</f>
        <v>-1.3243538117687285E-3</v>
      </c>
      <c r="M9" cm="1">
        <f t="array" aca="1" ref="M9" ca="1">_xll.QCurves_GetCpiForecast($B$30,J9,3)</f>
        <v>109.35558564506148</v>
      </c>
    </row>
    <row r="10" spans="1:13" x14ac:dyDescent="0.25">
      <c r="A10" s="8" t="s">
        <v>73</v>
      </c>
      <c r="E10" s="8" t="s">
        <v>83</v>
      </c>
      <c r="F10" t="str" cm="1">
        <f t="array" aca="1" ref="F10" ca="1">_xll.QCurves_CreateFixingDictionary(E10,"USD.CPI",E12:F14)</f>
        <v>CPI Fixings¬31</v>
      </c>
      <c r="J10" s="2">
        <f t="shared" ca="1" si="0"/>
        <v>44570</v>
      </c>
      <c r="K10" s="1">
        <f ca="1">_xll.QCurves_GetDF($B$28,valDate,J10)</f>
        <v>0.9895900670759552</v>
      </c>
      <c r="L10" s="1">
        <f ca="1">_xll.QCurves_GetForwardRate($B$28,J10,J11,"Linear","Act365F")</f>
        <v>-3.7448422044676728E-3</v>
      </c>
      <c r="M10" cm="1">
        <f t="array" aca="1" ref="M10" ca="1">_xll.QCurves_GetCpiForecast($B$30,J10,3)</f>
        <v>111.14293781232169</v>
      </c>
    </row>
    <row r="11" spans="1:13" x14ac:dyDescent="0.25">
      <c r="A11" s="14" t="s">
        <v>75</v>
      </c>
      <c r="B11" s="15" t="s">
        <v>76</v>
      </c>
      <c r="C11" s="15" t="s">
        <v>74</v>
      </c>
      <c r="E11" s="15" t="s">
        <v>84</v>
      </c>
      <c r="F11" s="15" t="s">
        <v>25</v>
      </c>
      <c r="J11" s="2">
        <f t="shared" ca="1" si="0"/>
        <v>44660</v>
      </c>
      <c r="K11" s="1">
        <f ca="1">_xll.QCurves_GetDF($B$28,valDate,J11)</f>
        <v>0.99050468498643585</v>
      </c>
      <c r="L11" s="1">
        <f ca="1">_xll.QCurves_GetForwardRate($B$28,J11,J12,"Linear","Act365F")</f>
        <v>4.6165208548161734E-3</v>
      </c>
      <c r="M11" cm="1">
        <f t="array" aca="1" ref="M11" ca="1">_xll.QCurves_GetCpiForecast($B$30,J11,3)</f>
        <v>113.02471112207618</v>
      </c>
    </row>
    <row r="12" spans="1:13" x14ac:dyDescent="0.25">
      <c r="A12" s="11" t="s">
        <v>32</v>
      </c>
      <c r="B12" s="10">
        <v>0.05</v>
      </c>
      <c r="C12" t="str" cm="1">
        <f t="array" aca="1" ref="C12" ca="1">_xll.QIns_CreateInflationBenchmarkSwap("InfSwap" &amp;A12,ComplexBuild!valDate,A12,$B$2,B12,1000000,"USD.CPI","USD.OIS.1B","Pay","USD.CPI")</f>
        <v>InfSwap6m¬30</v>
      </c>
      <c r="E12" s="17">
        <v>43891</v>
      </c>
      <c r="F12">
        <v>103</v>
      </c>
      <c r="J12" s="2">
        <f t="shared" ca="1" si="0"/>
        <v>44751</v>
      </c>
      <c r="K12" s="1">
        <f ca="1">_xll.QCurves_GetDF($B$28,valDate,J12)</f>
        <v>0.98936595621968537</v>
      </c>
      <c r="L12" s="1">
        <f ca="1">_xll.QCurves_GetForwardRate($B$28,J12,J13,"Linear","Act365F")</f>
        <v>4.8510727063655334E-3</v>
      </c>
      <c r="M12" cm="1">
        <f t="array" aca="1" ref="M12" ca="1">_xll.QCurves_GetCpiForecast($B$30,J12,3)</f>
        <v>114.94820586348568</v>
      </c>
    </row>
    <row r="13" spans="1:13" x14ac:dyDescent="0.25">
      <c r="A13" s="11" t="s">
        <v>34</v>
      </c>
      <c r="B13" s="10">
        <f ca="1">B12+0.005</f>
        <v>5.5E-2</v>
      </c>
      <c r="C13" t="str" cm="1">
        <f t="array" aca="1" ref="C13" ca="1">_xll.QIns_CreateInflationBenchmarkSwap("InfSwap" &amp;A13,ComplexBuild!valDate,A13,$B$2,B13,1000000,"USD.CPI","USD.OIS.1B","Pay","USD.CPI")</f>
        <v>InfSwap1y¬30</v>
      </c>
      <c r="E13" s="17">
        <v>43862</v>
      </c>
      <c r="F13">
        <v>102</v>
      </c>
      <c r="J13" s="2">
        <f t="shared" ca="1" si="0"/>
        <v>44843</v>
      </c>
      <c r="K13" s="1">
        <f ca="1">_xll.QCurves_GetDF($B$28,valDate,J13)</f>
        <v>0.98815770009348602</v>
      </c>
      <c r="L13" s="1">
        <f ca="1">_xll.QCurves_GetForwardRate($B$28,J13,J14,"Linear","Act365F")</f>
        <v>4.8702643663097681E-3</v>
      </c>
      <c r="M13" cm="1">
        <f t="array" aca="1" ref="M13" ca="1">_xll.QCurves_GetCpiForecast($B$30,J13,3)</f>
        <v>117.02564362611034</v>
      </c>
    </row>
    <row r="14" spans="1:13" x14ac:dyDescent="0.25">
      <c r="A14" s="11" t="s">
        <v>12</v>
      </c>
      <c r="B14" s="10">
        <f t="shared" ref="B14:B16" ca="1" si="1">B13+0.005</f>
        <v>0.06</v>
      </c>
      <c r="C14" t="str" cm="1">
        <f t="array" aca="1" ref="C14" ca="1">_xll.QIns_CreateInflationBenchmarkSwap("InfSwap" &amp;A14,ComplexBuild!valDate,A14,$B$2,B14,1000000,"USD.CPI","USD.OIS.1B","Pay","USD.CPI")</f>
        <v>InfSwap2y¬30</v>
      </c>
      <c r="E14" s="17">
        <v>43831</v>
      </c>
      <c r="F14">
        <v>100</v>
      </c>
      <c r="J14" s="2">
        <f t="shared" ca="1" si="0"/>
        <v>44935</v>
      </c>
      <c r="K14" s="1">
        <f ca="1">_xll.QCurves_GetDF($B$28,valDate,J14)</f>
        <v>0.98694615116806661</v>
      </c>
      <c r="L14" s="1">
        <f ca="1">_xll.QCurves_GetForwardRate($B$28,J14,J15,"Linear","Act365F")</f>
        <v>4.8891820475031661E-3</v>
      </c>
      <c r="M14" cm="1">
        <f t="array" aca="1" ref="M14" ca="1">_xll.QCurves_GetCpiForecast($B$30,J14,3)</f>
        <v>119.22338337900035</v>
      </c>
    </row>
    <row r="15" spans="1:13" x14ac:dyDescent="0.25">
      <c r="A15" s="11" t="s">
        <v>13</v>
      </c>
      <c r="B15" s="10">
        <f t="shared" ca="1" si="1"/>
        <v>6.5000000000000002E-2</v>
      </c>
      <c r="C15" t="str" cm="1">
        <f t="array" aca="1" ref="C15" ca="1">_xll.QIns_CreateInflationBenchmarkSwap("InfSwap" &amp;A15,ComplexBuild!valDate,A15,$B$2,B15,1000000,"USD.CPI","USD.OIS.1B","Pay","USD.CPI")</f>
        <v>InfSwap3y¬30</v>
      </c>
      <c r="J15" s="2">
        <f t="shared" ca="1" si="0"/>
        <v>45025</v>
      </c>
      <c r="K15" s="1">
        <f ca="1">_xll.QCurves_GetDF($B$28,valDate,J15)</f>
        <v>0.98575776917644486</v>
      </c>
      <c r="L15" s="1">
        <f ca="1">_xll.QCurves_GetForwardRate($B$28,J15,J16,"Linear","Act365F")</f>
        <v>6.3091638772783849E-3</v>
      </c>
      <c r="M15" cm="1">
        <f t="array" aca="1" ref="M15" ca="1">_xll.QCurves_GetCpiForecast($B$30,J15,3)</f>
        <v>121.51481631861036</v>
      </c>
    </row>
    <row r="16" spans="1:13" x14ac:dyDescent="0.25">
      <c r="A16" s="11" t="s">
        <v>15</v>
      </c>
      <c r="B16" s="10">
        <f t="shared" ca="1" si="1"/>
        <v>7.0000000000000007E-2</v>
      </c>
      <c r="C16" t="str" cm="1">
        <f t="array" aca="1" ref="C16" ca="1">_xll.QIns_CreateInflationBenchmarkSwap("InfSwap" &amp;A16,ComplexBuild!valDate,A16,$B$2,B16,1000000,"USD.CPI","USD.OIS.1B","Pay","USD.CPI")</f>
        <v>InfSwap5y¬30</v>
      </c>
      <c r="J16" s="2">
        <f t="shared" ca="1" si="0"/>
        <v>45116</v>
      </c>
      <c r="K16" s="1">
        <f ca="1">_xll.QCurves_GetDF($B$28,valDate,J16)</f>
        <v>0.98420963731310829</v>
      </c>
      <c r="L16" s="1">
        <f ca="1">_xll.QCurves_GetForwardRate($B$28,J16,J17,"Linear","Act365F")</f>
        <v>6.5613257933532371E-3</v>
      </c>
      <c r="M16" cm="1">
        <f t="array" aca="1" ref="M16" ca="1">_xll.QCurves_GetCpiForecast($B$30,J16,3)</f>
        <v>123.79859320175402</v>
      </c>
    </row>
    <row r="17" spans="1:19" x14ac:dyDescent="0.25">
      <c r="A17" s="11" t="s">
        <v>17</v>
      </c>
      <c r="B17" s="10">
        <v>7.4999999999999997E-2</v>
      </c>
      <c r="C17" t="str" cm="1">
        <f t="array" aca="1" ref="C17" ca="1">_xll.QIns_CreateInflationBenchmarkSwap("InfSwap" &amp;A17,ComplexBuild!valDate,A17,$B$2,B17,1000000,"USD.CPI","USD.OIS.1B","Pay","USD.CPI")</f>
        <v>InfSwap10y¬30</v>
      </c>
      <c r="J17" s="2">
        <f t="shared" ca="1" si="0"/>
        <v>45208</v>
      </c>
      <c r="K17" s="1">
        <f ca="1">_xll.QCurves_GetDF($B$28,valDate,J17)</f>
        <v>0.98258462547215442</v>
      </c>
      <c r="L17" s="1">
        <f ca="1">_xll.QCurves_GetForwardRate($B$28,J17,J18,"Linear","Act365F")</f>
        <v>6.80037086562539E-3</v>
      </c>
      <c r="M17" cm="1">
        <f t="array" aca="1" ref="M17" ca="1">_xll.QCurves_GetCpiForecast($B$30,J17,3)</f>
        <v>126.14512285807679</v>
      </c>
    </row>
    <row r="18" spans="1:19" x14ac:dyDescent="0.25">
      <c r="A18" s="20" t="s">
        <v>14</v>
      </c>
      <c r="B18" s="21">
        <v>6.7500000000000004E-2</v>
      </c>
      <c r="C18" s="19" t="str" cm="1">
        <f t="array" aca="1" ref="C18" ca="1">_xll.QIns_CreateInflationBenchmarkSwap("InfSwap" &amp;A18,ComplexBuild!valDate,A18,$B$2,B18,1000000,"USD.CPI","USD.OIS.1B","Pay","USD.CPI")</f>
        <v>InfSwap4y¬19</v>
      </c>
      <c r="J18" s="2">
        <f t="shared" ca="1" si="0"/>
        <v>45300</v>
      </c>
      <c r="K18" s="1">
        <f ca="1">_xll.QCurves_GetDF($B$28,valDate,J18)</f>
        <v>0.98090329240969876</v>
      </c>
      <c r="L18" s="1">
        <f ca="1">_xll.QCurves_GetForwardRate($B$28,J18,J19,"Linear","Act365F")</f>
        <v>7.0380632261232545E-3</v>
      </c>
      <c r="M18" cm="1">
        <f t="array" aca="1" ref="M18" ca="1">_xll.QCurves_GetCpiForecast($B$30,J18,3)</f>
        <v>128.50509420877495</v>
      </c>
    </row>
    <row r="19" spans="1:19" x14ac:dyDescent="0.25">
      <c r="A19" s="12" t="s">
        <v>78</v>
      </c>
      <c r="E19" s="8" t="s">
        <v>82</v>
      </c>
      <c r="J19" s="2">
        <f t="shared" ca="1" si="0"/>
        <v>45391</v>
      </c>
      <c r="K19" s="1">
        <f ca="1">_xll.QCurves_GetDF($B$28,valDate,J19)</f>
        <v>0.97918512096307153</v>
      </c>
      <c r="L19" s="1">
        <f ca="1">_xll.QCurves_GetForwardRate($B$28,J19,J20,"Linear","Act365F")</f>
        <v>7.8483692645597777E-3</v>
      </c>
      <c r="M19" cm="1">
        <f t="array" aca="1" ref="M19" ca="1">_xll.QCurves_GetCpiForecast($B$30,J19,3)</f>
        <v>130.89357541207272</v>
      </c>
    </row>
    <row r="20" spans="1:19" x14ac:dyDescent="0.25">
      <c r="A20" s="13" t="s">
        <v>64</v>
      </c>
      <c r="B20" t="str">
        <f ca="1">ComplexBuild!C28</f>
        <v>FundingInstruments_USD¬2</v>
      </c>
      <c r="E20" t="s">
        <v>53</v>
      </c>
      <c r="F20">
        <v>0</v>
      </c>
      <c r="J20" s="2">
        <f t="shared" ca="1" si="0"/>
        <v>45482</v>
      </c>
      <c r="K20" s="1">
        <f ca="1">_xll.QCurves_GetDF($B$28,valDate,J20)</f>
        <v>0.97727287478823477</v>
      </c>
      <c r="L20" s="1">
        <f ca="1">_xll.QCurves_GetForwardRate($B$28,J20,J21,"Linear","Act365F")</f>
        <v>8.1539496965475442E-3</v>
      </c>
      <c r="M20" cm="1">
        <f t="array" aca="1" ref="M20" ca="1">_xll.QCurves_GetCpiForecast($B$30,J20,3)</f>
        <v>133.27823562988155</v>
      </c>
    </row>
    <row r="21" spans="1:19" x14ac:dyDescent="0.25">
      <c r="A21" s="13" t="s">
        <v>79</v>
      </c>
      <c r="B21" t="str" cm="1">
        <f t="array" aca="1" ref="B21" ca="1">_xll.QIns_CreateFundingInstrumentCollection(A21,C12:C17)</f>
        <v>CPI¬30</v>
      </c>
      <c r="E21" t="s">
        <v>54</v>
      </c>
      <c r="F21">
        <v>0</v>
      </c>
      <c r="J21" s="2">
        <f t="shared" ca="1" si="0"/>
        <v>45574</v>
      </c>
      <c r="K21" s="1">
        <f ca="1">_xll.QCurves_GetDF($B$28,valDate,J21)</f>
        <v>0.97526846197147277</v>
      </c>
      <c r="L21" s="1">
        <f ca="1">_xll.QCurves_GetForwardRate($B$28,J21,J22,"Linear","Act365F")</f>
        <v>8.4611388513162224E-3</v>
      </c>
      <c r="M21" cm="1">
        <f t="array" aca="1" ref="M21" ca="1">_xll.QCurves_GetCpiForecast($B$30,J21,3)</f>
        <v>135.75660866681818</v>
      </c>
    </row>
    <row r="22" spans="1:19" x14ac:dyDescent="0.25">
      <c r="A22" t="s">
        <v>81</v>
      </c>
      <c r="B22" t="str">
        <f ca="1">_xll.QIns_CreateFundingInstrumentCollection(A22,B20:B21)</f>
        <v>FicCPI¬30</v>
      </c>
      <c r="E22" t="s">
        <v>77</v>
      </c>
      <c r="F22">
        <v>1</v>
      </c>
      <c r="J22" s="2">
        <f t="shared" ca="1" si="0"/>
        <v>45666</v>
      </c>
      <c r="K22" s="1">
        <f ca="1">_xll.QCurves_GetDF($B$28,valDate,J22)</f>
        <v>0.97319296193923055</v>
      </c>
      <c r="L22" s="1">
        <f ca="1">_xll.QCurves_GetForwardRate($B$28,J22,J23,"Linear","Act365F")</f>
        <v>8.7648020218674943E-3</v>
      </c>
      <c r="M22" cm="1">
        <f t="array" aca="1" ref="M22" ca="1">_xll.QCurves_GetCpiForecast($B$30,J22,3)</f>
        <v>138.35111982193467</v>
      </c>
    </row>
    <row r="23" spans="1:19" x14ac:dyDescent="0.25">
      <c r="J23" s="2">
        <f t="shared" ca="1" si="0"/>
        <v>45756</v>
      </c>
      <c r="K23" s="1">
        <f ca="1">_xll.QCurves_GetDF($B$28,valDate,J23)</f>
        <v>0.97109424852837223</v>
      </c>
      <c r="L23" s="1">
        <f ca="1">_xll.QCurves_GetForwardRate($B$28,J23,J24,"Linear","Act365F")</f>
        <v>8.9084999722346507E-3</v>
      </c>
      <c r="M23" cm="1">
        <f t="array" aca="1" ref="M23" ca="1">_xll.QCurves_GetCpiForecast($B$30,J23,3)</f>
        <v>141.07769688759015</v>
      </c>
    </row>
    <row r="24" spans="1:19" x14ac:dyDescent="0.25">
      <c r="A24" s="8" t="s">
        <v>27</v>
      </c>
      <c r="J24" s="2">
        <f t="shared" ca="1" si="0"/>
        <v>45847</v>
      </c>
      <c r="K24" s="1">
        <f ca="1">_xll.QCurves_GetDF($B$28,valDate,J24)</f>
        <v>0.9689422053326282</v>
      </c>
      <c r="L24" s="1">
        <f ca="1">_xll.QCurves_GetForwardRate($B$28,J24,J25,"Linear","Act365F")</f>
        <v>9.1990422107138606E-3</v>
      </c>
      <c r="M24" cm="1">
        <f t="array" aca="1" ref="M24" ca="1">_xll.QCurves_GetCpiForecast($B$30,J24,3)</f>
        <v>143.86042465357392</v>
      </c>
      <c r="O24" s="8" t="s">
        <v>91</v>
      </c>
      <c r="P24" t="str" cm="1">
        <f t="array" aca="1" ref="P24" ca="1">_xll.QIns_AssetPortfolioExpectedFlows("CashflowResult",B34,B33)</f>
        <v>CashflowResult¬7</v>
      </c>
    </row>
    <row r="25" spans="1:19" x14ac:dyDescent="0.25">
      <c r="A25" t="s">
        <v>80</v>
      </c>
      <c r="B25" t="str" cm="1">
        <f t="array" aca="1" ref="B25" ca="1">_xll.QCurves_CreateFundingModel(A25,valDate,B22,E20:F22,,,F10)</f>
        <v>ModelCPI¬31</v>
      </c>
      <c r="J25" s="2">
        <f t="shared" ca="1" si="0"/>
        <v>45939</v>
      </c>
      <c r="K25" s="1">
        <f ca="1">_xll.QCurves_GetDF($B$28,valDate,J25)</f>
        <v>0.96670075236166508</v>
      </c>
      <c r="L25" s="1">
        <f ca="1">_xll.QCurves_GetForwardRate($B$28,J25,J26,"Linear","Act365F")</f>
        <v>9.4910842711828682E-3</v>
      </c>
      <c r="M25" cm="1">
        <f t="array" aca="1" ref="M25" ca="1">_xll.QCurves_GetCpiForecast($B$30,J25,3)</f>
        <v>146.82167910410232</v>
      </c>
    </row>
    <row r="26" spans="1:19" x14ac:dyDescent="0.25">
      <c r="J26" s="2">
        <f t="shared" ca="1" si="0"/>
        <v>46031</v>
      </c>
      <c r="K26" s="1">
        <f ca="1">_xll.QCurves_GetDF($B$28,valDate,J26)</f>
        <v>0.96439365916425557</v>
      </c>
      <c r="L26" s="1">
        <f ca="1">_xll.QCurves_GetForwardRate($B$28,J26,J27,"Linear","Act365F")</f>
        <v>9.7797112314272662E-3</v>
      </c>
      <c r="M26" cm="1">
        <f t="array" aca="1" ref="M26" ca="1">_xll.QCurves_GetCpiForecast($B$30,J26,3)</f>
        <v>149.88392218361739</v>
      </c>
      <c r="O26" s="14" t="str">
        <f t="array" aca="1" ref="O26:S40" ca="1">_xll.QCube_DisplayCube(P24)</f>
        <v>TradeId</v>
      </c>
      <c r="P26" s="14" t="str">
        <f ca="1"/>
        <v>Currency</v>
      </c>
      <c r="Q26" s="14" t="str">
        <f ca="1"/>
        <v>TradeType</v>
      </c>
      <c r="R26" s="14" t="str">
        <f ca="1"/>
        <v>PayDate</v>
      </c>
      <c r="S26" s="14" t="str">
        <f ca="1"/>
        <v>Value</v>
      </c>
    </row>
    <row r="27" spans="1:19" x14ac:dyDescent="0.25">
      <c r="A27" s="8" t="s">
        <v>85</v>
      </c>
      <c r="J27" s="2">
        <f t="shared" ca="1" si="0"/>
        <v>46121</v>
      </c>
      <c r="K27" s="1">
        <f ca="1">_xll.QCurves_GetDF($B$28,valDate,J27)</f>
        <v>0.96207368039716601</v>
      </c>
      <c r="L27" s="1">
        <f ca="1">_xll.QCurves_GetForwardRate($B$28,J27,J28,"Linear","Act365F")</f>
        <v>1.0067156644269194E-2</v>
      </c>
      <c r="M27" cm="1">
        <f t="array" aca="1" ref="M27" ca="1">_xll.QCurves_GetCpiForecast($B$30,J27,3)</f>
        <v>153.02823461613627</v>
      </c>
      <c r="O27" t="str">
        <f ca="1"/>
        <v>InfSwap6m</v>
      </c>
      <c r="P27" t="str">
        <f ca="1"/>
        <v>USD</v>
      </c>
      <c r="Q27" t="str">
        <f ca="1"/>
        <v>InfPerfSwap</v>
      </c>
      <c r="R27" s="2">
        <f ca="1"/>
        <v>44113</v>
      </c>
      <c r="S27" s="4">
        <f ca="1"/>
        <v>24695.07659595993</v>
      </c>
    </row>
    <row r="28" spans="1:19" x14ac:dyDescent="0.25">
      <c r="A28" t="str">
        <f t="array" aca="1" ref="A28:A30" ca="1">_xll.QCurves_ListCurvesInModel(B25)</f>
        <v>USD.LIBOR.3M</v>
      </c>
      <c r="B28" t="str">
        <f ca="1">_xll.QCurves_ExtractCurveFromModel($B$25,A28,"curve.cpiBuild."&amp;A28)</f>
        <v>curve.cpiBuild.USD.LIBOR.3M¬30</v>
      </c>
      <c r="J28" s="2">
        <f t="shared" ca="1" si="0"/>
        <v>46212</v>
      </c>
      <c r="K28" s="1">
        <f ca="1">_xll.QCurves_GetDF($B$28,valDate,J28)</f>
        <v>0.95966502305936319</v>
      </c>
      <c r="L28" s="1">
        <f ca="1">_xll.QCurves_GetForwardRate($B$28,J28,J29,"Linear","Act365F")</f>
        <v>1.0357813597547285E-2</v>
      </c>
      <c r="M28" cm="1">
        <f t="array" aca="1" ref="M28" ca="1">_xll.QCurves_GetCpiForecast($B$30,J28,3)</f>
        <v>156.13676504321063</v>
      </c>
      <c r="O28" t="str">
        <f ca="1"/>
        <v>InfSwap6m</v>
      </c>
      <c r="P28" t="str">
        <f ca="1"/>
        <v>USD</v>
      </c>
      <c r="Q28" t="str">
        <f ca="1"/>
        <v>InfPerfSwap</v>
      </c>
      <c r="R28" s="2">
        <f ca="1"/>
        <v>44113</v>
      </c>
      <c r="S28" s="4">
        <f ca="1"/>
        <v>-24695.07659595993</v>
      </c>
    </row>
    <row r="29" spans="1:19" x14ac:dyDescent="0.25">
      <c r="A29" t="str">
        <f ca="1"/>
        <v>USD.OIS.1B</v>
      </c>
      <c r="B29" t="str">
        <f ca="1">_xll.QCurves_ExtractCurveFromModel($B$25,A29,"curve.cpiBuild."&amp;A29)</f>
        <v>curve.cpiBuild.USD.OIS.1B¬30</v>
      </c>
      <c r="J29" s="2">
        <f t="shared" ca="1" si="0"/>
        <v>46304</v>
      </c>
      <c r="K29" s="1">
        <f ca="1">_xll.QCurves_GetDF($B$28,valDate,J29)</f>
        <v>0.95716611447307476</v>
      </c>
      <c r="L29" s="1">
        <f ca="1">_xll.QCurves_GetForwardRate($B$28,J29,J30,"Linear","Act365F")</f>
        <v>1.0649940758556239E-2</v>
      </c>
      <c r="M29" cm="1">
        <f t="array" aca="1" ref="M29" ca="1">_xll.QCurves_GetCpiForecast($B$30,J29,3)</f>
        <v>159.36834522746165</v>
      </c>
      <c r="O29" t="str">
        <f ca="1"/>
        <v>InfSwap1y</v>
      </c>
      <c r="P29" t="str">
        <f ca="1"/>
        <v>USD</v>
      </c>
      <c r="Q29" t="str">
        <f ca="1"/>
        <v>InfPerfSwap</v>
      </c>
      <c r="R29" s="2">
        <f ca="1"/>
        <v>44295</v>
      </c>
      <c r="S29" s="4">
        <f ca="1"/>
        <v>54887.533913118066</v>
      </c>
    </row>
    <row r="30" spans="1:19" x14ac:dyDescent="0.25">
      <c r="A30" t="str">
        <f ca="1"/>
        <v>USD.CPI</v>
      </c>
      <c r="B30" t="str">
        <f ca="1">_xll.QCurves_ExtractCurveFromModel($B$25,A30,"curve.cpiBuild."&amp;A30)</f>
        <v>curve.cpiBuild.USD.CPI¬31</v>
      </c>
      <c r="J30" s="2">
        <f t="shared" ca="1" si="0"/>
        <v>46396</v>
      </c>
      <c r="K30" s="1">
        <f ca="1">_xll.QCurves_GetDF($B$28,valDate,J30)</f>
        <v>0.95460360649813214</v>
      </c>
      <c r="L30" s="1">
        <f ca="1">_xll.QCurves_GetForwardRate($B$28,J30,J31,"Linear","Act365F")</f>
        <v>1.0938586201982145E-2</v>
      </c>
      <c r="M30" cm="1">
        <f t="array" aca="1" ref="M30" ca="1">_xll.QCurves_GetCpiForecast($B$30,J30,3)</f>
        <v>162.6775589612019</v>
      </c>
      <c r="O30" t="str">
        <f ca="1"/>
        <v>InfSwap1y</v>
      </c>
      <c r="P30" t="str">
        <f ca="1"/>
        <v>USD</v>
      </c>
      <c r="Q30" t="str">
        <f ca="1"/>
        <v>InfPerfSwap</v>
      </c>
      <c r="R30" s="2">
        <f ca="1"/>
        <v>44295</v>
      </c>
      <c r="S30" s="4">
        <f ca="1"/>
        <v>-54887.533913118066</v>
      </c>
    </row>
    <row r="31" spans="1:19" x14ac:dyDescent="0.25">
      <c r="J31" s="2">
        <f t="shared" ca="1" si="0"/>
        <v>46486</v>
      </c>
      <c r="K31" s="1">
        <f ca="1">_xll.QCurves_GetDF($B$28,valDate,J31)</f>
        <v>0.95203578923972831</v>
      </c>
      <c r="L31" s="1">
        <f ca="1">_xll.QCurves_GetForwardRate($B$28,J31,J32,"Linear","Act365F")</f>
        <v>1.174513824912918E-2</v>
      </c>
      <c r="M31" cm="1">
        <f t="array" aca="1" ref="M31" ca="1">_xll.QCurves_GetCpiForecast($B$30,J31,3)</f>
        <v>166.04418259794028</v>
      </c>
      <c r="O31" t="str">
        <f ca="1"/>
        <v>InfSwap2y</v>
      </c>
      <c r="P31" t="str">
        <f ca="1"/>
        <v>USD</v>
      </c>
      <c r="Q31" t="str">
        <f ca="1"/>
        <v>InfPerfSwap</v>
      </c>
      <c r="R31" s="2">
        <f ca="1"/>
        <v>44659</v>
      </c>
      <c r="S31" s="4">
        <f ca="1"/>
        <v>123290.30664938733</v>
      </c>
    </row>
    <row r="32" spans="1:19" x14ac:dyDescent="0.25">
      <c r="A32" s="8" t="s">
        <v>89</v>
      </c>
      <c r="J32" s="2">
        <f t="shared" ca="1" si="0"/>
        <v>46577</v>
      </c>
      <c r="K32" s="1">
        <f ca="1">_xll.QCurves_GetDF($B$28,valDate,J32)</f>
        <v>0.94925613949209153</v>
      </c>
      <c r="L32" s="1">
        <f ca="1">_xll.QCurves_GetForwardRate($B$28,J32,J33,"Linear","Act365F")</f>
        <v>1.2071854462021157E-2</v>
      </c>
      <c r="M32" cm="1">
        <f t="array" aca="1" ref="M32" ca="1">_xll.QCurves_GetCpiForecast($B$30,J32,3)</f>
        <v>169.34377748516795</v>
      </c>
      <c r="O32" t="str">
        <f ca="1"/>
        <v>InfSwap2y</v>
      </c>
      <c r="P32" t="str">
        <f ca="1"/>
        <v>USD</v>
      </c>
      <c r="Q32" t="str">
        <f ca="1"/>
        <v>InfPerfSwap</v>
      </c>
      <c r="R32" s="2">
        <f ca="1"/>
        <v>44659</v>
      </c>
      <c r="S32" s="4">
        <f ca="1"/>
        <v>-123290.30664938757</v>
      </c>
    </row>
    <row r="33" spans="1:19" x14ac:dyDescent="0.25">
      <c r="A33" t="str">
        <f ca="1">A32</f>
        <v>AssetFxModel</v>
      </c>
      <c r="B33" t="str" cm="1">
        <f t="array" aca="1" ref="B33" ca="1">_xll.QCurves_CreateAssetFxModel(A33,valDate,,,B25)</f>
        <v>AssetFxModel¬21</v>
      </c>
      <c r="J33" s="2">
        <f t="shared" ca="1" si="0"/>
        <v>46669</v>
      </c>
      <c r="K33" s="1">
        <f ca="1">_xll.QCurves_GetDF($B$28,valDate,J33)</f>
        <v>0.94637653450372528</v>
      </c>
      <c r="L33" s="1">
        <f ca="1">_xll.QCurves_GetForwardRate($B$28,J33,J34,"Linear","Act365F")</f>
        <v>1.2400193204532005E-2</v>
      </c>
      <c r="M33" cm="1">
        <f t="array" aca="1" ref="M33" ca="1">_xll.QCurves_GetCpiForecast($B$30,J33,3)</f>
        <v>172.74570841995714</v>
      </c>
      <c r="O33" t="str">
        <f ca="1"/>
        <v>InfSwap3y</v>
      </c>
      <c r="P33" t="str">
        <f ca="1"/>
        <v>USD</v>
      </c>
      <c r="Q33" t="str">
        <f ca="1"/>
        <v>InfPerfSwap</v>
      </c>
      <c r="R33" s="2">
        <f ca="1"/>
        <v>45023</v>
      </c>
      <c r="S33" s="4">
        <f ca="1"/>
        <v>207381.46579058992</v>
      </c>
    </row>
    <row r="34" spans="1:19" x14ac:dyDescent="0.25">
      <c r="A34" t="s">
        <v>90</v>
      </c>
      <c r="B34" t="str" cm="1">
        <f t="array" aca="1" ref="B34" ca="1">_xll.QIns_CreatePortfolio(A34,C12:C18)</f>
        <v>Porfolio¬22</v>
      </c>
      <c r="J34" s="2">
        <f t="shared" ca="1" si="0"/>
        <v>46761</v>
      </c>
      <c r="K34" s="1">
        <f ca="1">_xll.QCurves_GetDF($B$28,valDate,J34)</f>
        <v>0.94342782428126781</v>
      </c>
      <c r="L34" s="1">
        <f ca="1">_xll.QCurves_GetForwardRate($B$28,J34,J35,"Linear","Act365F")</f>
        <v>1.2726552729230234E-2</v>
      </c>
      <c r="M34" cm="1">
        <f t="array" aca="1" ref="M34" ca="1">_xll.QCurves_GetCpiForecast($B$30,J34,3)</f>
        <v>176.20137882673822</v>
      </c>
      <c r="O34" t="str">
        <f ca="1"/>
        <v>InfSwap3y</v>
      </c>
      <c r="P34" t="str">
        <f ca="1"/>
        <v>USD</v>
      </c>
      <c r="Q34" t="str">
        <f ca="1"/>
        <v>InfPerfSwap</v>
      </c>
      <c r="R34" s="2">
        <f ca="1"/>
        <v>45023</v>
      </c>
      <c r="S34" s="4">
        <f ca="1"/>
        <v>-207381.46579058969</v>
      </c>
    </row>
    <row r="35" spans="1:19" x14ac:dyDescent="0.25">
      <c r="J35" s="2">
        <f t="shared" ca="1" si="0"/>
        <v>46852</v>
      </c>
      <c r="K35" s="1">
        <f ca="1">_xll.QCurves_GetDF($B$28,valDate,J35)</f>
        <v>0.94044386983374129</v>
      </c>
      <c r="L35" s="1"/>
      <c r="M35" cm="1">
        <f t="array" aca="1" ref="M35" ca="1">_xll.QCurves_GetCpiForecast($B$30,J35,3)</f>
        <v>179.68947192352954</v>
      </c>
      <c r="O35" t="str">
        <f ca="1"/>
        <v>InfSwap5y</v>
      </c>
      <c r="P35" t="str">
        <f ca="1"/>
        <v>USD</v>
      </c>
      <c r="Q35" t="str">
        <f ca="1"/>
        <v>InfPerfSwap</v>
      </c>
      <c r="R35" s="2">
        <f ca="1"/>
        <v>45756</v>
      </c>
      <c r="S35" s="4">
        <f ca="1"/>
        <v>402362.79212316248</v>
      </c>
    </row>
    <row r="36" spans="1:19" x14ac:dyDescent="0.25">
      <c r="O36" t="str">
        <f ca="1"/>
        <v>InfSwap5y</v>
      </c>
      <c r="P36" t="str">
        <f ca="1"/>
        <v>USD</v>
      </c>
      <c r="Q36" t="str">
        <f ca="1"/>
        <v>InfPerfSwap</v>
      </c>
      <c r="R36" s="2">
        <f ca="1"/>
        <v>45756</v>
      </c>
      <c r="S36" s="4">
        <f ca="1"/>
        <v>-402362.79212316248</v>
      </c>
    </row>
    <row r="37" spans="1:19" x14ac:dyDescent="0.25">
      <c r="O37" t="str">
        <f ca="1"/>
        <v>InfSwap10y</v>
      </c>
      <c r="P37" t="str">
        <f ca="1"/>
        <v>USD</v>
      </c>
      <c r="Q37" t="str">
        <f ca="1"/>
        <v>InfPerfSwap</v>
      </c>
      <c r="R37" s="2">
        <f ca="1"/>
        <v>47582</v>
      </c>
      <c r="S37" s="4">
        <f ca="1"/>
        <v>1060734.7898047399</v>
      </c>
    </row>
    <row r="38" spans="1:19" x14ac:dyDescent="0.25">
      <c r="O38" t="str">
        <f ca="1"/>
        <v>InfSwap10y</v>
      </c>
      <c r="P38" t="str">
        <f ca="1"/>
        <v>USD</v>
      </c>
      <c r="Q38" t="str">
        <f ca="1"/>
        <v>InfPerfSwap</v>
      </c>
      <c r="R38" s="2">
        <f ca="1"/>
        <v>47582</v>
      </c>
      <c r="S38" s="4">
        <f ca="1"/>
        <v>-1060734.7898047403</v>
      </c>
    </row>
    <row r="39" spans="1:19" x14ac:dyDescent="0.25">
      <c r="O39" s="6" t="str">
        <f ca="1"/>
        <v>InfSwap4y</v>
      </c>
      <c r="P39" s="6" t="str">
        <f ca="1"/>
        <v>USD</v>
      </c>
      <c r="Q39" s="6" t="str">
        <f ca="1"/>
        <v>InfPerfSwap</v>
      </c>
      <c r="R39" s="7">
        <f ca="1"/>
        <v>45391</v>
      </c>
      <c r="S39" s="22">
        <f ca="1"/>
        <v>301128.98023929156</v>
      </c>
    </row>
    <row r="40" spans="1:19" x14ac:dyDescent="0.25">
      <c r="O40" s="6" t="str">
        <f ca="1"/>
        <v>InfSwap4y</v>
      </c>
      <c r="P40" s="6" t="str">
        <f ca="1"/>
        <v>USD</v>
      </c>
      <c r="Q40" s="6" t="str">
        <f ca="1"/>
        <v>InfPerfSwap</v>
      </c>
      <c r="R40" s="7">
        <f ca="1"/>
        <v>45391</v>
      </c>
      <c r="S40" s="22">
        <f ca="1"/>
        <v>-298588.44691406208</v>
      </c>
    </row>
  </sheetData>
  <mergeCells count="1"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SelfDiscounting</vt:lpstr>
      <vt:lpstr>OisDiscounting</vt:lpstr>
      <vt:lpstr>ComplexBuild</vt:lpstr>
      <vt:lpstr>CPI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2023-05-25T08:17:16Z</dcterms:modified>
</cp:coreProperties>
</file>